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北保\2024-1-0784 北保-首创美伦湾\P04商品房售价\"/>
    </mc:Choice>
  </mc:AlternateContent>
  <bookViews>
    <workbookView xWindow="1152" yWindow="2040" windowWidth="14076" windowHeight="810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商品房" sheetId="80" r:id="rId23"/>
    <sheet name="Sheet3" sheetId="75" state="hidden" r:id="rId24"/>
    <sheet name="比较法-商业" sheetId="33" state="hidden" r:id="rId25"/>
    <sheet name="Sheet4" sheetId="76" state="hidden" r:id="rId26"/>
    <sheet name="比较法-地下车位" sheetId="78" state="hidden" r:id="rId27"/>
    <sheet name="Sheet5" sheetId="77" state="hidden" r:id="rId28"/>
    <sheet name="Sheet1" sheetId="73" state="hidden" r:id="rId29"/>
    <sheet name="商业案例" sheetId="6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因素修正幅度" sheetId="56" state="hidden" r:id="rId38"/>
    <sheet name="基准地价修正-因素" sheetId="47" state="hidden" r:id="rId39"/>
    <sheet name="区片价" sheetId="44" state="hidden" r:id="rId40"/>
    <sheet name="修正" sheetId="45" state="hidden" r:id="rId41"/>
    <sheet name="容积率修正" sheetId="46" state="hidden" r:id="rId42"/>
    <sheet name="地价" sheetId="59" state="hidden" r:id="rId43"/>
    <sheet name="存贷款利率" sheetId="61" state="hidden" r:id="rId44"/>
    <sheet name="办公案例" sheetId="64" state="hidden"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26" hidden="1">'比较法-地下车位'!$A$1:$L$49</definedName>
    <definedName name="_xlnm._FilterDatabase" localSheetId="31" hidden="1">'比较法-工业'!$A$1:$L$43</definedName>
    <definedName name="_xlnm._FilterDatabase" localSheetId="24" hidden="1">'比较法-商业'!$A$1:$L$49</definedName>
    <definedName name="_xlnm._FilterDatabase" localSheetId="21" hidden="1">'比较法-住宅'!$A$1:$L$49</definedName>
    <definedName name="_xlnm._FilterDatabase" localSheetId="35" hidden="1">'土地比较法-工业'!$A$1:$L$43</definedName>
    <definedName name="_xlnm._FilterDatabase" localSheetId="34" hidden="1">'土地比较法-住宅、综合'!$A$1:$L$48</definedName>
    <definedName name="_xlnm._FilterDatabase" localSheetId="9" hidden="1">项目基本情况!#REF!</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26">'比较法-地下车位'!$A$1:$K$54,'比较法-地下车位'!$A$57:$M$131</definedName>
    <definedName name="_xlnm.Print_Area" localSheetId="31">'比较法-工业'!$A$1:$K$48,'比较法-工业'!$A$51:$M$113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6">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6">'比较法-地下车位'!$B$88:$M$88</definedName>
    <definedName name="住宅朝向">'比较法-住宅'!$B$88:$M$88</definedName>
    <definedName name="住宅房型" localSheetId="26">'比较法-地下车位'!$B$118:$M$118</definedName>
    <definedName name="住宅房型">'比较法-住宅'!$B$118:$M$118</definedName>
    <definedName name="住宅公共部分装修" localSheetId="26">'比较法-地下车位'!$B$109:$M$109</definedName>
    <definedName name="住宅公共部分装修">'比较法-住宅'!$B$109:$M$109</definedName>
    <definedName name="住宅基础设施水平" localSheetId="26">'比较法-地下车位'!$B$116:$M$116</definedName>
    <definedName name="住宅基础设施水平">'比较法-住宅'!$B$116:$M$116</definedName>
    <definedName name="住宅建筑结构" localSheetId="26">'比较法-地下车位'!$B$105:$M$105</definedName>
    <definedName name="住宅建筑结构">'比较法-住宅'!$B$105:$M$105</definedName>
    <definedName name="住宅建筑类型" localSheetId="26">'比较法-地下车位'!$B$100:$M$100</definedName>
    <definedName name="住宅建筑类型">'比较法-住宅'!$B$100:$M$100</definedName>
    <definedName name="住宅建筑品质" localSheetId="26">'比较法-地下车位'!$B$107:$M$107</definedName>
    <definedName name="住宅建筑品质">'比较法-住宅'!$B$107:$M$107</definedName>
    <definedName name="住宅交易情况" localSheetId="26">'比较法-地下车位'!$A$61:$M$61</definedName>
    <definedName name="住宅交易情况">'比较法-住宅'!$A$61:$M$61</definedName>
    <definedName name="住宅楼层" localSheetId="26">'比较法-地下车位'!$B$86:$M$86</definedName>
    <definedName name="住宅楼层">'比较法-住宅'!$B$86:$M$86</definedName>
    <definedName name="住宅内部装修" localSheetId="26">'比较法-地下车位'!$B$122:$M$122</definedName>
    <definedName name="住宅内部装修">'比较法-住宅'!$B$122:$M$122</definedName>
    <definedName name="住宅物业管理" localSheetId="26">'比较法-地下车位'!$B$114:$M$114</definedName>
    <definedName name="住宅物业管理">'比较法-住宅'!$B$114:$M$114</definedName>
    <definedName name="住宅用途" localSheetId="26">'比较法-地下车位'!$B$63:$M$63</definedName>
    <definedName name="住宅用途">'比较法-住宅'!$B$63:$M$63</definedName>
    <definedName name="住宅主力户型面积" localSheetId="26">'比较法-地下车位'!$B$120:$M$120</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D79" i="21" l="1"/>
  <c r="F17" i="21"/>
  <c r="AA17" i="21"/>
  <c r="R48" i="21"/>
  <c r="H17" i="21"/>
  <c r="AB17" i="21"/>
  <c r="T48" i="21"/>
  <c r="J17" i="21"/>
  <c r="AC17" i="21"/>
  <c r="V48" i="21"/>
  <c r="R49" i="21"/>
  <c r="C49" i="21"/>
  <c r="D51" i="21"/>
  <c r="C48" i="21"/>
  <c r="C51" i="21"/>
  <c r="I37" i="21"/>
  <c r="G37" i="21"/>
  <c r="E37" i="21"/>
  <c r="I47" i="21"/>
  <c r="G47" i="21"/>
  <c r="E47" i="21"/>
  <c r="I5" i="21"/>
  <c r="G5" i="21"/>
  <c r="E5" i="21"/>
  <c r="C145" i="78"/>
  <c r="K143" i="78"/>
  <c r="J142" i="78"/>
  <c r="J140" i="78"/>
  <c r="K145" i="78"/>
  <c r="K139" i="78"/>
  <c r="B130" i="78"/>
  <c r="B128" i="78"/>
  <c r="D126" i="78"/>
  <c r="B126" i="78"/>
  <c r="D125" i="78"/>
  <c r="D123" i="78"/>
  <c r="E123" i="78"/>
  <c r="F123" i="78"/>
  <c r="G123" i="78"/>
  <c r="H123" i="78"/>
  <c r="I123" i="78"/>
  <c r="J123" i="78"/>
  <c r="K123" i="78"/>
  <c r="L123" i="78"/>
  <c r="M123" i="78"/>
  <c r="C120" i="78"/>
  <c r="D119" i="78"/>
  <c r="E119" i="78"/>
  <c r="F119" i="78"/>
  <c r="G119" i="78"/>
  <c r="H119" i="78"/>
  <c r="I119" i="78"/>
  <c r="J119" i="78"/>
  <c r="K119" i="78"/>
  <c r="L119" i="78"/>
  <c r="M119" i="78"/>
  <c r="F117" i="78"/>
  <c r="G117" i="78"/>
  <c r="D117" i="78"/>
  <c r="E117" i="78"/>
  <c r="D115" i="78"/>
  <c r="E115" i="78"/>
  <c r="F115" i="78"/>
  <c r="G115" i="78"/>
  <c r="H115" i="78"/>
  <c r="I115" i="78"/>
  <c r="J115" i="78"/>
  <c r="K115" i="78"/>
  <c r="L115" i="78"/>
  <c r="M115" i="78"/>
  <c r="D113" i="78"/>
  <c r="E113" i="78"/>
  <c r="F113" i="78"/>
  <c r="G113" i="78"/>
  <c r="H113" i="78"/>
  <c r="H111" i="78"/>
  <c r="G111" i="78"/>
  <c r="F111" i="78"/>
  <c r="E111" i="78"/>
  <c r="D111" i="78"/>
  <c r="C111" i="78"/>
  <c r="I110" i="78"/>
  <c r="J110" i="78"/>
  <c r="K110" i="78"/>
  <c r="L110" i="78"/>
  <c r="M110" i="78"/>
  <c r="E110" i="78"/>
  <c r="F110" i="78"/>
  <c r="G110" i="78"/>
  <c r="H110" i="78"/>
  <c r="D110" i="78"/>
  <c r="G108" i="78"/>
  <c r="H108" i="78"/>
  <c r="I108" i="78"/>
  <c r="J108" i="78"/>
  <c r="K108" i="78"/>
  <c r="L108" i="78"/>
  <c r="M108" i="78"/>
  <c r="D108" i="78"/>
  <c r="E108" i="78"/>
  <c r="F108" i="78"/>
  <c r="E106" i="78"/>
  <c r="F106" i="78"/>
  <c r="G106" i="78"/>
  <c r="H106" i="78"/>
  <c r="I106" i="78"/>
  <c r="J106" i="78"/>
  <c r="K106" i="78"/>
  <c r="L106" i="78"/>
  <c r="M106" i="78"/>
  <c r="D106" i="78"/>
  <c r="M102" i="78"/>
  <c r="L102" i="78"/>
  <c r="K102" i="78"/>
  <c r="J102" i="78"/>
  <c r="I102" i="78"/>
  <c r="H102" i="78"/>
  <c r="G102" i="78"/>
  <c r="F102" i="78"/>
  <c r="E102" i="78"/>
  <c r="D102" i="78"/>
  <c r="C102" i="78"/>
  <c r="D101" i="78"/>
  <c r="E101" i="78"/>
  <c r="F101" i="78"/>
  <c r="G101" i="78"/>
  <c r="H101" i="78"/>
  <c r="I101" i="78"/>
  <c r="J101" i="78"/>
  <c r="K101" i="78"/>
  <c r="L101" i="78"/>
  <c r="M101" i="78"/>
  <c r="B98" i="78"/>
  <c r="H31" i="78"/>
  <c r="AB31" i="78"/>
  <c r="B96" i="78"/>
  <c r="B94" i="78"/>
  <c r="B92" i="78"/>
  <c r="F91" i="78"/>
  <c r="E91" i="78"/>
  <c r="B90" i="78"/>
  <c r="D89" i="78"/>
  <c r="E89" i="78"/>
  <c r="F89" i="78"/>
  <c r="G89" i="78"/>
  <c r="H89" i="78"/>
  <c r="I89" i="78"/>
  <c r="J89" i="78"/>
  <c r="K89" i="78"/>
  <c r="L89" i="78"/>
  <c r="M89" i="78"/>
  <c r="M87" i="78"/>
  <c r="L87" i="78"/>
  <c r="K87" i="78"/>
  <c r="J87" i="78"/>
  <c r="I87" i="78"/>
  <c r="H87" i="78"/>
  <c r="G87" i="78"/>
  <c r="F87" i="78"/>
  <c r="E87" i="78"/>
  <c r="D87" i="78"/>
  <c r="E85" i="78"/>
  <c r="F85" i="78"/>
  <c r="G85" i="78"/>
  <c r="D85" i="78"/>
  <c r="E83" i="78"/>
  <c r="F83" i="78"/>
  <c r="G83" i="78"/>
  <c r="D83" i="78"/>
  <c r="D81" i="78"/>
  <c r="E81" i="78"/>
  <c r="F81" i="78"/>
  <c r="G81" i="78"/>
  <c r="D79" i="78"/>
  <c r="E79" i="78"/>
  <c r="D77" i="78"/>
  <c r="E77" i="78"/>
  <c r="B74" i="78"/>
  <c r="B72" i="78"/>
  <c r="B70" i="78"/>
  <c r="D69" i="78"/>
  <c r="E69" i="78"/>
  <c r="F69" i="78"/>
  <c r="G69" i="78"/>
  <c r="H69" i="78"/>
  <c r="I69" i="78"/>
  <c r="J69" i="78"/>
  <c r="K69" i="78"/>
  <c r="L69" i="78"/>
  <c r="M69" i="78"/>
  <c r="M67" i="78"/>
  <c r="L67" i="78"/>
  <c r="K67" i="78"/>
  <c r="J67" i="78"/>
  <c r="I67" i="78"/>
  <c r="H67" i="78"/>
  <c r="G67" i="78"/>
  <c r="F67" i="78"/>
  <c r="E67" i="78"/>
  <c r="D67" i="78"/>
  <c r="C67" i="78"/>
  <c r="G66" i="78"/>
  <c r="H66" i="78"/>
  <c r="I66" i="78"/>
  <c r="D66" i="78"/>
  <c r="E66" i="78"/>
  <c r="F66" i="78"/>
  <c r="C63" i="78"/>
  <c r="I54" i="78"/>
  <c r="J54" i="78"/>
  <c r="G54" i="78"/>
  <c r="H54" i="78"/>
  <c r="E54" i="78"/>
  <c r="F54" i="78"/>
  <c r="I51" i="78"/>
  <c r="G51" i="78"/>
  <c r="E51" i="78"/>
  <c r="P49" i="78"/>
  <c r="P48" i="78"/>
  <c r="K48" i="78"/>
  <c r="V47" i="78"/>
  <c r="T47" i="78"/>
  <c r="R47" i="78"/>
  <c r="P47" i="78"/>
  <c r="Q46" i="78"/>
  <c r="Z46" i="78"/>
  <c r="J46" i="78"/>
  <c r="AC46" i="78"/>
  <c r="H46" i="78"/>
  <c r="AB46" i="78"/>
  <c r="F46" i="78"/>
  <c r="AA46" i="78"/>
  <c r="Z45" i="78"/>
  <c r="Q45" i="78"/>
  <c r="I45" i="78"/>
  <c r="J45" i="78"/>
  <c r="G45" i="78"/>
  <c r="H45" i="78"/>
  <c r="E45" i="78"/>
  <c r="F45" i="78"/>
  <c r="Q44" i="78"/>
  <c r="Z44" i="78"/>
  <c r="H44" i="78"/>
  <c r="AB44" i="78"/>
  <c r="Q43" i="78"/>
  <c r="Z43" i="78"/>
  <c r="F43" i="78"/>
  <c r="AA43" i="78"/>
  <c r="Q42" i="78"/>
  <c r="Z42" i="78"/>
  <c r="J42" i="78"/>
  <c r="AC42" i="78"/>
  <c r="H42" i="78"/>
  <c r="AB42" i="78"/>
  <c r="F42" i="78"/>
  <c r="AA42" i="78"/>
  <c r="Q41" i="78"/>
  <c r="Z41" i="78"/>
  <c r="E41" i="78"/>
  <c r="Q40" i="78"/>
  <c r="Z40" i="78"/>
  <c r="J40" i="78"/>
  <c r="AC40" i="78"/>
  <c r="H40" i="78"/>
  <c r="AB40" i="78"/>
  <c r="F40" i="78"/>
  <c r="AA40" i="78"/>
  <c r="Q39" i="78"/>
  <c r="Z39" i="78"/>
  <c r="J39" i="78"/>
  <c r="W39" i="78"/>
  <c r="H39" i="78"/>
  <c r="AB39" i="78"/>
  <c r="F39" i="78"/>
  <c r="AA39" i="78"/>
  <c r="Z38" i="78"/>
  <c r="U38" i="78"/>
  <c r="Q38" i="78"/>
  <c r="J38" i="78"/>
  <c r="AC38" i="78"/>
  <c r="H38" i="78"/>
  <c r="AB38" i="78"/>
  <c r="F38" i="78"/>
  <c r="AA38" i="78"/>
  <c r="AA37" i="78"/>
  <c r="S37" i="78"/>
  <c r="Q37" i="78"/>
  <c r="Z37" i="78"/>
  <c r="AC37" i="78"/>
  <c r="AB37" i="78"/>
  <c r="W36" i="78"/>
  <c r="Q36" i="78"/>
  <c r="Z36" i="78"/>
  <c r="J36" i="78"/>
  <c r="AC36" i="78"/>
  <c r="H36" i="78"/>
  <c r="AB36" i="78"/>
  <c r="F36" i="78"/>
  <c r="AA36" i="78"/>
  <c r="Q35" i="78"/>
  <c r="Z35" i="78"/>
  <c r="J35" i="78"/>
  <c r="AC35" i="78"/>
  <c r="H35" i="78"/>
  <c r="U35" i="78"/>
  <c r="F35" i="78"/>
  <c r="AA35" i="78"/>
  <c r="Q34" i="78"/>
  <c r="Z34" i="78"/>
  <c r="J34" i="78"/>
  <c r="W34" i="78"/>
  <c r="H34" i="78"/>
  <c r="AB34" i="78"/>
  <c r="F34" i="78"/>
  <c r="S34" i="78"/>
  <c r="Q33" i="78"/>
  <c r="Z33" i="78"/>
  <c r="I33" i="78"/>
  <c r="J33" i="78"/>
  <c r="G33" i="78"/>
  <c r="H33" i="78"/>
  <c r="U33" i="78"/>
  <c r="E33" i="78"/>
  <c r="F33" i="78"/>
  <c r="Z32" i="78"/>
  <c r="Q32" i="78"/>
  <c r="J32" i="78"/>
  <c r="AC32" i="78"/>
  <c r="H32" i="78"/>
  <c r="AB32" i="78"/>
  <c r="F32" i="78"/>
  <c r="AA32" i="78"/>
  <c r="Q31" i="78"/>
  <c r="Z31" i="78"/>
  <c r="J31" i="78"/>
  <c r="AC31" i="78"/>
  <c r="Q30" i="78"/>
  <c r="Z30" i="78"/>
  <c r="H30" i="78"/>
  <c r="AB30" i="78"/>
  <c r="Q29" i="78"/>
  <c r="Z29" i="78"/>
  <c r="J29" i="78"/>
  <c r="AC29" i="78"/>
  <c r="H29" i="78"/>
  <c r="AB29" i="78"/>
  <c r="F29" i="78"/>
  <c r="S29" i="78"/>
  <c r="Q28" i="78"/>
  <c r="Z28" i="78"/>
  <c r="J28" i="78"/>
  <c r="AC28" i="78"/>
  <c r="H28" i="78"/>
  <c r="AB28" i="78"/>
  <c r="F28" i="78"/>
  <c r="AA28" i="78"/>
  <c r="Q27" i="78"/>
  <c r="Z27" i="78"/>
  <c r="C90" i="78"/>
  <c r="Z26" i="78"/>
  <c r="Q26" i="78"/>
  <c r="J26" i="78"/>
  <c r="AC26" i="78"/>
  <c r="H26" i="78"/>
  <c r="AB26" i="78"/>
  <c r="F26" i="78"/>
  <c r="AA26" i="78"/>
  <c r="Q25" i="78"/>
  <c r="Z25" i="78"/>
  <c r="J25" i="78"/>
  <c r="AC25" i="78"/>
  <c r="H25" i="78"/>
  <c r="AB25" i="78"/>
  <c r="F25" i="78"/>
  <c r="AA25" i="78"/>
  <c r="Q23" i="78"/>
  <c r="Z23" i="78"/>
  <c r="J23" i="78"/>
  <c r="AC23" i="78"/>
  <c r="H23" i="78"/>
  <c r="AB23" i="78"/>
  <c r="F23" i="78"/>
  <c r="AA23" i="78"/>
  <c r="C23" i="78"/>
  <c r="Q21" i="78"/>
  <c r="Z21" i="78"/>
  <c r="J21" i="78"/>
  <c r="AC21" i="78"/>
  <c r="H21" i="78"/>
  <c r="AB21" i="78"/>
  <c r="F21" i="78"/>
  <c r="AA21" i="78"/>
  <c r="C21" i="78"/>
  <c r="Q19" i="78"/>
  <c r="Z19" i="78"/>
  <c r="C19" i="78"/>
  <c r="Q17" i="78"/>
  <c r="Z17" i="78"/>
  <c r="C17" i="78"/>
  <c r="Q15" i="78"/>
  <c r="Z15" i="78"/>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I11" i="78"/>
  <c r="J11" i="78"/>
  <c r="H11" i="78"/>
  <c r="AB11" i="78"/>
  <c r="G11" i="78"/>
  <c r="E11" i="78"/>
  <c r="F11" i="78"/>
  <c r="Q10" i="78"/>
  <c r="Z10" i="78"/>
  <c r="J10" i="78"/>
  <c r="AC10" i="78"/>
  <c r="H10" i="78"/>
  <c r="AB10" i="78"/>
  <c r="F10" i="78"/>
  <c r="AA10" i="78"/>
  <c r="Q9" i="78"/>
  <c r="Z9" i="78"/>
  <c r="J9" i="78"/>
  <c r="AC9" i="78"/>
  <c r="H9" i="78"/>
  <c r="AB9" i="78"/>
  <c r="F9" i="78"/>
  <c r="AA9" i="78"/>
  <c r="AA8" i="78"/>
  <c r="S8" i="78"/>
  <c r="J8" i="78"/>
  <c r="W8" i="78"/>
  <c r="H8" i="78"/>
  <c r="U8" i="78"/>
  <c r="F8" i="78"/>
  <c r="D3" i="78"/>
  <c r="C2" i="78"/>
  <c r="E2" i="78"/>
  <c r="U30" i="78"/>
  <c r="W29" i="78"/>
  <c r="AA29" i="78"/>
  <c r="F31" i="78"/>
  <c r="AA31" i="78"/>
  <c r="W31" i="78"/>
  <c r="U28" i="78"/>
  <c r="AB35" i="78"/>
  <c r="AA34" i="78"/>
  <c r="U32" i="78"/>
  <c r="AC39" i="78"/>
  <c r="F77" i="78"/>
  <c r="G77" i="78"/>
  <c r="J15" i="78"/>
  <c r="AC15" i="78"/>
  <c r="F19" i="78"/>
  <c r="AA19" i="78"/>
  <c r="H19" i="78"/>
  <c r="AB19" i="78"/>
  <c r="J19" i="78"/>
  <c r="AC19" i="78"/>
  <c r="F79" i="78"/>
  <c r="G79" i="78"/>
  <c r="F17" i="78"/>
  <c r="AA17" i="78"/>
  <c r="J17" i="78"/>
  <c r="AC17" i="78"/>
  <c r="H17" i="78"/>
  <c r="AB17" i="78"/>
  <c r="F15" i="78"/>
  <c r="AA15" i="78"/>
  <c r="H15" i="78"/>
  <c r="AB15" i="78"/>
  <c r="W37" i="78"/>
  <c r="AC11" i="78"/>
  <c r="W11" i="78"/>
  <c r="AA11" i="78"/>
  <c r="S11" i="78"/>
  <c r="S25" i="78"/>
  <c r="U26" i="78"/>
  <c r="AA45" i="78"/>
  <c r="S45" i="78"/>
  <c r="W13" i="78"/>
  <c r="F2" i="78"/>
  <c r="W9" i="78"/>
  <c r="U11" i="78"/>
  <c r="W12" i="78"/>
  <c r="S14" i="78"/>
  <c r="S21" i="78"/>
  <c r="S23" i="78"/>
  <c r="U25" i="78"/>
  <c r="AC33" i="78"/>
  <c r="W33" i="78"/>
  <c r="AB33" i="78"/>
  <c r="AC34" i="78"/>
  <c r="S36" i="78"/>
  <c r="AB45" i="78"/>
  <c r="U45" i="78"/>
  <c r="S46" i="78"/>
  <c r="W10" i="78"/>
  <c r="U12" i="78"/>
  <c r="AB8" i="78"/>
  <c r="AC8" i="78"/>
  <c r="S10" i="78"/>
  <c r="S13" i="78"/>
  <c r="U14" i="78"/>
  <c r="U21" i="78"/>
  <c r="U23" i="78"/>
  <c r="W25" i="78"/>
  <c r="D120" i="78"/>
  <c r="H41" i="78"/>
  <c r="F41" i="78"/>
  <c r="S43" i="78"/>
  <c r="U44" i="78"/>
  <c r="AC45" i="78"/>
  <c r="W45" i="78"/>
  <c r="I41" i="78"/>
  <c r="J43" i="78"/>
  <c r="E125" i="78"/>
  <c r="F125" i="78"/>
  <c r="G125" i="78"/>
  <c r="H43" i="78"/>
  <c r="U9" i="78"/>
  <c r="S9" i="78"/>
  <c r="U10" i="78"/>
  <c r="S12" i="78"/>
  <c r="U13" i="78"/>
  <c r="W14" i="78"/>
  <c r="W21" i="78"/>
  <c r="W23" i="78"/>
  <c r="S26" i="78"/>
  <c r="G27" i="78"/>
  <c r="I27" i="78"/>
  <c r="AA33" i="78"/>
  <c r="S33" i="78"/>
  <c r="J30" i="78"/>
  <c r="F30" i="78"/>
  <c r="F44" i="78"/>
  <c r="J44" i="78"/>
  <c r="W28" i="78"/>
  <c r="U31" i="78"/>
  <c r="W32" i="78"/>
  <c r="U34" i="78"/>
  <c r="W35" i="78"/>
  <c r="U37" i="78"/>
  <c r="W38" i="78"/>
  <c r="S40" i="78"/>
  <c r="S42" i="78"/>
  <c r="U46" i="78"/>
  <c r="K144" i="78"/>
  <c r="S39" i="78"/>
  <c r="U40" i="78"/>
  <c r="U42" i="78"/>
  <c r="W46" i="78"/>
  <c r="K141" i="78"/>
  <c r="W26" i="78"/>
  <c r="S28" i="78"/>
  <c r="U29" i="78"/>
  <c r="S32" i="78"/>
  <c r="S35" i="78"/>
  <c r="U36" i="78"/>
  <c r="S38" i="78"/>
  <c r="U39" i="78"/>
  <c r="W40" i="78"/>
  <c r="W42" i="78"/>
  <c r="S31" i="78"/>
  <c r="J41" i="78"/>
  <c r="AC41" i="78"/>
  <c r="W15" i="78"/>
  <c r="U19" i="78"/>
  <c r="S19" i="78"/>
  <c r="W19" i="78"/>
  <c r="U17" i="78"/>
  <c r="W17" i="78"/>
  <c r="S17" i="78"/>
  <c r="U15" i="78"/>
  <c r="S15" i="78"/>
  <c r="AC30" i="78"/>
  <c r="W30" i="78"/>
  <c r="E90" i="78"/>
  <c r="AB41" i="78"/>
  <c r="U41" i="78"/>
  <c r="AC43" i="78"/>
  <c r="W43" i="78"/>
  <c r="AC44" i="78"/>
  <c r="W44" i="78"/>
  <c r="D90" i="78"/>
  <c r="H27" i="78"/>
  <c r="AA41" i="78"/>
  <c r="S41" i="78"/>
  <c r="AA44" i="78"/>
  <c r="S44" i="78"/>
  <c r="AB43" i="78"/>
  <c r="U43" i="78"/>
  <c r="AA30" i="78"/>
  <c r="S30" i="78"/>
  <c r="F90" i="78"/>
  <c r="J27" i="78"/>
  <c r="I6" i="33"/>
  <c r="E127" i="33"/>
  <c r="C127" i="33"/>
  <c r="F44" i="33"/>
  <c r="D101" i="33"/>
  <c r="C6" i="33"/>
  <c r="C5" i="33"/>
  <c r="F27" i="78"/>
  <c r="S27" i="78"/>
  <c r="W41" i="78"/>
  <c r="AC27" i="78"/>
  <c r="W27" i="78"/>
  <c r="AB27" i="78"/>
  <c r="U27" i="78"/>
  <c r="D113" i="21"/>
  <c r="E113" i="21"/>
  <c r="F113" i="21"/>
  <c r="G113" i="21"/>
  <c r="H113" i="21"/>
  <c r="AA27" i="78"/>
  <c r="I51" i="21"/>
  <c r="G51" i="21"/>
  <c r="E51" i="21"/>
  <c r="B4" i="73"/>
  <c r="B5" i="73"/>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3" i="73"/>
  <c r="I29" i="35"/>
  <c r="G29" i="35"/>
  <c r="I34" i="35"/>
  <c r="G34" i="35"/>
  <c r="C34" i="35"/>
  <c r="C6" i="35"/>
  <c r="C5" i="35"/>
  <c r="E41" i="21"/>
  <c r="F91" i="21"/>
  <c r="E91" i="21"/>
  <c r="D120" i="21"/>
  <c r="C120" i="21"/>
  <c r="I41" i="21"/>
  <c r="F90" i="21"/>
  <c r="E90" i="21"/>
  <c r="D90" i="21"/>
  <c r="C90" i="21"/>
  <c r="I45" i="21"/>
  <c r="G45" i="21"/>
  <c r="E45" i="21"/>
  <c r="D126" i="21"/>
  <c r="I33" i="21"/>
  <c r="G33" i="21"/>
  <c r="E33" i="21"/>
  <c r="I11" i="21"/>
  <c r="G11" i="21"/>
  <c r="E11" i="21"/>
  <c r="AH5" i="59"/>
  <c r="AG5" i="59"/>
  <c r="AE5" i="59"/>
  <c r="AF5" i="59"/>
  <c r="AD5" i="59"/>
  <c r="Q5" i="59"/>
  <c r="P5" i="59"/>
  <c r="O5" i="59"/>
  <c r="N5" i="59"/>
  <c r="B18" i="1"/>
  <c r="D15" i="48"/>
  <c r="I1" i="4"/>
  <c r="F61" i="57"/>
  <c r="F59" i="9"/>
  <c r="E61" i="57"/>
  <c r="K42" i="40"/>
  <c r="K47" i="39"/>
  <c r="K36" i="36"/>
  <c r="K38" i="35"/>
  <c r="K42" i="37"/>
  <c r="K49" i="34"/>
  <c r="K48" i="33"/>
  <c r="K48" i="21"/>
  <c r="E59" i="9"/>
  <c r="B14" i="62"/>
  <c r="D14" i="62"/>
  <c r="A14" i="55"/>
  <c r="I108" i="57"/>
  <c r="I106" i="9"/>
  <c r="AH6" i="59"/>
  <c r="AG6" i="59"/>
  <c r="AE6" i="59"/>
  <c r="AF6" i="59"/>
  <c r="AD6" i="59"/>
  <c r="Q6" i="59"/>
  <c r="P6" i="59"/>
  <c r="O6" i="59"/>
  <c r="N6" i="59"/>
  <c r="AH7" i="59"/>
  <c r="AG7" i="59"/>
  <c r="AE7" i="59"/>
  <c r="AF7" i="59"/>
  <c r="AD7" i="59"/>
  <c r="Q7" i="59"/>
  <c r="P7" i="59"/>
  <c r="O7" i="59"/>
  <c r="N7" i="59"/>
  <c r="O9" i="59"/>
  <c r="N9" i="59"/>
  <c r="AH8" i="59"/>
  <c r="AG8" i="59"/>
  <c r="AE8" i="59"/>
  <c r="AF8" i="59"/>
  <c r="AD8" i="59"/>
  <c r="Q8" i="59"/>
  <c r="Q9" i="59"/>
  <c r="P8" i="59"/>
  <c r="P9" i="59"/>
  <c r="O8" i="59"/>
  <c r="N8" i="59"/>
  <c r="B2" i="48"/>
  <c r="O10" i="59"/>
  <c r="O11" i="59"/>
  <c r="N10" i="59"/>
  <c r="N11" i="59"/>
  <c r="AH9" i="59"/>
  <c r="AG9" i="59"/>
  <c r="AE9" i="59"/>
  <c r="AF9" i="59"/>
  <c r="AD9" i="59"/>
  <c r="Q10" i="59"/>
  <c r="Q11" i="59"/>
  <c r="P10" i="59"/>
  <c r="P11"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P13" i="59"/>
  <c r="P14" i="59"/>
  <c r="O13" i="59"/>
  <c r="O14" i="59"/>
  <c r="N13" i="59"/>
  <c r="N14" i="59"/>
  <c r="N15" i="59"/>
  <c r="O15" i="59"/>
  <c r="P15" i="59"/>
  <c r="Q15" i="59"/>
  <c r="AD14" i="59"/>
  <c r="AE14" i="59"/>
  <c r="AF14" i="59"/>
  <c r="AG14" i="59"/>
  <c r="AH14" i="59"/>
  <c r="M19" i="43"/>
  <c r="M48" i="15"/>
  <c r="B2" i="1"/>
  <c r="B24" i="1"/>
  <c r="J50" i="15"/>
  <c r="J51" i="15"/>
  <c r="B26" i="1"/>
  <c r="AH15" i="59"/>
  <c r="AG15" i="59"/>
  <c r="AE15" i="59"/>
  <c r="AF15" i="59"/>
  <c r="AD15" i="59"/>
  <c r="AH16" i="59"/>
  <c r="AG16" i="59"/>
  <c r="AE16" i="59"/>
  <c r="AF16" i="59"/>
  <c r="AD16" i="59"/>
  <c r="Q16" i="59"/>
  <c r="P16" i="59"/>
  <c r="O16" i="59"/>
  <c r="C16" i="59"/>
  <c r="N16" i="59"/>
  <c r="Q17" i="59"/>
  <c r="P17" i="59"/>
  <c r="O17" i="59"/>
  <c r="N17" i="59"/>
  <c r="D17" i="59"/>
  <c r="E16" i="59"/>
  <c r="F16" i="59"/>
  <c r="V16" i="59"/>
  <c r="A2" i="50"/>
  <c r="B16" i="60"/>
  <c r="K60" i="15"/>
  <c r="P59" i="15"/>
  <c r="A127" i="57"/>
  <c r="A123" i="9"/>
  <c r="A6" i="52"/>
  <c r="B64" i="60"/>
  <c r="A16" i="54"/>
  <c r="B14" i="60"/>
  <c r="A14" i="54"/>
  <c r="B12" i="60"/>
  <c r="A19" i="55"/>
  <c r="A13" i="55"/>
  <c r="B43" i="60"/>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c r="B68" i="60"/>
  <c r="D28" i="57"/>
  <c r="D29" i="57"/>
  <c r="D28" i="9"/>
  <c r="D29" i="9"/>
  <c r="A10" i="54"/>
  <c r="B9" i="60"/>
  <c r="Y12" i="43"/>
  <c r="Y10" i="43"/>
  <c r="AJ9" i="43"/>
  <c r="AJ12" i="43"/>
  <c r="AI9" i="43"/>
  <c r="AI12" i="43"/>
  <c r="AH9" i="43"/>
  <c r="AH12" i="43"/>
  <c r="AG9" i="43"/>
  <c r="AG12" i="43"/>
  <c r="AF9" i="43"/>
  <c r="AF12" i="43"/>
  <c r="AE9" i="43"/>
  <c r="AE12" i="43"/>
  <c r="AD9" i="43"/>
  <c r="AD12" i="43"/>
  <c r="AC9" i="43"/>
  <c r="AC10" i="43"/>
  <c r="AB9" i="43"/>
  <c r="AB12" i="43"/>
  <c r="AA9" i="43"/>
  <c r="AA12" i="43"/>
  <c r="Z9" i="43"/>
  <c r="Z12" i="43"/>
  <c r="AG10" i="43"/>
  <c r="AB10" i="43"/>
  <c r="AD10" i="43"/>
  <c r="AH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18" i="50"/>
  <c r="B45" i="50"/>
  <c r="B59" i="60"/>
  <c r="D2" i="52"/>
  <c r="B60" i="60"/>
  <c r="B10" i="50"/>
  <c r="B31" i="50"/>
  <c r="C6" i="50"/>
  <c r="B18" i="60"/>
  <c r="A13" i="54"/>
  <c r="B51" i="60"/>
  <c r="B50" i="60"/>
  <c r="B47" i="60"/>
  <c r="B51" i="10"/>
  <c r="B49" i="60"/>
  <c r="A15" i="55"/>
  <c r="B45" i="60"/>
  <c r="B44" i="60"/>
  <c r="C10" i="50"/>
  <c r="B24" i="60"/>
  <c r="C7" i="50"/>
  <c r="C15" i="50"/>
  <c r="C18" i="50"/>
  <c r="B20" i="60"/>
  <c r="C35" i="50"/>
  <c r="C34" i="50"/>
  <c r="C33" i="50"/>
  <c r="B13"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B71" i="59"/>
  <c r="B70" i="59"/>
  <c r="Q71" i="59"/>
  <c r="P71" i="59"/>
  <c r="O71" i="59"/>
  <c r="N71" i="59"/>
  <c r="F71" i="59"/>
  <c r="F70" i="59"/>
  <c r="Q70" i="59"/>
  <c r="P70" i="59"/>
  <c r="O70" i="59"/>
  <c r="N70" i="59"/>
  <c r="Q69" i="59"/>
  <c r="P69" i="59"/>
  <c r="O69" i="59"/>
  <c r="N69" i="59"/>
  <c r="D69" i="59"/>
  <c r="Q68" i="59"/>
  <c r="P68" i="59"/>
  <c r="O68" i="59"/>
  <c r="N68" i="59"/>
  <c r="F68" i="59"/>
  <c r="F67" i="59"/>
  <c r="F66" i="59"/>
  <c r="E68" i="59"/>
  <c r="U68" i="59"/>
  <c r="C68" i="59"/>
  <c r="T68" i="59"/>
  <c r="B68" i="59"/>
  <c r="S68" i="59"/>
  <c r="Q67" i="59"/>
  <c r="P67" i="59"/>
  <c r="O67" i="59"/>
  <c r="N67" i="59"/>
  <c r="Q66" i="59"/>
  <c r="P66" i="59"/>
  <c r="O66" i="59"/>
  <c r="N66" i="59"/>
  <c r="Q65" i="59"/>
  <c r="P65" i="59"/>
  <c r="O65" i="59"/>
  <c r="N65" i="59"/>
  <c r="D65" i="59"/>
  <c r="Q64" i="59"/>
  <c r="P64" i="59"/>
  <c r="O64" i="59"/>
  <c r="N64" i="59"/>
  <c r="F64" i="59"/>
  <c r="F63" i="59"/>
  <c r="F62" i="59"/>
  <c r="V64" i="59"/>
  <c r="E64" i="59"/>
  <c r="C64" i="59"/>
  <c r="D64" i="59"/>
  <c r="B64" i="59"/>
  <c r="S64" i="59"/>
  <c r="Q63" i="59"/>
  <c r="P63" i="59"/>
  <c r="O63" i="59"/>
  <c r="N63" i="59"/>
  <c r="Q62" i="59"/>
  <c r="P62" i="59"/>
  <c r="O62" i="59"/>
  <c r="N62" i="59"/>
  <c r="Q61" i="59"/>
  <c r="P61" i="59"/>
  <c r="O61" i="59"/>
  <c r="N61" i="59"/>
  <c r="D61" i="59"/>
  <c r="F60" i="59"/>
  <c r="V60" i="59"/>
  <c r="E60" i="59"/>
  <c r="P60" i="59"/>
  <c r="C60" i="59"/>
  <c r="O60" i="59"/>
  <c r="B60" i="59"/>
  <c r="B59" i="59"/>
  <c r="F59" i="59"/>
  <c r="Q59" i="59"/>
  <c r="D57" i="59"/>
  <c r="Q56" i="59"/>
  <c r="P56" i="59"/>
  <c r="O56" i="59"/>
  <c r="N56" i="59"/>
  <c r="Q55" i="59"/>
  <c r="P55" i="59"/>
  <c r="O55" i="59"/>
  <c r="N55" i="59"/>
  <c r="Q54" i="59"/>
  <c r="P54" i="59"/>
  <c r="O54" i="59"/>
  <c r="N54" i="59"/>
  <c r="Q53" i="59"/>
  <c r="F54" i="59"/>
  <c r="F55" i="59"/>
  <c r="F56" i="59"/>
  <c r="V56" i="59"/>
  <c r="P53" i="59"/>
  <c r="E54" i="59"/>
  <c r="O53" i="59"/>
  <c r="C54" i="59"/>
  <c r="D54" i="59"/>
  <c r="N53" i="59"/>
  <c r="B54" i="59"/>
  <c r="D53" i="59"/>
  <c r="Q52" i="59"/>
  <c r="P52" i="59"/>
  <c r="O52" i="59"/>
  <c r="N52" i="59"/>
  <c r="Q51" i="59"/>
  <c r="P51" i="59"/>
  <c r="O51" i="59"/>
  <c r="N51" i="59"/>
  <c r="Q50" i="59"/>
  <c r="P50" i="59"/>
  <c r="O50" i="59"/>
  <c r="N50" i="59"/>
  <c r="Q49" i="59"/>
  <c r="F50" i="59"/>
  <c r="F51" i="59"/>
  <c r="F52" i="59"/>
  <c r="V52" i="59"/>
  <c r="P49" i="59"/>
  <c r="E50" i="59"/>
  <c r="O49" i="59"/>
  <c r="C50" i="59"/>
  <c r="N49" i="59"/>
  <c r="B50" i="59"/>
  <c r="D49" i="59"/>
  <c r="Q48" i="59"/>
  <c r="P48" i="59"/>
  <c r="O48" i="59"/>
  <c r="N48" i="59"/>
  <c r="Q47" i="59"/>
  <c r="P47" i="59"/>
  <c r="O47" i="59"/>
  <c r="N47" i="59"/>
  <c r="Q46" i="59"/>
  <c r="P46" i="59"/>
  <c r="O46" i="59"/>
  <c r="N46" i="59"/>
  <c r="Q45" i="59"/>
  <c r="F46" i="59"/>
  <c r="F47" i="59"/>
  <c r="F48" i="59"/>
  <c r="V48"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E43" i="59"/>
  <c r="E44" i="59"/>
  <c r="U44" i="59"/>
  <c r="O41" i="59"/>
  <c r="C42" i="59"/>
  <c r="N41" i="59"/>
  <c r="B42" i="59"/>
  <c r="D41" i="59"/>
  <c r="T40" i="59"/>
  <c r="Q40" i="59"/>
  <c r="P40" i="59"/>
  <c r="O40" i="59"/>
  <c r="N40" i="59"/>
  <c r="D40" i="59"/>
  <c r="Q39" i="59"/>
  <c r="P39" i="59"/>
  <c r="O39" i="59"/>
  <c r="N39" i="59"/>
  <c r="Q38" i="59"/>
  <c r="P38" i="59"/>
  <c r="O38" i="59"/>
  <c r="N38" i="59"/>
  <c r="Q37" i="59"/>
  <c r="F38" i="59"/>
  <c r="F39" i="59"/>
  <c r="F40" i="59"/>
  <c r="V40" i="59"/>
  <c r="P37" i="59"/>
  <c r="E38" i="59"/>
  <c r="E39" i="59"/>
  <c r="E40" i="59"/>
  <c r="U40" i="59"/>
  <c r="O37" i="59"/>
  <c r="C38" i="59"/>
  <c r="D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Q30" i="59"/>
  <c r="AB30" i="59"/>
  <c r="P30" i="59"/>
  <c r="O30" i="59"/>
  <c r="Y30" i="59"/>
  <c r="Z30" i="59"/>
  <c r="N30" i="59"/>
  <c r="X30" i="59"/>
  <c r="Q29" i="59"/>
  <c r="F30" i="59"/>
  <c r="F31" i="59"/>
  <c r="F32" i="59"/>
  <c r="V32" i="59"/>
  <c r="P29" i="59"/>
  <c r="O29" i="59"/>
  <c r="N29" i="59"/>
  <c r="X29" i="59"/>
  <c r="D29" i="59"/>
  <c r="Q28" i="59"/>
  <c r="AB28" i="59"/>
  <c r="P28" i="59"/>
  <c r="O28" i="59"/>
  <c r="N28" i="59"/>
  <c r="X28" i="59"/>
  <c r="Q27" i="59"/>
  <c r="AB27" i="59"/>
  <c r="P27" i="59"/>
  <c r="O27" i="59"/>
  <c r="N27" i="59"/>
  <c r="X27" i="59"/>
  <c r="Q26" i="59"/>
  <c r="AB26" i="59"/>
  <c r="P26" i="59"/>
  <c r="O26" i="59"/>
  <c r="Y26" i="59"/>
  <c r="Z26" i="59"/>
  <c r="N26" i="59"/>
  <c r="X26" i="59"/>
  <c r="Q25" i="59"/>
  <c r="AB25" i="59"/>
  <c r="P25" i="59"/>
  <c r="O25" i="59"/>
  <c r="Y25" i="59"/>
  <c r="Z25" i="59"/>
  <c r="N25" i="59"/>
  <c r="X25" i="59"/>
  <c r="D25" i="59"/>
  <c r="Q24" i="59"/>
  <c r="P24" i="59"/>
  <c r="O24" i="59"/>
  <c r="N24" i="59"/>
  <c r="Q23" i="59"/>
  <c r="P23" i="59"/>
  <c r="O23" i="59"/>
  <c r="N23" i="59"/>
  <c r="Q22" i="59"/>
  <c r="P22" i="59"/>
  <c r="O22" i="59"/>
  <c r="N22" i="59"/>
  <c r="Q21" i="59"/>
  <c r="P21" i="59"/>
  <c r="O21" i="59"/>
  <c r="N21" i="59"/>
  <c r="B22" i="59"/>
  <c r="B23" i="59"/>
  <c r="B24" i="59"/>
  <c r="S24" i="59"/>
  <c r="D21" i="59"/>
  <c r="O20" i="59"/>
  <c r="N20" i="59"/>
  <c r="X17" i="59"/>
  <c r="C20" i="59"/>
  <c r="T20" i="59"/>
  <c r="Y17" i="59"/>
  <c r="Z17" i="59"/>
  <c r="P20" i="59"/>
  <c r="E20" i="59"/>
  <c r="U64" i="59"/>
  <c r="E63" i="59"/>
  <c r="E62" i="59"/>
  <c r="Q20" i="59"/>
  <c r="F20" i="59"/>
  <c r="F19" i="59"/>
  <c r="F18" i="59"/>
  <c r="T60" i="59"/>
  <c r="T64" i="59"/>
  <c r="C67" i="59"/>
  <c r="D67" i="59"/>
  <c r="C71" i="59"/>
  <c r="D71" i="59"/>
  <c r="D72" i="59"/>
  <c r="C19" i="59"/>
  <c r="D19"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84" i="34"/>
  <c r="G84" i="34"/>
  <c r="F21" i="34"/>
  <c r="AA21" i="34"/>
  <c r="C21" i="34"/>
  <c r="Q21" i="33"/>
  <c r="Z21" i="33"/>
  <c r="D83" i="33"/>
  <c r="E83" i="33"/>
  <c r="F83" i="33"/>
  <c r="G83" i="33"/>
  <c r="H21" i="33"/>
  <c r="AB21" i="33"/>
  <c r="F21" i="33"/>
  <c r="AA21" i="33"/>
  <c r="C21" i="33"/>
  <c r="Z21" i="21"/>
  <c r="Q21" i="21"/>
  <c r="D83" i="21"/>
  <c r="E83" i="21"/>
  <c r="F83" i="21"/>
  <c r="F21" i="21"/>
  <c r="AA21" i="21"/>
  <c r="C21" i="21"/>
  <c r="G20" i="20"/>
  <c r="B86" i="43"/>
  <c r="C22" i="20"/>
  <c r="B75" i="43"/>
  <c r="S25" i="40"/>
  <c r="J25" i="40"/>
  <c r="J27" i="39"/>
  <c r="H27" i="39"/>
  <c r="F27" i="39"/>
  <c r="H18" i="36"/>
  <c r="J18" i="36"/>
  <c r="J21" i="37"/>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27" i="58"/>
  <c r="C32" i="58"/>
  <c r="I23" i="58"/>
  <c r="D20" i="58"/>
  <c r="I19" i="58"/>
  <c r="I18" i="58"/>
  <c r="I17" i="58"/>
  <c r="I20" i="58"/>
  <c r="E15" i="58"/>
  <c r="I14" i="58"/>
  <c r="I13" i="58"/>
  <c r="I12" i="58"/>
  <c r="I15" i="58"/>
  <c r="I9" i="58"/>
  <c r="I8" i="58"/>
  <c r="I7" i="58"/>
  <c r="I6" i="58"/>
  <c r="I5" i="58"/>
  <c r="I4" i="58"/>
  <c r="I3" i="58"/>
  <c r="I10" i="58"/>
  <c r="I21" i="58"/>
  <c r="G57" i="40"/>
  <c r="C57" i="40"/>
  <c r="G56" i="40"/>
  <c r="C56" i="40"/>
  <c r="B21" i="50"/>
  <c r="B42" i="50"/>
  <c r="D1" i="43"/>
  <c r="F113" i="43"/>
  <c r="N99" i="43"/>
  <c r="N100" i="43"/>
  <c r="M99" i="43"/>
  <c r="M108" i="43"/>
  <c r="L99" i="43"/>
  <c r="L108" i="43"/>
  <c r="K99" i="43"/>
  <c r="K100" i="43"/>
  <c r="J99" i="43"/>
  <c r="J108" i="43"/>
  <c r="I99" i="43"/>
  <c r="H99" i="43"/>
  <c r="H108" i="43"/>
  <c r="G99" i="43"/>
  <c r="G108" i="43"/>
  <c r="F99" i="43"/>
  <c r="F108" i="43"/>
  <c r="E99" i="43"/>
  <c r="E108" i="43"/>
  <c r="D99" i="43"/>
  <c r="C99" i="43"/>
  <c r="C108" i="43"/>
  <c r="M100" i="43"/>
  <c r="H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D115" i="57"/>
  <c r="D114" i="57"/>
  <c r="D113" i="57"/>
  <c r="I110" i="57"/>
  <c r="I109" i="57"/>
  <c r="D102" i="57"/>
  <c r="C102" i="57"/>
  <c r="C93" i="57"/>
  <c r="E92" i="57"/>
  <c r="D91" i="57"/>
  <c r="C91" i="57"/>
  <c r="C89" i="57"/>
  <c r="H79" i="57"/>
  <c r="D79" i="57"/>
  <c r="P57" i="57"/>
  <c r="O57" i="57"/>
  <c r="F58" i="57"/>
  <c r="P56" i="57"/>
  <c r="L57" i="57"/>
  <c r="I57" i="57"/>
  <c r="F57" i="57"/>
  <c r="P55"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C7" i="11"/>
  <c r="C5"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10" i="39"/>
  <c r="F35" i="39"/>
  <c r="S35" i="39"/>
  <c r="B112" i="39"/>
  <c r="H36" i="39"/>
  <c r="AB36" i="39"/>
  <c r="J30" i="36"/>
  <c r="H30" i="36"/>
  <c r="F30" i="36"/>
  <c r="AA30" i="36"/>
  <c r="C79" i="35"/>
  <c r="J31" i="35"/>
  <c r="H31" i="35"/>
  <c r="U31" i="35"/>
  <c r="F31" i="35"/>
  <c r="AA31" i="35"/>
  <c r="D87" i="35"/>
  <c r="E87" i="35"/>
  <c r="F87" i="35"/>
  <c r="G87" i="35"/>
  <c r="H87" i="35"/>
  <c r="I87" i="35"/>
  <c r="J87" i="35"/>
  <c r="K87" i="35"/>
  <c r="L87" i="35"/>
  <c r="M87" i="35"/>
  <c r="H29" i="35"/>
  <c r="AB29" i="35"/>
  <c r="H34" i="37"/>
  <c r="D101" i="37"/>
  <c r="F34" i="37"/>
  <c r="AA34" i="37"/>
  <c r="D99" i="37"/>
  <c r="E99" i="37"/>
  <c r="F99" i="37"/>
  <c r="G99" i="37"/>
  <c r="H42" i="34"/>
  <c r="U42" i="34"/>
  <c r="J42" i="34"/>
  <c r="F42" i="34"/>
  <c r="AA42" i="34"/>
  <c r="J38" i="34"/>
  <c r="AC38" i="34"/>
  <c r="D114" i="34"/>
  <c r="D112" i="34"/>
  <c r="E112" i="34"/>
  <c r="F112" i="34"/>
  <c r="G112" i="34"/>
  <c r="H112" i="34"/>
  <c r="I112" i="34"/>
  <c r="J112" i="34"/>
  <c r="K112" i="34"/>
  <c r="L112" i="34"/>
  <c r="M112" i="34"/>
  <c r="F40" i="33"/>
  <c r="AA40" i="33"/>
  <c r="J41" i="33"/>
  <c r="W41" i="33"/>
  <c r="D113" i="33"/>
  <c r="F37" i="33"/>
  <c r="S37" i="33"/>
  <c r="D111" i="33"/>
  <c r="E111" i="33"/>
  <c r="F111" i="33"/>
  <c r="G111" i="33"/>
  <c r="H111" i="33"/>
  <c r="S518" i="31"/>
  <c r="S519" i="31"/>
  <c r="S520" i="31"/>
  <c r="S521" i="31"/>
  <c r="S522" i="31"/>
  <c r="S523" i="31"/>
  <c r="S524" i="31"/>
  <c r="S525" i="31"/>
  <c r="S526" i="31"/>
  <c r="S527" i="31"/>
  <c r="F41" i="21"/>
  <c r="S41" i="21"/>
  <c r="J41" i="21"/>
  <c r="AC41" i="21"/>
  <c r="H41" i="21"/>
  <c r="AB41" i="21"/>
  <c r="D81" i="39"/>
  <c r="E81" i="39"/>
  <c r="F81" i="39"/>
  <c r="G81" i="39"/>
  <c r="H81" i="39"/>
  <c r="I81" i="39"/>
  <c r="J81" i="39"/>
  <c r="K81" i="39"/>
  <c r="L81" i="39"/>
  <c r="M81" i="39"/>
  <c r="D76" i="40"/>
  <c r="E76" i="40"/>
  <c r="F76" i="40"/>
  <c r="G76" i="40"/>
  <c r="H76" i="40"/>
  <c r="I76" i="40"/>
  <c r="J76" i="40"/>
  <c r="K76" i="40"/>
  <c r="L76" i="40"/>
  <c r="M76" i="40"/>
  <c r="B120" i="40"/>
  <c r="J40" i="40"/>
  <c r="B118" i="40"/>
  <c r="J39" i="40"/>
  <c r="W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J27" i="40"/>
  <c r="AC27" i="40"/>
  <c r="D92" i="40"/>
  <c r="E92" i="40"/>
  <c r="F92" i="40"/>
  <c r="G92" i="40"/>
  <c r="D90" i="40"/>
  <c r="E90" i="40"/>
  <c r="D88" i="40"/>
  <c r="E88" i="40"/>
  <c r="F88" i="40"/>
  <c r="G88" i="40"/>
  <c r="D86" i="40"/>
  <c r="E86" i="40"/>
  <c r="D84" i="40"/>
  <c r="E84" i="40"/>
  <c r="B81" i="40"/>
  <c r="B79" i="40"/>
  <c r="B77"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W8" i="40"/>
  <c r="H8" i="40"/>
  <c r="AB8" i="40"/>
  <c r="F8" i="40"/>
  <c r="C7" i="40"/>
  <c r="C63" i="40"/>
  <c r="J38" i="39"/>
  <c r="W38" i="39"/>
  <c r="H38" i="39"/>
  <c r="AB38" i="39"/>
  <c r="F38" i="39"/>
  <c r="D124" i="39"/>
  <c r="E124" i="39"/>
  <c r="F124" i="39"/>
  <c r="G124" i="39"/>
  <c r="H124" i="39"/>
  <c r="I124" i="39"/>
  <c r="J124" i="39"/>
  <c r="K124" i="39"/>
  <c r="L124" i="39"/>
  <c r="M124" i="39"/>
  <c r="D120" i="39"/>
  <c r="E120" i="39"/>
  <c r="F120" i="39"/>
  <c r="G120" i="39"/>
  <c r="H120" i="39"/>
  <c r="I120" i="39"/>
  <c r="J120" i="39"/>
  <c r="K120" i="39"/>
  <c r="L120" i="39"/>
  <c r="M120" i="39"/>
  <c r="B114" i="39"/>
  <c r="F37" i="39"/>
  <c r="S37" i="39"/>
  <c r="D109" i="39"/>
  <c r="E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J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C20" i="36"/>
  <c r="C20" i="35"/>
  <c r="C16" i="36"/>
  <c r="C16" i="35"/>
  <c r="C14" i="36"/>
  <c r="C14" i="35"/>
  <c r="B80" i="37"/>
  <c r="H25" i="37"/>
  <c r="U25" i="37"/>
  <c r="B110" i="37"/>
  <c r="J39" i="37"/>
  <c r="AC39" i="37"/>
  <c r="B108" i="37"/>
  <c r="H38" i="37"/>
  <c r="AB3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F73" i="37"/>
  <c r="G73" i="37"/>
  <c r="J17" i="37"/>
  <c r="D71" i="37"/>
  <c r="E71" i="37"/>
  <c r="F71" i="37"/>
  <c r="G71" i="37"/>
  <c r="B68" i="37"/>
  <c r="H14" i="37"/>
  <c r="B66" i="37"/>
  <c r="F13" i="37"/>
  <c r="S13" i="37"/>
  <c r="B64" i="37"/>
  <c r="H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F8" i="37"/>
  <c r="S8" i="37"/>
  <c r="J31" i="36"/>
  <c r="AC31" i="36"/>
  <c r="H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G79" i="36"/>
  <c r="F79" i="36"/>
  <c r="E79" i="36"/>
  <c r="D79" i="36"/>
  <c r="C79" i="36"/>
  <c r="B93" i="36"/>
  <c r="H33" i="36"/>
  <c r="AB33" i="36"/>
  <c r="B91" i="36"/>
  <c r="H32" i="36"/>
  <c r="B95" i="36"/>
  <c r="D83" i="36"/>
  <c r="E83" i="36"/>
  <c r="D78" i="36"/>
  <c r="E78" i="36"/>
  <c r="F78" i="36"/>
  <c r="G78" i="36"/>
  <c r="H78" i="36"/>
  <c r="I78" i="36"/>
  <c r="J78" i="36"/>
  <c r="K78" i="36"/>
  <c r="L78" i="36"/>
  <c r="M78" i="36"/>
  <c r="B75" i="36"/>
  <c r="B73" i="36"/>
  <c r="B71" i="36"/>
  <c r="D70" i="36"/>
  <c r="H22" i="36"/>
  <c r="U22" i="36"/>
  <c r="D68" i="36"/>
  <c r="E68" i="36"/>
  <c r="F68" i="36"/>
  <c r="G68" i="36"/>
  <c r="D64" i="36"/>
  <c r="E64" i="36"/>
  <c r="F64" i="36"/>
  <c r="G64" i="36"/>
  <c r="J16" i="36"/>
  <c r="W16" i="36"/>
  <c r="D62" i="36"/>
  <c r="E62" i="36"/>
  <c r="F62" i="36"/>
  <c r="G62" i="36"/>
  <c r="H14" i="36"/>
  <c r="AB14" i="36"/>
  <c r="B59" i="36"/>
  <c r="J13" i="36"/>
  <c r="B57" i="36"/>
  <c r="B55" i="36"/>
  <c r="F54" i="36"/>
  <c r="G54" i="36"/>
  <c r="H54" i="36"/>
  <c r="I54"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W23" i="36"/>
  <c r="H23" i="36"/>
  <c r="F23" i="36"/>
  <c r="S23" i="36"/>
  <c r="Q22" i="36"/>
  <c r="Z22" i="36"/>
  <c r="J22" i="36"/>
  <c r="AC22" i="36"/>
  <c r="Q20" i="36"/>
  <c r="Z20" i="36"/>
  <c r="Q16" i="36"/>
  <c r="Z16" i="36"/>
  <c r="Q14" i="36"/>
  <c r="Z14" i="36"/>
  <c r="Q13" i="36"/>
  <c r="Z13" i="36"/>
  <c r="Q12" i="36"/>
  <c r="Z12" i="36"/>
  <c r="Q11" i="36"/>
  <c r="Z11" i="36"/>
  <c r="Q10" i="36"/>
  <c r="Z10" i="36"/>
  <c r="F10" i="36"/>
  <c r="AA10" i="36"/>
  <c r="Q9" i="36"/>
  <c r="Z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J22" i="35"/>
  <c r="AC22" i="35"/>
  <c r="B101" i="35"/>
  <c r="B99" i="35"/>
  <c r="B97" i="35"/>
  <c r="J34" i="35"/>
  <c r="AC34" i="35"/>
  <c r="B77" i="35"/>
  <c r="F25" i="35"/>
  <c r="B75" i="35"/>
  <c r="B73" i="35"/>
  <c r="H23" i="35"/>
  <c r="U23" i="35"/>
  <c r="B57" i="35"/>
  <c r="H11" i="35"/>
  <c r="AB11" i="35"/>
  <c r="B61" i="35"/>
  <c r="B59" i="35"/>
  <c r="F12" i="35"/>
  <c r="S12" i="35"/>
  <c r="B131" i="34"/>
  <c r="B129" i="34"/>
  <c r="J46" i="34"/>
  <c r="B127" i="34"/>
  <c r="H45" i="34"/>
  <c r="B99" i="34"/>
  <c r="B97" i="34"/>
  <c r="B95" i="34"/>
  <c r="B93" i="34"/>
  <c r="B75" i="34"/>
  <c r="B73" i="34"/>
  <c r="B71" i="34"/>
  <c r="F12" i="34"/>
  <c r="B130" i="33"/>
  <c r="B128" i="33"/>
  <c r="J45" i="33"/>
  <c r="B126" i="33"/>
  <c r="B98" i="33"/>
  <c r="J31" i="33"/>
  <c r="W31" i="33"/>
  <c r="B96" i="33"/>
  <c r="H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Q33" i="35"/>
  <c r="Z33" i="35"/>
  <c r="Q32" i="35"/>
  <c r="Z32" i="35"/>
  <c r="H32" i="35"/>
  <c r="AB32" i="35"/>
  <c r="Q31" i="35"/>
  <c r="Z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9" i="35"/>
  <c r="AC9" i="35"/>
  <c r="H9" i="35"/>
  <c r="F9" i="35"/>
  <c r="S9" i="35"/>
  <c r="J8" i="35"/>
  <c r="H8" i="35"/>
  <c r="AB8" i="35"/>
  <c r="F8" i="35"/>
  <c r="AA8" i="35"/>
  <c r="C7"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F118" i="34"/>
  <c r="G118" i="34"/>
  <c r="D116" i="34"/>
  <c r="G110" i="34"/>
  <c r="F110" i="34"/>
  <c r="E110" i="34"/>
  <c r="D110" i="34"/>
  <c r="C110" i="34"/>
  <c r="D109" i="34"/>
  <c r="E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H27" i="34"/>
  <c r="U27" i="34"/>
  <c r="D88" i="34"/>
  <c r="E88" i="34"/>
  <c r="D86" i="34"/>
  <c r="F23" i="34"/>
  <c r="AA23" i="34"/>
  <c r="D82" i="34"/>
  <c r="D80" i="34"/>
  <c r="E80" i="34"/>
  <c r="F80" i="34"/>
  <c r="G80" i="34"/>
  <c r="D78" i="34"/>
  <c r="E78" i="34"/>
  <c r="D70" i="34"/>
  <c r="E70" i="34"/>
  <c r="F70" i="34"/>
  <c r="G70" i="34"/>
  <c r="H70" i="34"/>
  <c r="I70" i="34"/>
  <c r="J70" i="34"/>
  <c r="K70" i="34"/>
  <c r="L70" i="34"/>
  <c r="M70" i="34"/>
  <c r="F11" i="34"/>
  <c r="AA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U12" i="34"/>
  <c r="Q11" i="34"/>
  <c r="Z11" i="34"/>
  <c r="Q10" i="34"/>
  <c r="Z10" i="34"/>
  <c r="F10" i="34"/>
  <c r="AA10" i="34"/>
  <c r="Q9" i="34"/>
  <c r="Z9" i="34"/>
  <c r="J8" i="34"/>
  <c r="W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B92" i="33"/>
  <c r="B90" i="33"/>
  <c r="D87" i="33"/>
  <c r="E87" i="33"/>
  <c r="F87" i="33"/>
  <c r="G87" i="33"/>
  <c r="H87" i="33"/>
  <c r="I87" i="33"/>
  <c r="J87" i="33"/>
  <c r="K87" i="33"/>
  <c r="L87" i="33"/>
  <c r="M87" i="33"/>
  <c r="D85" i="33"/>
  <c r="D81" i="33"/>
  <c r="D79" i="33"/>
  <c r="E79" i="33"/>
  <c r="F79" i="33"/>
  <c r="G79" i="33"/>
  <c r="D77" i="33"/>
  <c r="E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AB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Q38" i="33"/>
  <c r="Z38" i="33"/>
  <c r="J38" i="33"/>
  <c r="H38" i="33"/>
  <c r="AB38" i="33"/>
  <c r="F38" i="33"/>
  <c r="Q37" i="33"/>
  <c r="Z37" i="33"/>
  <c r="Q36" i="33"/>
  <c r="Z36" i="33"/>
  <c r="Q35" i="33"/>
  <c r="Z35" i="33"/>
  <c r="H35" i="33"/>
  <c r="AB35" i="33"/>
  <c r="F35" i="33"/>
  <c r="AA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F10" i="33"/>
  <c r="AA10" i="33"/>
  <c r="Q9" i="33"/>
  <c r="Z9" i="33"/>
  <c r="J8" i="33"/>
  <c r="AC8" i="33"/>
  <c r="H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B74" i="43"/>
  <c r="C20" i="20"/>
  <c r="B56" i="43"/>
  <c r="C18" i="20"/>
  <c r="C17" i="20"/>
  <c r="B59" i="43"/>
  <c r="C16" i="20"/>
  <c r="B48" i="43"/>
  <c r="C15" i="20"/>
  <c r="B70" i="43"/>
  <c r="E54" i="21"/>
  <c r="F54" i="21"/>
  <c r="I54" i="21"/>
  <c r="J54" i="21"/>
  <c r="G54" i="21"/>
  <c r="H54" i="21"/>
  <c r="D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D110" i="21"/>
  <c r="D108" i="21"/>
  <c r="E108" i="21"/>
  <c r="F108" i="21"/>
  <c r="G108" i="21"/>
  <c r="H108" i="21"/>
  <c r="I108" i="21"/>
  <c r="J108" i="21"/>
  <c r="K108" i="21"/>
  <c r="L108" i="21"/>
  <c r="M108" i="21"/>
  <c r="D106" i="21"/>
  <c r="F34" i="21"/>
  <c r="S34"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D85" i="21"/>
  <c r="E85" i="21"/>
  <c r="F85" i="21"/>
  <c r="G85" i="21"/>
  <c r="D81" i="21"/>
  <c r="E81" i="21"/>
  <c r="F81" i="21"/>
  <c r="G81" i="21"/>
  <c r="D77" i="21"/>
  <c r="B130" i="21"/>
  <c r="B128" i="21"/>
  <c r="F45" i="21"/>
  <c r="AA45" i="21"/>
  <c r="B126" i="21"/>
  <c r="H44" i="21"/>
  <c r="U44" i="21"/>
  <c r="B98" i="21"/>
  <c r="B96" i="21"/>
  <c r="H30" i="21"/>
  <c r="B94" i="21"/>
  <c r="B92" i="21"/>
  <c r="B90" i="21"/>
  <c r="B74" i="21"/>
  <c r="B72" i="21"/>
  <c r="B70" i="21"/>
  <c r="H12" i="21"/>
  <c r="AB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Q38" i="21"/>
  <c r="Z38"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43" i="21"/>
  <c r="AB43" i="21"/>
  <c r="H35" i="21"/>
  <c r="AB35" i="21"/>
  <c r="J8" i="21"/>
  <c r="AC8" i="21"/>
  <c r="H8" i="21"/>
  <c r="U8" i="21"/>
  <c r="H10" i="21"/>
  <c r="AB10" i="21"/>
  <c r="F35" i="21"/>
  <c r="AA35" i="21"/>
  <c r="J33" i="21"/>
  <c r="W33" i="21"/>
  <c r="H33" i="21"/>
  <c r="AB33" i="21"/>
  <c r="F33" i="21"/>
  <c r="AA33" i="21"/>
  <c r="J10" i="21"/>
  <c r="AC10" i="21"/>
  <c r="H26" i="21"/>
  <c r="AB26" i="21"/>
  <c r="J26" i="21"/>
  <c r="W26" i="21"/>
  <c r="F26" i="21"/>
  <c r="S26" i="21"/>
  <c r="F36" i="39"/>
  <c r="S36" i="39"/>
  <c r="J36" i="39"/>
  <c r="AC36" i="39"/>
  <c r="U38" i="39"/>
  <c r="H32" i="37"/>
  <c r="AB32" i="37"/>
  <c r="F39" i="37"/>
  <c r="W30" i="37"/>
  <c r="F29" i="36"/>
  <c r="F16" i="36"/>
  <c r="S16" i="36"/>
  <c r="W22" i="36"/>
  <c r="W31" i="36"/>
  <c r="J33" i="36"/>
  <c r="W33" i="36"/>
  <c r="H22" i="35"/>
  <c r="AB22" i="35"/>
  <c r="S31" i="35"/>
  <c r="F36" i="34"/>
  <c r="AA36" i="34"/>
  <c r="H39" i="33"/>
  <c r="AB39" i="33"/>
  <c r="F26" i="33"/>
  <c r="AA26" i="33"/>
  <c r="S40" i="33"/>
  <c r="W8" i="21"/>
  <c r="H39" i="37"/>
  <c r="AB39" i="37"/>
  <c r="F11" i="40"/>
  <c r="AA11" i="40"/>
  <c r="H11" i="40"/>
  <c r="AB11" i="40"/>
  <c r="U9" i="40"/>
  <c r="S34" i="40"/>
  <c r="U34" i="40"/>
  <c r="F42" i="39"/>
  <c r="AA42" i="39"/>
  <c r="F41" i="39"/>
  <c r="AA41" i="39"/>
  <c r="H40" i="39"/>
  <c r="AB40" i="39"/>
  <c r="H39" i="39"/>
  <c r="H34" i="39"/>
  <c r="AB34" i="39"/>
  <c r="F109" i="39"/>
  <c r="G109" i="39"/>
  <c r="H109" i="39"/>
  <c r="I109" i="39"/>
  <c r="J109" i="39"/>
  <c r="K109" i="39"/>
  <c r="L109" i="39"/>
  <c r="M109" i="39"/>
  <c r="H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H11" i="39"/>
  <c r="AB11"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S44" i="39"/>
  <c r="U30" i="36"/>
  <c r="F22" i="35"/>
  <c r="AA22" i="35"/>
  <c r="H10" i="35"/>
  <c r="U10" i="35"/>
  <c r="F33" i="36"/>
  <c r="S33" i="36"/>
  <c r="F85" i="36"/>
  <c r="G85" i="36"/>
  <c r="H85" i="36"/>
  <c r="I85" i="36"/>
  <c r="J85" i="36"/>
  <c r="K85" i="36"/>
  <c r="L85" i="36"/>
  <c r="M85" i="36"/>
  <c r="J29" i="36"/>
  <c r="AC29" i="36"/>
  <c r="F12" i="36"/>
  <c r="AA12" i="36"/>
  <c r="F34" i="36"/>
  <c r="AA34" i="36"/>
  <c r="H20" i="36"/>
  <c r="J20" i="36"/>
  <c r="W20" i="36"/>
  <c r="AB8" i="36"/>
  <c r="W9" i="35"/>
  <c r="F14" i="35"/>
  <c r="AA14" i="35"/>
  <c r="F23" i="35"/>
  <c r="AA23" i="35"/>
  <c r="J32" i="35"/>
  <c r="AC32" i="35"/>
  <c r="J16" i="35"/>
  <c r="W16" i="35"/>
  <c r="H14" i="35"/>
  <c r="AB14" i="35"/>
  <c r="H33" i="35"/>
  <c r="AB33" i="35"/>
  <c r="J20" i="35"/>
  <c r="W20" i="35"/>
  <c r="H20" i="35"/>
  <c r="U20" i="35"/>
  <c r="F20" i="35"/>
  <c r="AA20" i="35"/>
  <c r="E101" i="37"/>
  <c r="F101" i="37"/>
  <c r="G101" i="37"/>
  <c r="H101" i="37"/>
  <c r="I101" i="37"/>
  <c r="J101" i="37"/>
  <c r="K101" i="37"/>
  <c r="L101" i="37"/>
  <c r="M101" i="37"/>
  <c r="J34" i="37"/>
  <c r="W34" i="37"/>
  <c r="J43" i="34"/>
  <c r="AC43" i="34"/>
  <c r="H43" i="34"/>
  <c r="AB43" i="34"/>
  <c r="H40" i="34"/>
  <c r="U40" i="34"/>
  <c r="F38" i="34"/>
  <c r="AA38" i="34"/>
  <c r="F28" i="34"/>
  <c r="AA28" i="34"/>
  <c r="J19" i="34"/>
  <c r="W19" i="34"/>
  <c r="J10" i="34"/>
  <c r="W10" i="34"/>
  <c r="H10" i="34"/>
  <c r="AB10" i="34"/>
  <c r="F41" i="33"/>
  <c r="S41" i="33"/>
  <c r="E113" i="33"/>
  <c r="J34" i="33"/>
  <c r="F25" i="33"/>
  <c r="AA25" i="33"/>
  <c r="J25" i="33"/>
  <c r="AC25" i="33"/>
  <c r="H25" i="33"/>
  <c r="AB25" i="33"/>
  <c r="J23" i="33"/>
  <c r="AC23" i="33"/>
  <c r="J19" i="33"/>
  <c r="W19" i="33"/>
  <c r="J17" i="33"/>
  <c r="AC17" i="33"/>
  <c r="H17" i="33"/>
  <c r="AB17" i="33"/>
  <c r="F11" i="33"/>
  <c r="AA11" i="33"/>
  <c r="W10" i="33"/>
  <c r="H10" i="33"/>
  <c r="U10" i="33"/>
  <c r="S8" i="33"/>
  <c r="F37" i="40"/>
  <c r="AA37" i="40"/>
  <c r="F36" i="40"/>
  <c r="AA36" i="40"/>
  <c r="F27" i="40"/>
  <c r="S27" i="40"/>
  <c r="F23" i="40"/>
  <c r="AA23" i="40"/>
  <c r="AB30" i="36"/>
  <c r="F29" i="35"/>
  <c r="S29" i="35"/>
  <c r="AB42" i="34"/>
  <c r="F113" i="33"/>
  <c r="G113" i="33"/>
  <c r="H113" i="33"/>
  <c r="I113" i="33"/>
  <c r="J113" i="33"/>
  <c r="K113" i="33"/>
  <c r="L113" i="33"/>
  <c r="M113" i="33"/>
  <c r="H37" i="33"/>
  <c r="AB37" i="33"/>
  <c r="AA37" i="33"/>
  <c r="F17" i="33"/>
  <c r="AA17" i="33"/>
  <c r="AB11" i="33"/>
  <c r="AC42" i="34"/>
  <c r="W42" i="34"/>
  <c r="S42" i="34"/>
  <c r="J37" i="33"/>
  <c r="AC37" i="33"/>
  <c r="J11" i="33"/>
  <c r="AC11" i="33"/>
  <c r="H42" i="21"/>
  <c r="AB42" i="21"/>
  <c r="J10" i="35"/>
  <c r="AC10" i="35"/>
  <c r="J44" i="21"/>
  <c r="AC44" i="21"/>
  <c r="F44" i="21"/>
  <c r="AA44" i="21"/>
  <c r="F46" i="21"/>
  <c r="AA46" i="21"/>
  <c r="H26" i="33"/>
  <c r="U26"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J29" i="33"/>
  <c r="H29" i="33"/>
  <c r="U29" i="33"/>
  <c r="F29" i="33"/>
  <c r="S29" i="33"/>
  <c r="H31" i="33"/>
  <c r="F31" i="33"/>
  <c r="AA31" i="33"/>
  <c r="H45" i="33"/>
  <c r="W45" i="33"/>
  <c r="F45" i="33"/>
  <c r="S45" i="33"/>
  <c r="J14" i="34"/>
  <c r="AC14" i="34"/>
  <c r="F14" i="34"/>
  <c r="H14" i="34"/>
  <c r="U14" i="34"/>
  <c r="H30" i="34"/>
  <c r="U30" i="34"/>
  <c r="F30" i="34"/>
  <c r="S30" i="34"/>
  <c r="J30" i="34"/>
  <c r="W30" i="34"/>
  <c r="H32" i="34"/>
  <c r="AB32" i="34"/>
  <c r="F32" i="34"/>
  <c r="S32" i="34"/>
  <c r="J32" i="34"/>
  <c r="W32" i="34"/>
  <c r="H46" i="34"/>
  <c r="U46" i="34"/>
  <c r="F46" i="34"/>
  <c r="S46" i="34"/>
  <c r="W46" i="34"/>
  <c r="J11" i="35"/>
  <c r="AC11" i="35"/>
  <c r="F11" i="35"/>
  <c r="S11" i="35"/>
  <c r="J26" i="36"/>
  <c r="W26" i="36"/>
  <c r="H28" i="36"/>
  <c r="U28" i="36"/>
  <c r="AB32" i="36"/>
  <c r="J32" i="36"/>
  <c r="W32" i="36"/>
  <c r="J11" i="36"/>
  <c r="AC11" i="36"/>
  <c r="H11" i="36"/>
  <c r="AB11" i="36"/>
  <c r="F11" i="36"/>
  <c r="AA11" i="36"/>
  <c r="H13" i="36"/>
  <c r="AB13" i="36"/>
  <c r="W13" i="36"/>
  <c r="F13" i="36"/>
  <c r="S13" i="36"/>
  <c r="H36" i="37"/>
  <c r="AB36" i="37"/>
  <c r="H37" i="37"/>
  <c r="U37" i="37"/>
  <c r="H14" i="33"/>
  <c r="U14" i="33"/>
  <c r="F14" i="33"/>
  <c r="AA14" i="33"/>
  <c r="J14" i="33"/>
  <c r="AC14" i="33"/>
  <c r="AB30" i="33"/>
  <c r="F30" i="33"/>
  <c r="S30" i="33"/>
  <c r="J30" i="33"/>
  <c r="AC30" i="33"/>
  <c r="H44" i="33"/>
  <c r="AB44" i="33"/>
  <c r="J44" i="33"/>
  <c r="AC44" i="33"/>
  <c r="AA44" i="33"/>
  <c r="J46" i="33"/>
  <c r="W46" i="33"/>
  <c r="F46" i="33"/>
  <c r="H46" i="33"/>
  <c r="AB46" i="33"/>
  <c r="H13" i="34"/>
  <c r="U13" i="34"/>
  <c r="J13" i="34"/>
  <c r="W13" i="34"/>
  <c r="F13" i="34"/>
  <c r="AA13" i="34"/>
  <c r="J29" i="34"/>
  <c r="AC29" i="34"/>
  <c r="F29" i="34"/>
  <c r="S29" i="34"/>
  <c r="H29" i="34"/>
  <c r="U29" i="34"/>
  <c r="J31" i="34"/>
  <c r="AC31" i="34"/>
  <c r="H31" i="34"/>
  <c r="AB31" i="34"/>
  <c r="F31" i="34"/>
  <c r="S31" i="34"/>
  <c r="U45" i="34"/>
  <c r="J45" i="34"/>
  <c r="W45" i="34"/>
  <c r="F45" i="34"/>
  <c r="S45" i="34"/>
  <c r="H47" i="34"/>
  <c r="U47" i="34"/>
  <c r="F47" i="34"/>
  <c r="AA47" i="34"/>
  <c r="J47" i="34"/>
  <c r="AC47" i="34"/>
  <c r="F13" i="35"/>
  <c r="S13" i="35"/>
  <c r="J13" i="35"/>
  <c r="AC13" i="35"/>
  <c r="H13" i="35"/>
  <c r="U13" i="35"/>
  <c r="J25" i="35"/>
  <c r="W25" i="35"/>
  <c r="H25" i="35"/>
  <c r="U25" i="35"/>
  <c r="J35" i="35"/>
  <c r="AC35" i="35"/>
  <c r="F35" i="35"/>
  <c r="AA35" i="35"/>
  <c r="H35" i="35"/>
  <c r="AB35" i="35"/>
  <c r="J25" i="36"/>
  <c r="AC25" i="36"/>
  <c r="F25" i="36"/>
  <c r="S25" i="36"/>
  <c r="H25" i="36"/>
  <c r="AB25" i="36"/>
  <c r="F28" i="37"/>
  <c r="AA28" i="37"/>
  <c r="J28" i="37"/>
  <c r="AC28" i="37"/>
  <c r="H28" i="37"/>
  <c r="U28" i="37"/>
  <c r="J38" i="37"/>
  <c r="AC38" i="37"/>
  <c r="F43" i="39"/>
  <c r="AA43" i="39"/>
  <c r="H43" i="39"/>
  <c r="U43" i="39"/>
  <c r="J14" i="39"/>
  <c r="W14" i="39"/>
  <c r="F12" i="40"/>
  <c r="AA12" i="40"/>
  <c r="H30" i="40"/>
  <c r="AB30" i="40"/>
  <c r="F33" i="40"/>
  <c r="AA33" i="40"/>
  <c r="H33" i="40"/>
  <c r="U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B37" i="37"/>
  <c r="S47" i="34"/>
  <c r="AC32" i="34"/>
  <c r="J10" i="36"/>
  <c r="AC10" i="36"/>
  <c r="AC13" i="36"/>
  <c r="U32" i="36"/>
  <c r="J41" i="39"/>
  <c r="W41"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H25" i="21"/>
  <c r="U25" i="21"/>
  <c r="F25" i="21"/>
  <c r="S25" i="21"/>
  <c r="J25" i="21"/>
  <c r="AC25" i="21"/>
  <c r="H17" i="37"/>
  <c r="U17" i="37"/>
  <c r="F23" i="37"/>
  <c r="AA23" i="37"/>
  <c r="F32" i="37"/>
  <c r="S32" i="37"/>
  <c r="AA36" i="39"/>
  <c r="F39" i="33"/>
  <c r="AA39" i="33"/>
  <c r="F42" i="33"/>
  <c r="AA42" i="33"/>
  <c r="F14" i="36"/>
  <c r="AA14" i="36"/>
  <c r="F22" i="36"/>
  <c r="F26" i="36"/>
  <c r="AA26" i="36"/>
  <c r="H35" i="34"/>
  <c r="U35" i="34"/>
  <c r="F41" i="34"/>
  <c r="S41" i="34"/>
  <c r="H41" i="34"/>
  <c r="U41" i="34"/>
  <c r="J41" i="34"/>
  <c r="AC41" i="34"/>
  <c r="F10" i="35"/>
  <c r="S10" i="35"/>
  <c r="H23" i="37"/>
  <c r="J32" i="37"/>
  <c r="AC32" i="37"/>
  <c r="F36" i="37"/>
  <c r="AA36" i="37"/>
  <c r="F37" i="37"/>
  <c r="AA37" i="37"/>
  <c r="F31" i="40"/>
  <c r="AA31" i="40"/>
  <c r="H31" i="40"/>
  <c r="U31" i="40"/>
  <c r="F32" i="40"/>
  <c r="AA32" i="40"/>
  <c r="H32" i="40"/>
  <c r="U32" i="40"/>
  <c r="J36" i="40"/>
  <c r="W36" i="40"/>
  <c r="AB32" i="40"/>
  <c r="H42" i="33"/>
  <c r="U42" i="33"/>
  <c r="J23" i="37"/>
  <c r="W23" i="37"/>
  <c r="S30" i="31"/>
  <c r="AC33" i="36"/>
  <c r="AB20" i="35"/>
  <c r="AA11" i="35"/>
  <c r="S28" i="37"/>
  <c r="S25" i="37"/>
  <c r="W47" i="34"/>
  <c r="AC31" i="33"/>
  <c r="AA30" i="33"/>
  <c r="S11" i="33"/>
  <c r="W10" i="36"/>
  <c r="H19" i="34"/>
  <c r="U19" i="34"/>
  <c r="F36" i="35"/>
  <c r="AA36" i="35"/>
  <c r="J9" i="37"/>
  <c r="W9" i="37"/>
  <c r="H9" i="37"/>
  <c r="AB9" i="37"/>
  <c r="F9" i="37"/>
  <c r="AA9" i="37"/>
  <c r="F11" i="37"/>
  <c r="S11" i="37"/>
  <c r="J42" i="39"/>
  <c r="AC42" i="39"/>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U19" i="40"/>
  <c r="F19" i="40"/>
  <c r="S19" i="40"/>
  <c r="S13" i="40"/>
  <c r="AC43" i="39"/>
  <c r="W43" i="39"/>
  <c r="U45" i="39"/>
  <c r="AB45" i="39"/>
  <c r="G103" i="39"/>
  <c r="H37" i="39"/>
  <c r="U37" i="39"/>
  <c r="H25" i="39"/>
  <c r="U25" i="39"/>
  <c r="J25" i="39"/>
  <c r="W25" i="39"/>
  <c r="F25" i="39"/>
  <c r="S25" i="39"/>
  <c r="F15" i="39"/>
  <c r="S15" i="39"/>
  <c r="H15" i="39"/>
  <c r="U15" i="39"/>
  <c r="J15" i="39"/>
  <c r="W15" i="39"/>
  <c r="H41" i="39"/>
  <c r="AB41" i="39"/>
  <c r="F11" i="39"/>
  <c r="AA11" i="39"/>
  <c r="H21" i="39"/>
  <c r="U21" i="39"/>
  <c r="F32" i="39"/>
  <c r="S32" i="39"/>
  <c r="W19" i="39"/>
  <c r="S42" i="39"/>
  <c r="S41" i="39"/>
  <c r="W39" i="39"/>
  <c r="W8" i="39"/>
  <c r="W21" i="39"/>
  <c r="J11" i="39"/>
  <c r="W11" i="39"/>
  <c r="J32" i="39"/>
  <c r="AC32" i="39"/>
  <c r="E66" i="39"/>
  <c r="E61" i="40"/>
  <c r="F34" i="43"/>
  <c r="C21" i="11"/>
  <c r="C29" i="11"/>
  <c r="D27" i="11"/>
  <c r="H55" i="39"/>
  <c r="S30" i="40"/>
  <c r="G60" i="40"/>
  <c r="C60" i="40"/>
  <c r="H16" i="44"/>
  <c r="D17" i="43"/>
  <c r="I17" i="43"/>
  <c r="D108" i="9"/>
  <c r="F22" i="43"/>
  <c r="G22" i="43"/>
  <c r="H14" i="44"/>
  <c r="W40" i="39"/>
  <c r="S39" i="34"/>
  <c r="AC10" i="34"/>
  <c r="AB30" i="34"/>
  <c r="AB12" i="34"/>
  <c r="AC30" i="34"/>
  <c r="F33" i="34"/>
  <c r="S33" i="34"/>
  <c r="F109" i="34"/>
  <c r="G109" i="34"/>
  <c r="H109" i="34"/>
  <c r="I109" i="34"/>
  <c r="J109" i="34"/>
  <c r="K109" i="34"/>
  <c r="L109" i="34"/>
  <c r="M109" i="34"/>
  <c r="H36" i="34"/>
  <c r="AB36" i="34"/>
  <c r="F35" i="34"/>
  <c r="AA35" i="34"/>
  <c r="J35" i="34"/>
  <c r="AC35" i="34"/>
  <c r="F27" i="34"/>
  <c r="S27" i="34"/>
  <c r="W34" i="34"/>
  <c r="J33" i="34"/>
  <c r="W33" i="34"/>
  <c r="J37" i="34"/>
  <c r="W37" i="34"/>
  <c r="AB33" i="34"/>
  <c r="J26" i="35"/>
  <c r="W26" i="35"/>
  <c r="F26" i="35"/>
  <c r="AA26" i="35"/>
  <c r="H26" i="35"/>
  <c r="U26" i="35"/>
  <c r="K145" i="21"/>
  <c r="K144" i="21"/>
  <c r="K141" i="21"/>
  <c r="K143" i="21"/>
  <c r="B101" i="9"/>
  <c r="C112" i="9"/>
  <c r="H110" i="9"/>
  <c r="F23" i="21"/>
  <c r="AA23" i="21"/>
  <c r="J23" i="21"/>
  <c r="AC23" i="21"/>
  <c r="H23" i="21"/>
  <c r="U23" i="21"/>
  <c r="H103" i="57"/>
  <c r="A131" i="9"/>
  <c r="A135" i="57"/>
  <c r="B103" i="57"/>
  <c r="B107" i="57"/>
  <c r="C112" i="57"/>
  <c r="D128" i="57"/>
  <c r="T27" i="31"/>
  <c r="S27" i="31"/>
  <c r="B113" i="43"/>
  <c r="I118" i="43"/>
  <c r="J118" i="43"/>
  <c r="K118" i="43"/>
  <c r="L118" i="43"/>
  <c r="M118" i="43"/>
  <c r="M101" i="43"/>
  <c r="K101" i="43"/>
  <c r="I101" i="43"/>
  <c r="I102" i="43"/>
  <c r="G101" i="43"/>
  <c r="E101" i="43"/>
  <c r="C101" i="43"/>
  <c r="N101" i="43"/>
  <c r="L101" i="43"/>
  <c r="J101" i="43"/>
  <c r="H101" i="43"/>
  <c r="H107" i="43"/>
  <c r="F101" i="43"/>
  <c r="F104" i="43"/>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J37" i="37"/>
  <c r="W37" i="37"/>
  <c r="AB40" i="37"/>
  <c r="U40" i="37"/>
  <c r="AA16" i="35"/>
  <c r="U29" i="35"/>
  <c r="AA35" i="39"/>
  <c r="U36" i="37"/>
  <c r="AB46" i="34"/>
  <c r="S14" i="34"/>
  <c r="AA14" i="34"/>
  <c r="F40" i="34"/>
  <c r="AA40" i="34"/>
  <c r="U20" i="36"/>
  <c r="AB20" i="36"/>
  <c r="AC44" i="39"/>
  <c r="W44" i="39"/>
  <c r="H13" i="21"/>
  <c r="U13" i="21"/>
  <c r="J13" i="21"/>
  <c r="F13" i="21"/>
  <c r="AA13" i="21"/>
  <c r="B41" i="47"/>
  <c r="C23" i="40"/>
  <c r="AC8" i="34"/>
  <c r="J9" i="34"/>
  <c r="AC9" i="34"/>
  <c r="F9" i="34"/>
  <c r="S9" i="34"/>
  <c r="AA9" i="36"/>
  <c r="S9" i="36"/>
  <c r="AB23" i="36"/>
  <c r="U23" i="36"/>
  <c r="J12" i="36"/>
  <c r="H12" i="36"/>
  <c r="AA9" i="39"/>
  <c r="S9" i="39"/>
  <c r="AB12" i="39"/>
  <c r="U12" i="39"/>
  <c r="J12" i="39"/>
  <c r="F12" i="39"/>
  <c r="S12" i="39"/>
  <c r="R29" i="31"/>
  <c r="T29" i="31"/>
  <c r="C106" i="9"/>
  <c r="H102" i="9"/>
  <c r="J36" i="34"/>
  <c r="W36" i="34"/>
  <c r="S8" i="34"/>
  <c r="J19" i="40"/>
  <c r="W9" i="39"/>
  <c r="H32" i="39"/>
  <c r="F21" i="39"/>
  <c r="S21" i="39"/>
  <c r="F37" i="47"/>
  <c r="B35" i="47"/>
  <c r="F31" i="37"/>
  <c r="AA31" i="37"/>
  <c r="U25" i="36"/>
  <c r="AC36" i="40"/>
  <c r="F17" i="37"/>
  <c r="AA17" i="37"/>
  <c r="AB28" i="36"/>
  <c r="AB13" i="40"/>
  <c r="S12" i="40"/>
  <c r="U32" i="34"/>
  <c r="AA30" i="34"/>
  <c r="J14" i="36"/>
  <c r="AC14" i="36"/>
  <c r="J40" i="34"/>
  <c r="AC40" i="34"/>
  <c r="S37" i="40"/>
  <c r="H19" i="33"/>
  <c r="AB19" i="33"/>
  <c r="AA41" i="33"/>
  <c r="J23" i="34"/>
  <c r="W23" i="34"/>
  <c r="AC30" i="40"/>
  <c r="AB17" i="39"/>
  <c r="W22" i="35"/>
  <c r="S30" i="36"/>
  <c r="E101" i="33"/>
  <c r="AA32" i="33"/>
  <c r="H9" i="34"/>
  <c r="AB9" i="34"/>
  <c r="H28" i="34"/>
  <c r="U28" i="34"/>
  <c r="E116" i="34"/>
  <c r="F116" i="34"/>
  <c r="G116" i="34"/>
  <c r="H116" i="34"/>
  <c r="I116" i="34"/>
  <c r="J116" i="34"/>
  <c r="K116" i="34"/>
  <c r="L116" i="34"/>
  <c r="M116" i="34"/>
  <c r="J39" i="34"/>
  <c r="W39" i="34"/>
  <c r="J27" i="36"/>
  <c r="AC27" i="36"/>
  <c r="F37" i="34"/>
  <c r="AA37" i="34"/>
  <c r="H37" i="34"/>
  <c r="U37" i="34"/>
  <c r="F26" i="47"/>
  <c r="B24" i="47"/>
  <c r="AA32" i="37"/>
  <c r="AC14" i="39"/>
  <c r="AC46" i="34"/>
  <c r="AA32" i="34"/>
  <c r="S31" i="33"/>
  <c r="U10" i="36"/>
  <c r="W34" i="33"/>
  <c r="AC34" i="33"/>
  <c r="S14" i="35"/>
  <c r="W11" i="21"/>
  <c r="H27" i="21"/>
  <c r="AB27" i="21"/>
  <c r="J27" i="21"/>
  <c r="W27" i="21"/>
  <c r="F27" i="21"/>
  <c r="AA27" i="21"/>
  <c r="J29" i="21"/>
  <c r="W29" i="21"/>
  <c r="H29" i="21"/>
  <c r="U29" i="21"/>
  <c r="F29" i="21"/>
  <c r="J31" i="21"/>
  <c r="W31" i="21"/>
  <c r="H31" i="21"/>
  <c r="AB31" i="21"/>
  <c r="F31" i="21"/>
  <c r="AA31" i="21"/>
  <c r="H39" i="21"/>
  <c r="U39" i="21"/>
  <c r="S9" i="21"/>
  <c r="E117" i="33"/>
  <c r="F117" i="33"/>
  <c r="G117" i="33"/>
  <c r="J39" i="33"/>
  <c r="AC39" i="33"/>
  <c r="E125" i="33"/>
  <c r="H43" i="33"/>
  <c r="U43" i="33"/>
  <c r="H41" i="33"/>
  <c r="S12" i="34"/>
  <c r="AA12" i="34"/>
  <c r="S11" i="34"/>
  <c r="H17" i="34"/>
  <c r="U17" i="34"/>
  <c r="H16" i="35"/>
  <c r="AB16" i="35"/>
  <c r="J24" i="35"/>
  <c r="F24" i="35"/>
  <c r="AA24" i="35"/>
  <c r="H24" i="35"/>
  <c r="H34" i="35"/>
  <c r="U34" i="35"/>
  <c r="G60" i="37"/>
  <c r="F10" i="37"/>
  <c r="AA10" i="37"/>
  <c r="J12" i="37"/>
  <c r="W12" i="37"/>
  <c r="F12" i="37"/>
  <c r="S12" i="37"/>
  <c r="H27" i="37"/>
  <c r="U27" i="37"/>
  <c r="F27" i="37"/>
  <c r="J27" i="37"/>
  <c r="W27" i="37"/>
  <c r="J29" i="37"/>
  <c r="W29" i="37"/>
  <c r="F29" i="37"/>
  <c r="S29" i="37"/>
  <c r="H31" i="37"/>
  <c r="AB31" i="37"/>
  <c r="J36" i="37"/>
  <c r="W36" i="37"/>
  <c r="J40" i="37"/>
  <c r="W40" i="37"/>
  <c r="F40" i="37"/>
  <c r="AA40" i="37"/>
  <c r="AB25" i="37"/>
  <c r="U8" i="39"/>
  <c r="AB8" i="39"/>
  <c r="J29" i="35"/>
  <c r="AC29" i="35"/>
  <c r="AC30" i="36"/>
  <c r="W30" i="36"/>
  <c r="H35" i="39"/>
  <c r="U35" i="39"/>
  <c r="J35" i="39"/>
  <c r="AA19" i="39"/>
  <c r="H16" i="36"/>
  <c r="AB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F126" i="34"/>
  <c r="G126" i="34"/>
  <c r="H44" i="34"/>
  <c r="U44" i="34"/>
  <c r="W9" i="36"/>
  <c r="AB26" i="36"/>
  <c r="U26" i="36"/>
  <c r="F20" i="36"/>
  <c r="AA20" i="36"/>
  <c r="J24" i="36"/>
  <c r="AC24" i="36"/>
  <c r="H24" i="36"/>
  <c r="U24" i="36"/>
  <c r="F24" i="36"/>
  <c r="AA24" i="36"/>
  <c r="J26" i="37"/>
  <c r="H26" i="37"/>
  <c r="AB26" i="37"/>
  <c r="F26" i="37"/>
  <c r="J23" i="39"/>
  <c r="W23" i="39"/>
  <c r="E97" i="39"/>
  <c r="F97" i="39"/>
  <c r="G97" i="39"/>
  <c r="H15" i="37"/>
  <c r="U15" i="37"/>
  <c r="F15" i="37"/>
  <c r="AA15" i="37"/>
  <c r="F38" i="40"/>
  <c r="AA38" i="40"/>
  <c r="J38" i="40"/>
  <c r="W38" i="40"/>
  <c r="H38" i="40"/>
  <c r="U38" i="40"/>
  <c r="AC40" i="40"/>
  <c r="H40" i="40"/>
  <c r="U40" i="40"/>
  <c r="AB40" i="40"/>
  <c r="F40" i="40"/>
  <c r="AA40" i="40"/>
  <c r="N6" i="43"/>
  <c r="F70" i="43"/>
  <c r="H70" i="43"/>
  <c r="M1" i="43"/>
  <c r="C6" i="43"/>
  <c r="F101" i="9"/>
  <c r="F33" i="9"/>
  <c r="C25" i="57"/>
  <c r="N102" i="43"/>
  <c r="G103" i="43"/>
  <c r="D103" i="43"/>
  <c r="F59" i="43"/>
  <c r="H63" i="43"/>
  <c r="G15" i="47"/>
  <c r="W40" i="40"/>
  <c r="H25" i="34"/>
  <c r="U25" i="34"/>
  <c r="AC40" i="37"/>
  <c r="AA12" i="37"/>
  <c r="J17" i="34"/>
  <c r="AC17" i="34"/>
  <c r="F17" i="34"/>
  <c r="AA17" i="34"/>
  <c r="F43" i="33"/>
  <c r="S43" i="33"/>
  <c r="F125" i="33"/>
  <c r="G125" i="33"/>
  <c r="J43" i="33"/>
  <c r="AC43" i="33"/>
  <c r="U31" i="21"/>
  <c r="AA29" i="21"/>
  <c r="S29" i="21"/>
  <c r="H27" i="36"/>
  <c r="F27" i="36"/>
  <c r="AA27" i="36"/>
  <c r="J28" i="34"/>
  <c r="W28" i="34"/>
  <c r="H11" i="34"/>
  <c r="U11" i="34"/>
  <c r="S17" i="37"/>
  <c r="J11" i="37"/>
  <c r="W11" i="37"/>
  <c r="AC36" i="34"/>
  <c r="AB13" i="21"/>
  <c r="F23" i="39"/>
  <c r="AA23" i="39"/>
  <c r="F44" i="34"/>
  <c r="AA44" i="34"/>
  <c r="J44" i="34"/>
  <c r="AC44" i="34"/>
  <c r="H60" i="37"/>
  <c r="I60" i="37"/>
  <c r="H10" i="37"/>
  <c r="AB10" i="37"/>
  <c r="U10" i="37"/>
  <c r="S24" i="35"/>
  <c r="AB43" i="33"/>
  <c r="W27" i="36"/>
  <c r="F101" i="33"/>
  <c r="G101" i="33"/>
  <c r="H101" i="33"/>
  <c r="I101" i="33"/>
  <c r="J101" i="33"/>
  <c r="K101" i="33"/>
  <c r="L101" i="33"/>
  <c r="M101" i="33"/>
  <c r="J32" i="33"/>
  <c r="W32" i="33"/>
  <c r="H32" i="33"/>
  <c r="AB32" i="33"/>
  <c r="W13" i="21"/>
  <c r="AC13" i="21"/>
  <c r="S27" i="36"/>
  <c r="J10" i="37"/>
  <c r="AC10" i="37"/>
  <c r="H23" i="39"/>
  <c r="AB23" i="39"/>
  <c r="J11" i="34"/>
  <c r="W11" i="34"/>
  <c r="J25" i="34"/>
  <c r="W25" i="34"/>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C14" i="12"/>
  <c r="AB36" i="40"/>
  <c r="W32" i="40"/>
  <c r="W31" i="40"/>
  <c r="AC9" i="40"/>
  <c r="S9" i="40"/>
  <c r="AA27" i="40"/>
  <c r="S40" i="40"/>
  <c r="W35" i="40"/>
  <c r="W33" i="40"/>
  <c r="W34" i="40"/>
  <c r="AB39" i="40"/>
  <c r="J37" i="40"/>
  <c r="H35" i="40"/>
  <c r="U35" i="40"/>
  <c r="H37" i="40"/>
  <c r="H28" i="40"/>
  <c r="U28" i="40"/>
  <c r="F28" i="40"/>
  <c r="J28" i="40"/>
  <c r="AC28" i="40"/>
  <c r="F98" i="40"/>
  <c r="G98" i="40"/>
  <c r="H98" i="40"/>
  <c r="I98" i="40"/>
  <c r="J98" i="40"/>
  <c r="K98" i="40"/>
  <c r="L98" i="40"/>
  <c r="M98" i="40"/>
  <c r="F21" i="40"/>
  <c r="S21" i="40"/>
  <c r="H21" i="40"/>
  <c r="F90" i="40"/>
  <c r="G90" i="40"/>
  <c r="J21" i="40"/>
  <c r="AC21" i="40"/>
  <c r="F86" i="40"/>
  <c r="G86" i="40"/>
  <c r="H17" i="40"/>
  <c r="U17" i="40"/>
  <c r="J17" i="40"/>
  <c r="F17" i="40"/>
  <c r="S17" i="40"/>
  <c r="F84" i="40"/>
  <c r="G84" i="40"/>
  <c r="F15" i="40"/>
  <c r="J15" i="40"/>
  <c r="AC15" i="40"/>
  <c r="H15" i="40"/>
  <c r="AC25" i="40"/>
  <c r="W25" i="40"/>
  <c r="U14" i="40"/>
  <c r="U8" i="40"/>
  <c r="AA19" i="40"/>
  <c r="S36" i="40"/>
  <c r="AA35" i="40"/>
  <c r="AC38" i="39"/>
  <c r="AC17" i="39"/>
  <c r="AA37" i="39"/>
  <c r="AB29" i="39"/>
  <c r="AC25" i="39"/>
  <c r="S23" i="39"/>
  <c r="W27" i="39"/>
  <c r="AC27" i="39"/>
  <c r="AC15" i="39"/>
  <c r="AB15" i="39"/>
  <c r="U42" i="39"/>
  <c r="AB13" i="39"/>
  <c r="U19" i="39"/>
  <c r="AB27" i="39"/>
  <c r="U27" i="39"/>
  <c r="AA27" i="39"/>
  <c r="S27" i="39"/>
  <c r="S40" i="39"/>
  <c r="S31" i="39"/>
  <c r="AC11" i="39"/>
  <c r="AA12" i="39"/>
  <c r="S13" i="39"/>
  <c r="S34" i="36"/>
  <c r="S11" i="36"/>
  <c r="S12" i="36"/>
  <c r="AC16" i="36"/>
  <c r="W14" i="36"/>
  <c r="S26" i="36"/>
  <c r="AC26" i="36"/>
  <c r="AA25" i="36"/>
  <c r="S14" i="36"/>
  <c r="U14" i="36"/>
  <c r="S10" i="36"/>
  <c r="W18" i="36"/>
  <c r="AC18" i="36"/>
  <c r="W25" i="36"/>
  <c r="AC32" i="36"/>
  <c r="AC20" i="36"/>
  <c r="W29" i="36"/>
  <c r="W28" i="36"/>
  <c r="W8" i="36"/>
  <c r="U13" i="36"/>
  <c r="AB18" i="36"/>
  <c r="U18" i="36"/>
  <c r="S28" i="36"/>
  <c r="W35" i="35"/>
  <c r="AC25" i="35"/>
  <c r="S23" i="35"/>
  <c r="AA12" i="35"/>
  <c r="W10" i="35"/>
  <c r="W14" i="35"/>
  <c r="AC26" i="35"/>
  <c r="W28" i="35"/>
  <c r="AC27" i="35"/>
  <c r="U14" i="35"/>
  <c r="U35" i="35"/>
  <c r="AA13" i="35"/>
  <c r="AB13" i="35"/>
  <c r="S34" i="37"/>
  <c r="W32" i="37"/>
  <c r="AB28" i="37"/>
  <c r="AC12" i="37"/>
  <c r="J33" i="37"/>
  <c r="AC33" i="37"/>
  <c r="F33" i="37"/>
  <c r="AA33" i="37"/>
  <c r="H99" i="37"/>
  <c r="I99" i="37"/>
  <c r="J99" i="37"/>
  <c r="K99" i="37"/>
  <c r="L99" i="37"/>
  <c r="M99" i="37"/>
  <c r="H33" i="37"/>
  <c r="AB33" i="37"/>
  <c r="AC35" i="37"/>
  <c r="W35" i="37"/>
  <c r="S31" i="37"/>
  <c r="H35" i="37"/>
  <c r="U35" i="37"/>
  <c r="F35" i="37"/>
  <c r="S35" i="37"/>
  <c r="E103" i="37"/>
  <c r="F103" i="37"/>
  <c r="G103" i="37"/>
  <c r="H103" i="37"/>
  <c r="I103" i="37"/>
  <c r="J103" i="37"/>
  <c r="K103" i="37"/>
  <c r="L103" i="37"/>
  <c r="M103" i="37"/>
  <c r="AC23" i="37"/>
  <c r="J19" i="37"/>
  <c r="W19" i="37"/>
  <c r="F19" i="37"/>
  <c r="S19" i="37"/>
  <c r="G75" i="37"/>
  <c r="H19" i="37"/>
  <c r="U19" i="37"/>
  <c r="W17" i="37"/>
  <c r="AC17" i="37"/>
  <c r="AB17" i="37"/>
  <c r="S15" i="37"/>
  <c r="J15" i="37"/>
  <c r="AC15" i="37"/>
  <c r="S10" i="37"/>
  <c r="AA11" i="37"/>
  <c r="U9" i="37"/>
  <c r="AC21" i="37"/>
  <c r="W21" i="37"/>
  <c r="W14" i="37"/>
  <c r="W39" i="37"/>
  <c r="AB11" i="37"/>
  <c r="S37" i="37"/>
  <c r="AA14" i="37"/>
  <c r="S36" i="34"/>
  <c r="S43" i="34"/>
  <c r="AB19" i="34"/>
  <c r="W31" i="34"/>
  <c r="U36" i="34"/>
  <c r="U21" i="34"/>
  <c r="AB21" i="34"/>
  <c r="AA41" i="34"/>
  <c r="AA46" i="34"/>
  <c r="W42" i="33"/>
  <c r="U25" i="33"/>
  <c r="W11" i="33"/>
  <c r="U34" i="33"/>
  <c r="U38" i="33"/>
  <c r="W43" i="33"/>
  <c r="AC41" i="33"/>
  <c r="AA45" i="33"/>
  <c r="U46" i="33"/>
  <c r="U9" i="33"/>
  <c r="W13" i="33"/>
  <c r="AC46" i="33"/>
  <c r="W21" i="33"/>
  <c r="AC21" i="33"/>
  <c r="AB42" i="33"/>
  <c r="U13" i="33"/>
  <c r="S42" i="33"/>
  <c r="AC26" i="21"/>
  <c r="AB21" i="21"/>
  <c r="U21" i="21"/>
  <c r="U12"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H102" i="43"/>
  <c r="K107" i="43"/>
  <c r="D3" i="21"/>
  <c r="M6" i="43"/>
  <c r="M5" i="43"/>
  <c r="F81" i="43"/>
  <c r="H13" i="44"/>
  <c r="G59" i="40"/>
  <c r="C59" i="40"/>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20" i="12"/>
  <c r="C19" i="12"/>
  <c r="G22" i="11"/>
  <c r="G41" i="11"/>
  <c r="E48" i="43"/>
  <c r="B46" i="43"/>
  <c r="H113" i="43"/>
  <c r="X7" i="43"/>
  <c r="E59" i="43"/>
  <c r="B57" i="43"/>
  <c r="E70" i="43"/>
  <c r="B68" i="43"/>
  <c r="AI11" i="43"/>
  <c r="AI13" i="43"/>
  <c r="AG11" i="43"/>
  <c r="AG13" i="43"/>
  <c r="AE11" i="43"/>
  <c r="AE13" i="43"/>
  <c r="AC11" i="43"/>
  <c r="AA11" i="43"/>
  <c r="AA13" i="43"/>
  <c r="Y11" i="43"/>
  <c r="Y13" i="43"/>
  <c r="AJ11" i="43"/>
  <c r="AJ13" i="43"/>
  <c r="AH11" i="43"/>
  <c r="AH13" i="43"/>
  <c r="AF11" i="43"/>
  <c r="AF13" i="43"/>
  <c r="AD11" i="43"/>
  <c r="AD13" i="43"/>
  <c r="AB11" i="43"/>
  <c r="AB13" i="43"/>
  <c r="Z11" i="43"/>
  <c r="Z13" i="43"/>
  <c r="Z7" i="43"/>
  <c r="E9" i="43"/>
  <c r="E8" i="43"/>
  <c r="E10" i="43"/>
  <c r="E11" i="43"/>
  <c r="C7" i="39"/>
  <c r="C68" i="39"/>
  <c r="C70" i="39"/>
  <c r="C53" i="10"/>
  <c r="D123" i="9"/>
  <c r="D6" i="52"/>
  <c r="D124" i="9"/>
  <c r="D7" i="52"/>
  <c r="N49" i="57"/>
  <c r="B58" i="60"/>
  <c r="L109" i="43"/>
  <c r="K106" i="43"/>
  <c r="G105" i="43"/>
  <c r="C104" i="43"/>
  <c r="A125" i="57"/>
  <c r="N47" i="9"/>
  <c r="N104" i="46"/>
  <c r="J17" i="43"/>
  <c r="C7" i="21"/>
  <c r="C7" i="33"/>
  <c r="C7" i="37"/>
  <c r="C52" i="37"/>
  <c r="D52" i="37"/>
  <c r="E52" i="37"/>
  <c r="F52" i="37"/>
  <c r="L104" i="43"/>
  <c r="D105" i="43"/>
  <c r="D102" i="43"/>
  <c r="K103" i="43"/>
  <c r="G104" i="43"/>
  <c r="C105" i="43"/>
  <c r="D115" i="43"/>
  <c r="E115" i="43"/>
  <c r="F115" i="43"/>
  <c r="B117" i="43"/>
  <c r="C117" i="43"/>
  <c r="G37" i="47"/>
  <c r="G19" i="43"/>
  <c r="O19" i="43"/>
  <c r="F36" i="43"/>
  <c r="C17" i="43"/>
  <c r="F35" i="43"/>
  <c r="F37" i="43"/>
  <c r="F39" i="43"/>
  <c r="K17" i="43"/>
  <c r="C7" i="34"/>
  <c r="C7" i="36"/>
  <c r="C46" i="36"/>
  <c r="F38" i="43"/>
  <c r="K86" i="43"/>
  <c r="J86" i="43"/>
  <c r="D86" i="43"/>
  <c r="M87" i="43"/>
  <c r="N87" i="43"/>
  <c r="K82" i="43"/>
  <c r="J82" i="43"/>
  <c r="D82" i="43"/>
  <c r="M83" i="43"/>
  <c r="N83" i="43"/>
  <c r="H65" i="43"/>
  <c r="D117" i="43"/>
  <c r="E117" i="43"/>
  <c r="F117" i="43"/>
  <c r="G117" i="43"/>
  <c r="H117" i="43"/>
  <c r="B116" i="43"/>
  <c r="C116" i="43"/>
  <c r="M12" i="43"/>
  <c r="M8" i="43"/>
  <c r="N7" i="43"/>
  <c r="M3" i="43"/>
  <c r="M11" i="43"/>
  <c r="N8" i="43"/>
  <c r="H8" i="44"/>
  <c r="H12" i="44"/>
  <c r="C63" i="39"/>
  <c r="G64" i="39"/>
  <c r="C64" i="39"/>
  <c r="M85" i="43"/>
  <c r="N85" i="43"/>
  <c r="K85" i="43"/>
  <c r="J85" i="43"/>
  <c r="D85" i="43"/>
  <c r="M82" i="43"/>
  <c r="N82" i="43"/>
  <c r="K83" i="43"/>
  <c r="J83" i="43"/>
  <c r="D83" i="43"/>
  <c r="H62" i="43"/>
  <c r="J104" i="43"/>
  <c r="E102" i="43"/>
  <c r="I103" i="43"/>
  <c r="M104" i="43"/>
  <c r="B115" i="43"/>
  <c r="D116" i="43"/>
  <c r="E116" i="43"/>
  <c r="F116" i="43"/>
  <c r="G116" i="43"/>
  <c r="H116" i="43"/>
  <c r="D118" i="43"/>
  <c r="E118" i="43"/>
  <c r="F118" i="43"/>
  <c r="M7" i="15"/>
  <c r="J6" i="15"/>
  <c r="F35" i="15"/>
  <c r="F64" i="15"/>
  <c r="E18" i="1"/>
  <c r="C34" i="11"/>
  <c r="C17" i="15"/>
  <c r="A2" i="9"/>
  <c r="W23" i="40"/>
  <c r="S23" i="40"/>
  <c r="U23" i="40"/>
  <c r="S38" i="40"/>
  <c r="S33" i="40"/>
  <c r="AB31" i="40"/>
  <c r="AC14" i="40"/>
  <c r="AC13" i="40"/>
  <c r="S14" i="40"/>
  <c r="S31" i="40"/>
  <c r="S11" i="40"/>
  <c r="AB37" i="39"/>
  <c r="W42" i="39"/>
  <c r="W34" i="39"/>
  <c r="W32" i="39"/>
  <c r="S43" i="39"/>
  <c r="AA32" i="39"/>
  <c r="S11" i="39"/>
  <c r="AA25" i="39"/>
  <c r="S29" i="39"/>
  <c r="U40" i="39"/>
  <c r="AB43" i="39"/>
  <c r="AC41" i="39"/>
  <c r="U11" i="39"/>
  <c r="W36" i="39"/>
  <c r="S34" i="39"/>
  <c r="S39" i="39"/>
  <c r="U9" i="39"/>
  <c r="AA13" i="36"/>
  <c r="AA33" i="36"/>
  <c r="S8" i="36"/>
  <c r="U33" i="35"/>
  <c r="S36" i="35"/>
  <c r="U22" i="35"/>
  <c r="AA33" i="35"/>
  <c r="U28" i="35"/>
  <c r="AB27" i="35"/>
  <c r="S35" i="35"/>
  <c r="S26" i="35"/>
  <c r="AB26" i="35"/>
  <c r="AC16" i="35"/>
  <c r="S28" i="35"/>
  <c r="AC34" i="37"/>
  <c r="U29" i="37"/>
  <c r="U30" i="37"/>
  <c r="S40" i="37"/>
  <c r="AC29" i="37"/>
  <c r="U26" i="37"/>
  <c r="U38" i="37"/>
  <c r="AA13" i="37"/>
  <c r="W25" i="37"/>
  <c r="S9" i="37"/>
  <c r="J21" i="34"/>
  <c r="AC21" i="34"/>
  <c r="AC19" i="34"/>
  <c r="AB28" i="34"/>
  <c r="AB37" i="34"/>
  <c r="AA45" i="34"/>
  <c r="AB45" i="34"/>
  <c r="AB35" i="34"/>
  <c r="W29" i="34"/>
  <c r="U34" i="34"/>
  <c r="S34" i="34"/>
  <c r="W44" i="34"/>
  <c r="S35" i="34"/>
  <c r="AB47" i="34"/>
  <c r="U31" i="34"/>
  <c r="AB14" i="34"/>
  <c r="AC45" i="34"/>
  <c r="AA29" i="34"/>
  <c r="AC13" i="34"/>
  <c r="AB13" i="34"/>
  <c r="S13" i="34"/>
  <c r="AA31" i="34"/>
  <c r="AB29" i="34"/>
  <c r="U33" i="33"/>
  <c r="U30" i="33"/>
  <c r="AB26" i="33"/>
  <c r="W35" i="33"/>
  <c r="W26" i="33"/>
  <c r="S33" i="33"/>
  <c r="U35" i="33"/>
  <c r="AC45" i="33"/>
  <c r="W8" i="33"/>
  <c r="G83" i="21"/>
  <c r="J21" i="21"/>
  <c r="AC21" i="21"/>
  <c r="AA25" i="21"/>
  <c r="AA26" i="21"/>
  <c r="C15" i="39"/>
  <c r="C17" i="39"/>
  <c r="C19" i="39"/>
  <c r="C15" i="40"/>
  <c r="C17" i="40"/>
  <c r="B54" i="43"/>
  <c r="B65" i="43"/>
  <c r="U30" i="40"/>
  <c r="B52" i="43"/>
  <c r="B60" i="43"/>
  <c r="AB35" i="40"/>
  <c r="U37" i="40"/>
  <c r="AB37" i="40"/>
  <c r="W37" i="40"/>
  <c r="AC37" i="40"/>
  <c r="AA28" i="40"/>
  <c r="S28" i="40"/>
  <c r="W28" i="40"/>
  <c r="AB28" i="40"/>
  <c r="AB21" i="40"/>
  <c r="U21" i="40"/>
  <c r="AA17" i="40"/>
  <c r="W17" i="40"/>
  <c r="AC17" i="40"/>
  <c r="AA15" i="40"/>
  <c r="S15" i="40"/>
  <c r="U33" i="37"/>
  <c r="S33" i="37"/>
  <c r="AA35" i="37"/>
  <c r="W33" i="37"/>
  <c r="AB19" i="37"/>
  <c r="M86" i="43"/>
  <c r="N86" i="43"/>
  <c r="F34" i="11"/>
  <c r="E19" i="1"/>
  <c r="D20" i="1"/>
  <c r="D18" i="1"/>
  <c r="F50" i="11"/>
  <c r="F19" i="1"/>
  <c r="F18" i="1"/>
  <c r="C11" i="12"/>
  <c r="C15" i="12"/>
  <c r="D19" i="1"/>
  <c r="K87" i="43"/>
  <c r="J87" i="43"/>
  <c r="D87" i="43"/>
  <c r="E3" i="4"/>
  <c r="B5" i="55"/>
  <c r="B55" i="60"/>
  <c r="C3" i="4"/>
  <c r="B4" i="55"/>
  <c r="B53" i="60"/>
  <c r="L106" i="9"/>
  <c r="A18" i="55"/>
  <c r="B48" i="60"/>
  <c r="C115" i="43"/>
  <c r="J22" i="43"/>
  <c r="M84" i="43"/>
  <c r="N84" i="43"/>
  <c r="K84" i="43"/>
  <c r="J84" i="43"/>
  <c r="D84" i="43"/>
  <c r="M81" i="43"/>
  <c r="N81" i="43"/>
  <c r="K81" i="43"/>
  <c r="J81" i="43"/>
  <c r="D81" i="43"/>
  <c r="M88" i="43"/>
  <c r="N88" i="43"/>
  <c r="K88" i="43"/>
  <c r="J88" i="43"/>
  <c r="D88" i="43"/>
  <c r="I114" i="57"/>
  <c r="N51" i="57"/>
  <c r="B41" i="1"/>
  <c r="M27" i="15"/>
  <c r="C24" i="43"/>
  <c r="C13" i="12"/>
  <c r="C36" i="11"/>
  <c r="D118" i="57"/>
  <c r="D119" i="57"/>
  <c r="I115" i="57"/>
  <c r="D132" i="57"/>
  <c r="D134" i="57"/>
  <c r="D130" i="9"/>
  <c r="D13" i="52"/>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M60" i="15"/>
  <c r="B16" i="59"/>
  <c r="B15" i="59"/>
  <c r="B14" i="59"/>
  <c r="B13" i="59"/>
  <c r="B12" i="59"/>
  <c r="AB16" i="59"/>
  <c r="U16" i="59"/>
  <c r="AA15" i="59"/>
  <c r="X15" i="59"/>
  <c r="AB15" i="59"/>
  <c r="AA14" i="59"/>
  <c r="Y14" i="59"/>
  <c r="Z14" i="59"/>
  <c r="Y12" i="59"/>
  <c r="Z12" i="59"/>
  <c r="AB12" i="59"/>
  <c r="AB10" i="59"/>
  <c r="X12" i="59"/>
  <c r="X10" i="59"/>
  <c r="AA12" i="59"/>
  <c r="AA10" i="59"/>
  <c r="AB11" i="59"/>
  <c r="X11" i="59"/>
  <c r="J30" i="35"/>
  <c r="AC30" i="35"/>
  <c r="W30" i="35"/>
  <c r="H30" i="35"/>
  <c r="AB30" i="35"/>
  <c r="AA30" i="35"/>
  <c r="N56" i="9"/>
  <c r="O56" i="9"/>
  <c r="O58" i="57"/>
  <c r="K58" i="57"/>
  <c r="K59" i="57"/>
  <c r="K61" i="57"/>
  <c r="K63" i="57"/>
  <c r="N58" i="57"/>
  <c r="K56" i="9"/>
  <c r="K57" i="9"/>
  <c r="K59" i="9"/>
  <c r="K61" i="9"/>
  <c r="L58" i="57"/>
  <c r="X3" i="59"/>
  <c r="Y3" i="59"/>
  <c r="Z3" i="59"/>
  <c r="H75" i="43"/>
  <c r="H73" i="43"/>
  <c r="F48" i="43"/>
  <c r="H50" i="43"/>
  <c r="G4" i="47"/>
  <c r="S16" i="59"/>
  <c r="G20" i="43"/>
  <c r="E41" i="43"/>
  <c r="C41" i="43"/>
  <c r="H51" i="43"/>
  <c r="H54" i="43"/>
  <c r="I116" i="57"/>
  <c r="D133" i="57"/>
  <c r="D120" i="57"/>
  <c r="I114" i="9"/>
  <c r="D129" i="9"/>
  <c r="D12" i="52"/>
  <c r="I112" i="9"/>
  <c r="D39" i="50"/>
  <c r="D40" i="50"/>
  <c r="D116" i="9"/>
  <c r="D114" i="9"/>
  <c r="D115" i="9"/>
  <c r="I113" i="9"/>
  <c r="N49" i="9"/>
  <c r="M67" i="9"/>
  <c r="N67" i="9"/>
  <c r="D42" i="50"/>
  <c r="D43" i="50"/>
  <c r="D18" i="50"/>
  <c r="B31" i="60"/>
  <c r="D3" i="61"/>
  <c r="D20" i="57"/>
  <c r="C19" i="57"/>
  <c r="F5" i="61"/>
  <c r="C20" i="57"/>
  <c r="E2" i="37"/>
  <c r="F4" i="61"/>
  <c r="E2" i="34"/>
  <c r="E2" i="35"/>
  <c r="F6" i="61"/>
  <c r="E2" i="21"/>
  <c r="E2" i="36"/>
  <c r="D7" i="61"/>
  <c r="H23" i="31"/>
  <c r="F3" i="61"/>
  <c r="E2" i="33"/>
  <c r="D5" i="61"/>
  <c r="D4" i="61"/>
  <c r="F7" i="61"/>
  <c r="E2" i="11"/>
  <c r="D19" i="57"/>
  <c r="F30" i="1"/>
  <c r="C7" i="78"/>
  <c r="H27" i="33"/>
  <c r="AB27" i="33"/>
  <c r="E91" i="33"/>
  <c r="J27" i="33"/>
  <c r="W27" i="33"/>
  <c r="U44" i="33"/>
  <c r="W40" i="33"/>
  <c r="W44" i="33"/>
  <c r="U40" i="33"/>
  <c r="C48" i="35"/>
  <c r="D48" i="35"/>
  <c r="E48" i="35"/>
  <c r="F48" i="35"/>
  <c r="G48" i="35"/>
  <c r="H48" i="35"/>
  <c r="I7" i="35"/>
  <c r="E7" i="35"/>
  <c r="G7" i="35"/>
  <c r="AA29" i="35"/>
  <c r="AB34" i="35"/>
  <c r="W34" i="35"/>
  <c r="F32" i="35"/>
  <c r="AA32" i="35"/>
  <c r="W33" i="35"/>
  <c r="F34" i="35"/>
  <c r="AA34" i="35"/>
  <c r="W29" i="35"/>
  <c r="AB31" i="35"/>
  <c r="S25" i="35"/>
  <c r="AA25" i="35"/>
  <c r="S22" i="35"/>
  <c r="AB23" i="35"/>
  <c r="W23" i="35"/>
  <c r="S20" i="35"/>
  <c r="U18" i="35"/>
  <c r="AB10" i="35"/>
  <c r="W11" i="35"/>
  <c r="W13" i="35"/>
  <c r="J12" i="35"/>
  <c r="U8" i="35"/>
  <c r="U41" i="21"/>
  <c r="B67" i="43"/>
  <c r="U41" i="33"/>
  <c r="AB41" i="33"/>
  <c r="U32" i="39"/>
  <c r="AB32" i="39"/>
  <c r="AC19" i="40"/>
  <c r="W19" i="40"/>
  <c r="W12" i="39"/>
  <c r="AC12" i="39"/>
  <c r="W12" i="36"/>
  <c r="AC12" i="36"/>
  <c r="H85" i="43"/>
  <c r="H82" i="43"/>
  <c r="H83" i="43"/>
  <c r="H81" i="43"/>
  <c r="AB27" i="36"/>
  <c r="U27" i="36"/>
  <c r="AA26" i="37"/>
  <c r="S26" i="37"/>
  <c r="AC26" i="37"/>
  <c r="W26" i="37"/>
  <c r="S27" i="37"/>
  <c r="AA27" i="37"/>
  <c r="U24" i="35"/>
  <c r="AB24" i="35"/>
  <c r="AC24" i="35"/>
  <c r="W24" i="35"/>
  <c r="H78" i="43"/>
  <c r="H76" i="43"/>
  <c r="H86" i="43"/>
  <c r="AA19" i="37"/>
  <c r="B23" i="60"/>
  <c r="S20" i="36"/>
  <c r="H88" i="43"/>
  <c r="AC28" i="34"/>
  <c r="AB15" i="40"/>
  <c r="U15" i="40"/>
  <c r="S44" i="34"/>
  <c r="AC35" i="39"/>
  <c r="W35" i="39"/>
  <c r="AB12" i="36"/>
  <c r="U12" i="36"/>
  <c r="J102" i="43"/>
  <c r="J107" i="43"/>
  <c r="N107" i="43"/>
  <c r="N105" i="43"/>
  <c r="E109" i="43"/>
  <c r="E105" i="43"/>
  <c r="E106" i="43"/>
  <c r="M109" i="43"/>
  <c r="M107" i="43"/>
  <c r="AB8" i="33"/>
  <c r="U8" i="33"/>
  <c r="AC8" i="35"/>
  <c r="W8" i="35"/>
  <c r="J36" i="35"/>
  <c r="H36" i="35"/>
  <c r="AA27" i="35"/>
  <c r="S27" i="35"/>
  <c r="H34" i="36"/>
  <c r="J34" i="36"/>
  <c r="U29" i="36"/>
  <c r="AB29" i="36"/>
  <c r="AB31" i="36"/>
  <c r="U31" i="36"/>
  <c r="AA8" i="39"/>
  <c r="S8" i="39"/>
  <c r="AA38" i="39"/>
  <c r="S38" i="39"/>
  <c r="AA8" i="40"/>
  <c r="S8" i="40"/>
  <c r="W35" i="34"/>
  <c r="U41" i="39"/>
  <c r="U11" i="36"/>
  <c r="AA16" i="36"/>
  <c r="H23" i="34"/>
  <c r="AB23" i="34"/>
  <c r="AC20" i="35"/>
  <c r="AA15" i="39"/>
  <c r="U34" i="39"/>
  <c r="W29" i="39"/>
  <c r="AC13" i="39"/>
  <c r="S17" i="39"/>
  <c r="U11" i="40"/>
  <c r="S32" i="40"/>
  <c r="S14" i="33"/>
  <c r="W28" i="37"/>
  <c r="AB14" i="33"/>
  <c r="F38" i="37"/>
  <c r="S8" i="35"/>
  <c r="U33" i="36"/>
  <c r="S39" i="37"/>
  <c r="AA39" i="37"/>
  <c r="F28" i="21"/>
  <c r="AA28" i="21"/>
  <c r="J28" i="21"/>
  <c r="W28" i="21"/>
  <c r="J46" i="21"/>
  <c r="W46" i="21"/>
  <c r="H46" i="21"/>
  <c r="U46" i="21"/>
  <c r="E110" i="21"/>
  <c r="F110" i="21"/>
  <c r="G110" i="21"/>
  <c r="H110" i="21"/>
  <c r="I110" i="21"/>
  <c r="J110" i="21"/>
  <c r="K110" i="21"/>
  <c r="L110" i="21"/>
  <c r="M110" i="21"/>
  <c r="F36" i="21"/>
  <c r="S36" i="21"/>
  <c r="E125" i="21"/>
  <c r="F125" i="21"/>
  <c r="G125" i="21"/>
  <c r="J43" i="21"/>
  <c r="F43" i="21"/>
  <c r="S43" i="21"/>
  <c r="B71" i="43"/>
  <c r="C21" i="39"/>
  <c r="E81" i="33"/>
  <c r="F81" i="33"/>
  <c r="G81" i="33"/>
  <c r="F19" i="33"/>
  <c r="H28" i="33"/>
  <c r="U28" i="33"/>
  <c r="J28" i="33"/>
  <c r="AC28" i="33"/>
  <c r="H12" i="33"/>
  <c r="J12" i="33"/>
  <c r="F12" i="33"/>
  <c r="AB14" i="37"/>
  <c r="U14" i="37"/>
  <c r="E114" i="34"/>
  <c r="F114" i="34"/>
  <c r="G114" i="34"/>
  <c r="H114" i="34"/>
  <c r="I114" i="34"/>
  <c r="J114" i="34"/>
  <c r="K114" i="34"/>
  <c r="L114" i="34"/>
  <c r="M114" i="34"/>
  <c r="H38" i="34"/>
  <c r="U38" i="34"/>
  <c r="AB34" i="37"/>
  <c r="U34" i="37"/>
  <c r="W31" i="35"/>
  <c r="AC31" i="35"/>
  <c r="C15" i="59"/>
  <c r="D16" i="59"/>
  <c r="I107" i="57"/>
  <c r="D127" i="57"/>
  <c r="G100" i="43"/>
  <c r="C25" i="40"/>
  <c r="C63" i="59"/>
  <c r="C62" i="59"/>
  <c r="D62" i="59"/>
  <c r="AA21" i="59"/>
  <c r="X22" i="59"/>
  <c r="AA22" i="59"/>
  <c r="X23" i="59"/>
  <c r="AA23" i="59"/>
  <c r="X24" i="59"/>
  <c r="AA24" i="59"/>
  <c r="B30" i="59"/>
  <c r="B31" i="59"/>
  <c r="B32" i="59"/>
  <c r="S32" i="59"/>
  <c r="E51" i="59"/>
  <c r="E52" i="59"/>
  <c r="U52" i="59"/>
  <c r="E55" i="59"/>
  <c r="E56" i="59"/>
  <c r="U56" i="59"/>
  <c r="E15" i="59"/>
  <c r="E14" i="59"/>
  <c r="E13" i="59"/>
  <c r="E12" i="59"/>
  <c r="AA41" i="21"/>
  <c r="S35" i="21"/>
  <c r="AA36" i="21"/>
  <c r="H36" i="21"/>
  <c r="U36" i="21"/>
  <c r="J36" i="21"/>
  <c r="W41" i="21"/>
  <c r="E106" i="21"/>
  <c r="F106" i="21"/>
  <c r="G106" i="21"/>
  <c r="H106" i="21"/>
  <c r="I106" i="21"/>
  <c r="J106" i="21"/>
  <c r="K106" i="21"/>
  <c r="L106" i="21"/>
  <c r="M106" i="21"/>
  <c r="AB29" i="21"/>
  <c r="H34" i="21"/>
  <c r="U34" i="21"/>
  <c r="U35" i="21"/>
  <c r="AC33" i="21"/>
  <c r="F30" i="21"/>
  <c r="S30" i="21"/>
  <c r="J45" i="21"/>
  <c r="AC45" i="21"/>
  <c r="H45" i="21"/>
  <c r="AB45" i="21"/>
  <c r="J42" i="21"/>
  <c r="AC42" i="21"/>
  <c r="F42" i="21"/>
  <c r="AC35" i="21"/>
  <c r="W23" i="21"/>
  <c r="F39" i="21"/>
  <c r="S39" i="21"/>
  <c r="J39" i="21"/>
  <c r="AC39" i="21"/>
  <c r="B63" i="43"/>
  <c r="B49" i="43"/>
  <c r="C58" i="21"/>
  <c r="D58" i="21"/>
  <c r="E7" i="21"/>
  <c r="AA39" i="21"/>
  <c r="U27" i="21"/>
  <c r="AB30" i="21"/>
  <c r="U30" i="21"/>
  <c r="AC31" i="21"/>
  <c r="S28" i="21"/>
  <c r="AC28" i="21"/>
  <c r="S31" i="21"/>
  <c r="J30" i="21"/>
  <c r="H28" i="21"/>
  <c r="AC29" i="21"/>
  <c r="AA21" i="39"/>
  <c r="E82" i="34"/>
  <c r="F82" i="34"/>
  <c r="G82" i="34"/>
  <c r="F19" i="34"/>
  <c r="E81" i="43"/>
  <c r="B79" i="43"/>
  <c r="C7" i="43"/>
  <c r="AB35" i="37"/>
  <c r="AC11" i="34"/>
  <c r="AB38" i="40"/>
  <c r="W24" i="36"/>
  <c r="C110" i="57"/>
  <c r="H104" i="57"/>
  <c r="S23" i="37"/>
  <c r="W30" i="33"/>
  <c r="AB25" i="35"/>
  <c r="S44" i="33"/>
  <c r="W14" i="34"/>
  <c r="W27" i="40"/>
  <c r="AC23" i="36"/>
  <c r="AC39" i="40"/>
  <c r="D4" i="47"/>
  <c r="F4" i="47"/>
  <c r="B2" i="47"/>
  <c r="X27" i="31"/>
  <c r="I108" i="43"/>
  <c r="I100" i="43"/>
  <c r="C51" i="59"/>
  <c r="C52" i="59"/>
  <c r="D50" i="59"/>
  <c r="D108" i="43"/>
  <c r="D109" i="43"/>
  <c r="D100" i="43"/>
  <c r="E19" i="59"/>
  <c r="E18" i="59"/>
  <c r="U20" i="59"/>
  <c r="Y28" i="59"/>
  <c r="Z28" i="59"/>
  <c r="X21" i="59"/>
  <c r="AB13" i="59"/>
  <c r="X14" i="59"/>
  <c r="AA16" i="59"/>
  <c r="Y11" i="59"/>
  <c r="Z11" i="59"/>
  <c r="AA11" i="59"/>
  <c r="AA9" i="59"/>
  <c r="X9" i="59"/>
  <c r="AB25" i="40"/>
  <c r="D63" i="59"/>
  <c r="C66" i="59"/>
  <c r="D66" i="59"/>
  <c r="E67" i="59"/>
  <c r="E66" i="59"/>
  <c r="Q60" i="59"/>
  <c r="C59" i="59"/>
  <c r="X18" i="59"/>
  <c r="Y18" i="59"/>
  <c r="Z18" i="59"/>
  <c r="Y21" i="59"/>
  <c r="Z21" i="59"/>
  <c r="AB3" i="59"/>
  <c r="Y22" i="59"/>
  <c r="Z22" i="59"/>
  <c r="AB22" i="59"/>
  <c r="Y23" i="59"/>
  <c r="Z23" i="59"/>
  <c r="AB23" i="59"/>
  <c r="Y24" i="59"/>
  <c r="Z24" i="59"/>
  <c r="B26" i="59"/>
  <c r="B27" i="59"/>
  <c r="B28" i="59"/>
  <c r="S28" i="59"/>
  <c r="C26" i="59"/>
  <c r="C27" i="59"/>
  <c r="AA25" i="59"/>
  <c r="AA26" i="59"/>
  <c r="AA27" i="59"/>
  <c r="AA28" i="59"/>
  <c r="AA29" i="59"/>
  <c r="AA30" i="59"/>
  <c r="B43" i="59"/>
  <c r="B44" i="59"/>
  <c r="S44" i="59"/>
  <c r="B51" i="59"/>
  <c r="B52" i="59"/>
  <c r="S52" i="59"/>
  <c r="B55" i="59"/>
  <c r="B56" i="59"/>
  <c r="S56" i="59"/>
  <c r="F58" i="59"/>
  <c r="N60" i="59"/>
  <c r="V68" i="59"/>
  <c r="AJ10" i="43"/>
  <c r="AI10" i="43"/>
  <c r="AA10" i="43"/>
  <c r="AA17" i="59"/>
  <c r="Y16" i="59"/>
  <c r="Z16" i="59"/>
  <c r="AB9" i="59"/>
  <c r="Y13" i="59"/>
  <c r="Z13" i="59"/>
  <c r="AA8" i="59"/>
  <c r="AB5" i="59"/>
  <c r="Y10" i="59"/>
  <c r="Z10" i="59"/>
  <c r="AB8" i="59"/>
  <c r="S45" i="21"/>
  <c r="B11" i="59"/>
  <c r="B10" i="59"/>
  <c r="B9" i="59"/>
  <c r="B8" i="59"/>
  <c r="S12" i="59"/>
  <c r="W11" i="36"/>
  <c r="AC29" i="33"/>
  <c r="W29" i="33"/>
  <c r="S29" i="36"/>
  <c r="AA29" i="36"/>
  <c r="F14" i="21"/>
  <c r="J14" i="21"/>
  <c r="W14" i="21"/>
  <c r="H14" i="21"/>
  <c r="J12" i="40"/>
  <c r="H12" i="40"/>
  <c r="AC27" i="21"/>
  <c r="I14" i="62"/>
  <c r="B8" i="62"/>
  <c r="C8" i="62"/>
  <c r="W10" i="37"/>
  <c r="S24" i="36"/>
  <c r="AC11" i="37"/>
  <c r="AB15" i="37"/>
  <c r="AB19" i="40"/>
  <c r="S13" i="33"/>
  <c r="AA13" i="33"/>
  <c r="AC11" i="40"/>
  <c r="W11" i="40"/>
  <c r="AB33" i="40"/>
  <c r="AB31" i="39"/>
  <c r="U31" i="39"/>
  <c r="U32" i="35"/>
  <c r="E115" i="21"/>
  <c r="F115" i="21"/>
  <c r="G115" i="21"/>
  <c r="H115" i="21"/>
  <c r="I115" i="21"/>
  <c r="J115" i="21"/>
  <c r="K115" i="21"/>
  <c r="L115" i="21"/>
  <c r="M115" i="21"/>
  <c r="J38" i="21"/>
  <c r="W38" i="21"/>
  <c r="H38" i="21"/>
  <c r="U38" i="21"/>
  <c r="F38" i="21"/>
  <c r="S38" i="21"/>
  <c r="AB12" i="37"/>
  <c r="U12" i="37"/>
  <c r="U16" i="35"/>
  <c r="AB21" i="39"/>
  <c r="H13" i="37"/>
  <c r="J13" i="37"/>
  <c r="AC19" i="37"/>
  <c r="AC23" i="39"/>
  <c r="W14" i="33"/>
  <c r="S22" i="36"/>
  <c r="AA22" i="36"/>
  <c r="B77" i="43"/>
  <c r="C25" i="39"/>
  <c r="AA21" i="40"/>
  <c r="U23" i="37"/>
  <c r="AB23" i="37"/>
  <c r="U45" i="33"/>
  <c r="AB45" i="33"/>
  <c r="U39" i="39"/>
  <c r="AB39" i="39"/>
  <c r="AB17" i="40"/>
  <c r="U30" i="35"/>
  <c r="D131" i="57"/>
  <c r="C14" i="15"/>
  <c r="F103" i="43"/>
  <c r="F106" i="43"/>
  <c r="H104" i="43"/>
  <c r="C116" i="9"/>
  <c r="H114" i="9"/>
  <c r="W21" i="40"/>
  <c r="AC38" i="40"/>
  <c r="AB27" i="37"/>
  <c r="AC37" i="37"/>
  <c r="AB35" i="39"/>
  <c r="AC27" i="37"/>
  <c r="AA30" i="21"/>
  <c r="F15" i="47"/>
  <c r="B13" i="47"/>
  <c r="AA10" i="35"/>
  <c r="S46" i="33"/>
  <c r="AA46" i="33"/>
  <c r="H14" i="39"/>
  <c r="F14" i="39"/>
  <c r="U31" i="37"/>
  <c r="H107" i="57"/>
  <c r="C114" i="57"/>
  <c r="H109" i="57"/>
  <c r="AA43" i="33"/>
  <c r="AC33" i="34"/>
  <c r="AB11" i="34"/>
  <c r="AB24" i="36"/>
  <c r="U16" i="36"/>
  <c r="S28" i="34"/>
  <c r="AB25" i="39"/>
  <c r="U31" i="33"/>
  <c r="AB31" i="33"/>
  <c r="H15" i="21"/>
  <c r="J15" i="21"/>
  <c r="W15" i="21"/>
  <c r="F15" i="21"/>
  <c r="S15" i="21"/>
  <c r="E77" i="21"/>
  <c r="F77" i="21"/>
  <c r="G77" i="21"/>
  <c r="AB9" i="35"/>
  <c r="U9" i="35"/>
  <c r="AB27" i="40"/>
  <c r="W38" i="37"/>
  <c r="W15" i="37"/>
  <c r="W15" i="40"/>
  <c r="N106" i="43"/>
  <c r="S37" i="34"/>
  <c r="AC9" i="37"/>
  <c r="U11" i="35"/>
  <c r="S26" i="33"/>
  <c r="AA9" i="35"/>
  <c r="F32" i="36"/>
  <c r="F39" i="40"/>
  <c r="J19" i="21"/>
  <c r="W19" i="21"/>
  <c r="H12" i="35"/>
  <c r="AB8" i="37"/>
  <c r="U8" i="37"/>
  <c r="F45" i="39"/>
  <c r="J45" i="39"/>
  <c r="J12" i="21"/>
  <c r="F12" i="21"/>
  <c r="AB22" i="36"/>
  <c r="H9" i="21"/>
  <c r="AB9" i="21"/>
  <c r="J9" i="21"/>
  <c r="W9" i="21"/>
  <c r="E85" i="33"/>
  <c r="F85" i="33"/>
  <c r="G85" i="33"/>
  <c r="H23" i="33"/>
  <c r="AB23" i="33"/>
  <c r="J37" i="39"/>
  <c r="AC8" i="40"/>
  <c r="U39" i="37"/>
  <c r="W32" i="35"/>
  <c r="F23" i="33"/>
  <c r="AA23" i="33"/>
  <c r="AA31" i="36"/>
  <c r="J12" i="34"/>
  <c r="AA23" i="36"/>
  <c r="H9" i="36"/>
  <c r="F28" i="33"/>
  <c r="S28" i="33"/>
  <c r="F19" i="21"/>
  <c r="AA19" i="21"/>
  <c r="H19" i="21"/>
  <c r="AB19" i="21"/>
  <c r="J27" i="34"/>
  <c r="H44" i="39"/>
  <c r="E86" i="34"/>
  <c r="F86" i="34"/>
  <c r="G86" i="34"/>
  <c r="D51" i="59"/>
  <c r="D27" i="59"/>
  <c r="C28" i="59"/>
  <c r="C47" i="59"/>
  <c r="D46" i="59"/>
  <c r="N59" i="59"/>
  <c r="B58" i="59"/>
  <c r="C35" i="59"/>
  <c r="D34" i="59"/>
  <c r="C43" i="59"/>
  <c r="D42" i="59"/>
  <c r="U27" i="31"/>
  <c r="U25" i="31"/>
  <c r="C36" i="57"/>
  <c r="D125" i="57"/>
  <c r="E100" i="43"/>
  <c r="N108" i="43"/>
  <c r="N109" i="43"/>
  <c r="V20" i="59"/>
  <c r="AA3" i="59"/>
  <c r="C55" i="59"/>
  <c r="X19" i="59"/>
  <c r="S60" i="59"/>
  <c r="B63" i="59"/>
  <c r="B62" i="59"/>
  <c r="Y15" i="59"/>
  <c r="Z15" i="59"/>
  <c r="V27" i="31"/>
  <c r="V25" i="31"/>
  <c r="C100" i="43"/>
  <c r="S21" i="33"/>
  <c r="D59" i="59"/>
  <c r="AA20" i="59"/>
  <c r="C39" i="59"/>
  <c r="D39" i="59"/>
  <c r="X20" i="59"/>
  <c r="U60" i="59"/>
  <c r="X16" i="59"/>
  <c r="Y9" i="59"/>
  <c r="Z9" i="59"/>
  <c r="Y27" i="31"/>
  <c r="Y25" i="31"/>
  <c r="S21" i="37"/>
  <c r="AA19" i="59"/>
  <c r="C79" i="59"/>
  <c r="B20" i="59"/>
  <c r="E22" i="59"/>
  <c r="E23" i="59"/>
  <c r="E24" i="59"/>
  <c r="U24" i="59"/>
  <c r="F26" i="59"/>
  <c r="F27" i="59"/>
  <c r="F28" i="59"/>
  <c r="V28" i="59"/>
  <c r="E30" i="59"/>
  <c r="E31" i="59"/>
  <c r="E32" i="59"/>
  <c r="U32" i="59"/>
  <c r="S72" i="59"/>
  <c r="AF10" i="43"/>
  <c r="AB29" i="59"/>
  <c r="AA13" i="59"/>
  <c r="X7" i="59"/>
  <c r="X25" i="31"/>
  <c r="C37" i="57"/>
  <c r="F125" i="57"/>
  <c r="G125" i="57"/>
  <c r="L100" i="43"/>
  <c r="U21" i="37"/>
  <c r="AA18" i="59"/>
  <c r="C75" i="59"/>
  <c r="B67" i="59"/>
  <c r="B66" i="59"/>
  <c r="Y27" i="59"/>
  <c r="Z27" i="59"/>
  <c r="AB24" i="59"/>
  <c r="Y7" i="59"/>
  <c r="Z7" i="59"/>
  <c r="J100" i="43"/>
  <c r="S18" i="35"/>
  <c r="Y19" i="59"/>
  <c r="Z19" i="59"/>
  <c r="T16" i="59"/>
  <c r="AB14" i="59"/>
  <c r="C70" i="59"/>
  <c r="D70" i="59"/>
  <c r="AB20" i="59"/>
  <c r="D60" i="59"/>
  <c r="Z10" i="43"/>
  <c r="AC12" i="43"/>
  <c r="AC13" i="43"/>
  <c r="Y29" i="59"/>
  <c r="Z29" i="59"/>
  <c r="AB6" i="59"/>
  <c r="F100" i="43"/>
  <c r="K108" i="43"/>
  <c r="C31" i="58"/>
  <c r="C30" i="58"/>
  <c r="W18" i="35"/>
  <c r="AB19" i="59"/>
  <c r="E71" i="59"/>
  <c r="E70" i="59"/>
  <c r="D26" i="59"/>
  <c r="Y20" i="59"/>
  <c r="Z20" i="59"/>
  <c r="E59" i="59"/>
  <c r="AB21" i="59"/>
  <c r="AA7" i="59"/>
  <c r="Y5" i="59"/>
  <c r="Z5" i="59"/>
  <c r="S18" i="36"/>
  <c r="C18" i="59"/>
  <c r="D18" i="59"/>
  <c r="AB18" i="59"/>
  <c r="P72" i="15"/>
  <c r="X13" i="59"/>
  <c r="Y6" i="59"/>
  <c r="Z6" i="59"/>
  <c r="D1" i="58"/>
  <c r="E10" i="58"/>
  <c r="AB17" i="59"/>
  <c r="D68" i="59"/>
  <c r="F22" i="59"/>
  <c r="F23" i="59"/>
  <c r="F24" i="59"/>
  <c r="V24" i="59"/>
  <c r="E26" i="59"/>
  <c r="E27" i="59"/>
  <c r="E28" i="59"/>
  <c r="U28" i="59"/>
  <c r="AE10" i="43"/>
  <c r="X5" i="59"/>
  <c r="D20" i="59"/>
  <c r="C22" i="59"/>
  <c r="C30" i="59"/>
  <c r="F15" i="59"/>
  <c r="F14" i="59"/>
  <c r="F13" i="59"/>
  <c r="F12" i="59"/>
  <c r="AB7" i="59"/>
  <c r="X6" i="59"/>
  <c r="AA5" i="59"/>
  <c r="AA6" i="59"/>
  <c r="J34" i="21"/>
  <c r="AC34" i="21"/>
  <c r="AC32" i="21"/>
  <c r="U37" i="21"/>
  <c r="S21" i="21"/>
  <c r="S19" i="21"/>
  <c r="F79" i="21"/>
  <c r="G79" i="21"/>
  <c r="AB23" i="21"/>
  <c r="S23" i="21"/>
  <c r="W21" i="21"/>
  <c r="AC19" i="21"/>
  <c r="U17" i="21"/>
  <c r="S17" i="21"/>
  <c r="B66" i="43"/>
  <c r="C29" i="39"/>
  <c r="B55" i="43"/>
  <c r="C27" i="39"/>
  <c r="W45" i="21"/>
  <c r="W39" i="21"/>
  <c r="S40" i="21"/>
  <c r="U43" i="21"/>
  <c r="S46" i="21"/>
  <c r="AB44" i="21"/>
  <c r="S44" i="21"/>
  <c r="W44" i="21"/>
  <c r="AB46" i="21"/>
  <c r="S33" i="21"/>
  <c r="U33" i="21"/>
  <c r="S27" i="21"/>
  <c r="AB32" i="21"/>
  <c r="AA32" i="21"/>
  <c r="AA34" i="21"/>
  <c r="AB34" i="21"/>
  <c r="W42" i="21"/>
  <c r="U42" i="21"/>
  <c r="U40" i="21"/>
  <c r="W40" i="21"/>
  <c r="AB39" i="21"/>
  <c r="AB25" i="21"/>
  <c r="U26" i="21"/>
  <c r="W25" i="21"/>
  <c r="S13" i="21"/>
  <c r="S10" i="21"/>
  <c r="W10" i="21"/>
  <c r="S8" i="21"/>
  <c r="C59" i="34"/>
  <c r="D59" i="34"/>
  <c r="I7" i="34"/>
  <c r="G7" i="34"/>
  <c r="E7" i="34"/>
  <c r="C58" i="33"/>
  <c r="D58" i="33"/>
  <c r="E58" i="33"/>
  <c r="F58" i="33"/>
  <c r="G58" i="33"/>
  <c r="H58" i="33"/>
  <c r="I58" i="33"/>
  <c r="J58" i="33"/>
  <c r="K58" i="33"/>
  <c r="L58" i="33"/>
  <c r="M58" i="33"/>
  <c r="N58" i="33"/>
  <c r="O58" i="33"/>
  <c r="I7" i="33"/>
  <c r="G7" i="33"/>
  <c r="E7" i="33"/>
  <c r="H15" i="34"/>
  <c r="AB15" i="34"/>
  <c r="F78" i="34"/>
  <c r="G78" i="34"/>
  <c r="F15" i="34"/>
  <c r="AA15" i="34"/>
  <c r="J15" i="34"/>
  <c r="AC15" i="34"/>
  <c r="AC37" i="34"/>
  <c r="W40" i="34"/>
  <c r="AB44" i="34"/>
  <c r="W43" i="34"/>
  <c r="U43" i="34"/>
  <c r="W41" i="34"/>
  <c r="AB41" i="34"/>
  <c r="AB40" i="34"/>
  <c r="S40" i="34"/>
  <c r="AC39" i="34"/>
  <c r="U39" i="34"/>
  <c r="S38" i="34"/>
  <c r="AB38" i="34"/>
  <c r="W38" i="34"/>
  <c r="AA33" i="34"/>
  <c r="AB27" i="34"/>
  <c r="F88" i="34"/>
  <c r="G88" i="34"/>
  <c r="H88" i="34"/>
  <c r="I88" i="34"/>
  <c r="J88" i="34"/>
  <c r="K88" i="34"/>
  <c r="L88" i="34"/>
  <c r="M88" i="34"/>
  <c r="F25" i="34"/>
  <c r="S25" i="34"/>
  <c r="AA27" i="34"/>
  <c r="AA25" i="34"/>
  <c r="AB25" i="34"/>
  <c r="AC25" i="34"/>
  <c r="S23" i="34"/>
  <c r="S21" i="34"/>
  <c r="AC23" i="34"/>
  <c r="U23" i="34"/>
  <c r="W21" i="34"/>
  <c r="AB17" i="34"/>
  <c r="S17" i="34"/>
  <c r="W17" i="34"/>
  <c r="S10" i="34"/>
  <c r="U10" i="34"/>
  <c r="W9" i="34"/>
  <c r="AA9" i="34"/>
  <c r="U9" i="34"/>
  <c r="AB8" i="34"/>
  <c r="AB29" i="33"/>
  <c r="AA29" i="33"/>
  <c r="F36" i="33"/>
  <c r="I111" i="33"/>
  <c r="J111" i="33"/>
  <c r="K111" i="33"/>
  <c r="L111" i="33"/>
  <c r="M111" i="33"/>
  <c r="H36" i="33"/>
  <c r="J36" i="33"/>
  <c r="F77" i="33"/>
  <c r="G77" i="33"/>
  <c r="S39" i="33"/>
  <c r="U39" i="33"/>
  <c r="W39" i="33"/>
  <c r="U37" i="33"/>
  <c r="W37" i="33"/>
  <c r="S35" i="33"/>
  <c r="AC32" i="33"/>
  <c r="S32" i="33"/>
  <c r="U32" i="33"/>
  <c r="AB28" i="33"/>
  <c r="W25" i="33"/>
  <c r="S25" i="33"/>
  <c r="W23" i="33"/>
  <c r="U21" i="33"/>
  <c r="U19" i="33"/>
  <c r="AC19" i="33"/>
  <c r="W17" i="33"/>
  <c r="U17" i="33"/>
  <c r="S17" i="33"/>
  <c r="AB10" i="33"/>
  <c r="S10" i="33"/>
  <c r="W9" i="33"/>
  <c r="S9" i="33"/>
  <c r="L108" i="57"/>
  <c r="AA8" i="37"/>
  <c r="AC8" i="37"/>
  <c r="AC36" i="37"/>
  <c r="S36" i="37"/>
  <c r="S30" i="37"/>
  <c r="W31" i="37"/>
  <c r="AA29" i="37"/>
  <c r="D68" i="39"/>
  <c r="E68" i="39"/>
  <c r="F68" i="39"/>
  <c r="C18" i="12"/>
  <c r="C21" i="50"/>
  <c r="M17" i="15"/>
  <c r="F15" i="48"/>
  <c r="H15" i="48"/>
  <c r="B14" i="48"/>
  <c r="D14" i="48"/>
  <c r="F13" i="48"/>
  <c r="H13" i="48"/>
  <c r="F14" i="48"/>
  <c r="H14" i="48"/>
  <c r="B18" i="49"/>
  <c r="B4" i="60"/>
  <c r="L60" i="15"/>
  <c r="Q72" i="15"/>
  <c r="C10" i="11"/>
  <c r="B103" i="9"/>
  <c r="C40" i="11"/>
  <c r="C47" i="11"/>
  <c r="D45" i="11"/>
  <c r="M18" i="15"/>
  <c r="F55" i="57"/>
  <c r="F52" i="9"/>
  <c r="F32" i="15"/>
  <c r="F61" i="15"/>
  <c r="F50" i="57"/>
  <c r="P54" i="57"/>
  <c r="F56" i="57"/>
  <c r="F54" i="9"/>
  <c r="F53" i="9"/>
  <c r="D70" i="57"/>
  <c r="F31" i="12"/>
  <c r="C31" i="12"/>
  <c r="F48" i="9"/>
  <c r="P52" i="9"/>
  <c r="F30" i="11"/>
  <c r="F48" i="11"/>
  <c r="F28" i="15"/>
  <c r="C28" i="15"/>
  <c r="F54" i="57"/>
  <c r="D68" i="9"/>
  <c r="C19" i="11"/>
  <c r="C20" i="11"/>
  <c r="C28" i="11"/>
  <c r="C27" i="11"/>
  <c r="B105" i="57"/>
  <c r="C118" i="57"/>
  <c r="H114" i="57"/>
  <c r="S29" i="31"/>
  <c r="S25" i="31"/>
  <c r="T28" i="31"/>
  <c r="T25" i="31"/>
  <c r="C116" i="57"/>
  <c r="H112" i="57"/>
  <c r="C17" i="12"/>
  <c r="B36" i="50"/>
  <c r="B56" i="60"/>
  <c r="M65" i="9"/>
  <c r="N65" i="9"/>
  <c r="H53" i="43"/>
  <c r="N60" i="15"/>
  <c r="C12" i="12"/>
  <c r="C16" i="12"/>
  <c r="C21" i="12"/>
  <c r="C22" i="12"/>
  <c r="G17" i="43"/>
  <c r="C16" i="43"/>
  <c r="C5" i="43"/>
  <c r="M64" i="9"/>
  <c r="N64" i="9"/>
  <c r="M68" i="9"/>
  <c r="N68" i="9"/>
  <c r="J20" i="15"/>
  <c r="C6" i="15"/>
  <c r="F51" i="15"/>
  <c r="D63" i="40"/>
  <c r="C65" i="40"/>
  <c r="M63" i="9"/>
  <c r="N63" i="9"/>
  <c r="N69" i="9"/>
  <c r="O69" i="9"/>
  <c r="M66" i="9"/>
  <c r="N66" i="9"/>
  <c r="D127" i="9"/>
  <c r="D10" i="5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C35" i="11"/>
  <c r="C38" i="11"/>
  <c r="C33" i="11"/>
  <c r="C79" i="57"/>
  <c r="C76" i="57"/>
  <c r="C48" i="11"/>
  <c r="C24" i="12"/>
  <c r="C29" i="12"/>
  <c r="D28" i="12"/>
  <c r="C77" i="9"/>
  <c r="C74" i="9"/>
  <c r="G52" i="37"/>
  <c r="H52" i="37"/>
  <c r="I52" i="37"/>
  <c r="J52" i="37"/>
  <c r="K52" i="37"/>
  <c r="L52" i="37"/>
  <c r="M52" i="37"/>
  <c r="N52" i="37"/>
  <c r="O52" i="37"/>
  <c r="J18" i="15"/>
  <c r="F31" i="15"/>
  <c r="H48" i="43"/>
  <c r="H49" i="43"/>
  <c r="H55" i="43"/>
  <c r="B13" i="1"/>
  <c r="I48" i="35"/>
  <c r="J48" i="35"/>
  <c r="K48" i="35"/>
  <c r="L48" i="35"/>
  <c r="M48" i="35"/>
  <c r="N48" i="35"/>
  <c r="O48" i="35"/>
  <c r="D46" i="36"/>
  <c r="G115" i="43"/>
  <c r="H115" i="43"/>
  <c r="E58" i="21"/>
  <c r="H72" i="43"/>
  <c r="H74" i="43"/>
  <c r="H77" i="43"/>
  <c r="F102" i="43"/>
  <c r="F107" i="43"/>
  <c r="J103" i="43"/>
  <c r="J109" i="43"/>
  <c r="M103" i="43"/>
  <c r="M105" i="43"/>
  <c r="E22" i="43"/>
  <c r="D22" i="43"/>
  <c r="C21" i="43"/>
  <c r="H22" i="43"/>
  <c r="B39" i="50"/>
  <c r="B57" i="60"/>
  <c r="J7" i="37"/>
  <c r="C15" i="15"/>
  <c r="J105" i="43"/>
  <c r="I107" i="43"/>
  <c r="H71" i="43"/>
  <c r="I104" i="43"/>
  <c r="E103" i="43"/>
  <c r="D107"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M70" i="57"/>
  <c r="N70" i="57"/>
  <c r="M67" i="57"/>
  <c r="N67" i="57"/>
  <c r="M69" i="57"/>
  <c r="N69" i="57"/>
  <c r="M65" i="57"/>
  <c r="N65" i="57"/>
  <c r="N71" i="57"/>
  <c r="O71" i="57"/>
  <c r="C13" i="50"/>
  <c r="C92" i="9"/>
  <c r="C94" i="9"/>
  <c r="C109" i="9"/>
  <c r="H106" i="9"/>
  <c r="C111" i="9"/>
  <c r="H108" i="9"/>
  <c r="H105" i="9"/>
  <c r="C110" i="9"/>
  <c r="H107" i="9"/>
  <c r="D21" i="50"/>
  <c r="D41" i="50"/>
  <c r="B63" i="60"/>
  <c r="C12" i="50"/>
  <c r="E125" i="57"/>
  <c r="D126" i="57"/>
  <c r="C94" i="57"/>
  <c r="C96" i="57"/>
  <c r="C113" i="57"/>
  <c r="H108" i="57"/>
  <c r="C115" i="57"/>
  <c r="H110" i="57"/>
  <c r="D19" i="50"/>
  <c r="B32" i="60"/>
  <c r="M66" i="57"/>
  <c r="N66" i="57"/>
  <c r="M68" i="57"/>
  <c r="N68" i="57"/>
  <c r="C23" i="12"/>
  <c r="D128" i="9"/>
  <c r="D11" i="52"/>
  <c r="D20" i="50"/>
  <c r="C34" i="15"/>
  <c r="C14" i="50"/>
  <c r="B5" i="48"/>
  <c r="D5" i="48"/>
  <c r="F7" i="48"/>
  <c r="H7" i="48"/>
  <c r="F11" i="48"/>
  <c r="H11" i="48"/>
  <c r="B12" i="48"/>
  <c r="D12" i="48"/>
  <c r="X8" i="59"/>
  <c r="Y8" i="59"/>
  <c r="Z8" i="59"/>
  <c r="AF3" i="59"/>
  <c r="P25" i="43"/>
  <c r="B10" i="48"/>
  <c r="D10" i="48"/>
  <c r="B7" i="48"/>
  <c r="D7" i="48"/>
  <c r="B4" i="48"/>
  <c r="D4" i="48"/>
  <c r="F4" i="48"/>
  <c r="H4" i="48"/>
  <c r="F5" i="48"/>
  <c r="H5" i="48"/>
  <c r="F6" i="48"/>
  <c r="H6" i="48"/>
  <c r="B6" i="48"/>
  <c r="D6" i="48"/>
  <c r="F8" i="48"/>
  <c r="H8" i="48"/>
  <c r="B11" i="48"/>
  <c r="D11" i="48"/>
  <c r="B13" i="48"/>
  <c r="D13" i="48"/>
  <c r="B9" i="48"/>
  <c r="D9" i="48"/>
  <c r="F9" i="48"/>
  <c r="H9" i="48"/>
  <c r="F12" i="48"/>
  <c r="H12" i="48"/>
  <c r="B8" i="48"/>
  <c r="D8" i="48"/>
  <c r="F10" i="48"/>
  <c r="H10" i="48"/>
  <c r="C103" i="57"/>
  <c r="G19" i="57"/>
  <c r="C106" i="57"/>
  <c r="D22" i="57"/>
  <c r="D103" i="57"/>
  <c r="I1" i="61"/>
  <c r="B31" i="1"/>
  <c r="K1" i="61"/>
  <c r="E20" i="43"/>
  <c r="G20" i="57"/>
  <c r="C105" i="57"/>
  <c r="C104" i="57"/>
  <c r="D104" i="57"/>
  <c r="D6" i="61"/>
  <c r="G1" i="61"/>
  <c r="F7" i="33"/>
  <c r="C58" i="78"/>
  <c r="D58" i="78"/>
  <c r="E58" i="78"/>
  <c r="F58" i="78"/>
  <c r="G58" i="78"/>
  <c r="H58" i="78"/>
  <c r="I58" i="78"/>
  <c r="J58" i="78"/>
  <c r="K58" i="78"/>
  <c r="L58" i="78"/>
  <c r="M58" i="78"/>
  <c r="N58" i="78"/>
  <c r="O58" i="78"/>
  <c r="E7" i="78"/>
  <c r="H15" i="33"/>
  <c r="AB15" i="33"/>
  <c r="F15" i="33"/>
  <c r="AA15" i="33"/>
  <c r="J15" i="33"/>
  <c r="AC15" i="33"/>
  <c r="U27" i="33"/>
  <c r="AC27" i="33"/>
  <c r="F91" i="33"/>
  <c r="G91" i="33"/>
  <c r="H91" i="33"/>
  <c r="I91" i="33"/>
  <c r="J91" i="33"/>
  <c r="K91" i="33"/>
  <c r="L91" i="33"/>
  <c r="M91" i="33"/>
  <c r="F27" i="33"/>
  <c r="F7" i="37"/>
  <c r="S7" i="37"/>
  <c r="W28" i="33"/>
  <c r="U23" i="33"/>
  <c r="H7" i="33"/>
  <c r="S34" i="35"/>
  <c r="S32" i="35"/>
  <c r="W12" i="35"/>
  <c r="AC12" i="35"/>
  <c r="AC46" i="21"/>
  <c r="H7" i="35"/>
  <c r="U7" i="35"/>
  <c r="J7" i="33"/>
  <c r="W7" i="33"/>
  <c r="C32" i="15"/>
  <c r="C30" i="11"/>
  <c r="F126" i="57"/>
  <c r="S23" i="33"/>
  <c r="U9" i="21"/>
  <c r="AC14" i="21"/>
  <c r="AB36" i="21"/>
  <c r="AC38" i="21"/>
  <c r="AA43" i="21"/>
  <c r="AC15" i="21"/>
  <c r="AA12" i="33"/>
  <c r="S12" i="33"/>
  <c r="AB12" i="33"/>
  <c r="U12" i="33"/>
  <c r="AC43" i="21"/>
  <c r="W43" i="21"/>
  <c r="S38" i="37"/>
  <c r="AA38" i="37"/>
  <c r="U34" i="36"/>
  <c r="AB34" i="36"/>
  <c r="AC36" i="35"/>
  <c r="W36" i="35"/>
  <c r="E11" i="59"/>
  <c r="E10" i="59"/>
  <c r="E9" i="59"/>
  <c r="E8" i="59"/>
  <c r="U12" i="59"/>
  <c r="C14" i="59"/>
  <c r="D15" i="59"/>
  <c r="W12" i="33"/>
  <c r="AC12" i="33"/>
  <c r="S19" i="33"/>
  <c r="AA19" i="33"/>
  <c r="AC34" i="36"/>
  <c r="W34" i="36"/>
  <c r="AB36" i="35"/>
  <c r="U36" i="35"/>
  <c r="W36" i="21"/>
  <c r="AC36" i="21"/>
  <c r="AA42" i="21"/>
  <c r="S42" i="21"/>
  <c r="U45" i="21"/>
  <c r="G7" i="21"/>
  <c r="I7" i="21"/>
  <c r="AB28" i="21"/>
  <c r="U28" i="21"/>
  <c r="W30" i="21"/>
  <c r="AC30" i="21"/>
  <c r="J7" i="35"/>
  <c r="AC7" i="35"/>
  <c r="V38" i="35"/>
  <c r="I38" i="35"/>
  <c r="Q58" i="59"/>
  <c r="Q57" i="59"/>
  <c r="AA19" i="34"/>
  <c r="S19" i="34"/>
  <c r="H7" i="37"/>
  <c r="AB7" i="37"/>
  <c r="T42" i="37"/>
  <c r="G42" i="37"/>
  <c r="G46" i="37"/>
  <c r="H46" i="37"/>
  <c r="H14" i="62"/>
  <c r="B7" i="62"/>
  <c r="E26" i="58"/>
  <c r="O59" i="59"/>
  <c r="C58" i="59"/>
  <c r="D8" i="62"/>
  <c r="G68" i="39"/>
  <c r="F70" i="39"/>
  <c r="D70" i="39"/>
  <c r="U12" i="40"/>
  <c r="AB12" i="40"/>
  <c r="AB38" i="21"/>
  <c r="U19" i="21"/>
  <c r="C44" i="59"/>
  <c r="D43" i="59"/>
  <c r="U44" i="39"/>
  <c r="AB44" i="39"/>
  <c r="W12" i="40"/>
  <c r="AC12" i="40"/>
  <c r="AA38" i="21"/>
  <c r="W27" i="34"/>
  <c r="AC27" i="34"/>
  <c r="W37" i="39"/>
  <c r="AC37" i="39"/>
  <c r="U12" i="35"/>
  <c r="AB12" i="35"/>
  <c r="AB14" i="21"/>
  <c r="U14" i="21"/>
  <c r="D5" i="43"/>
  <c r="C36" i="59"/>
  <c r="D35" i="59"/>
  <c r="C18" i="15"/>
  <c r="C16" i="15"/>
  <c r="AA28" i="33"/>
  <c r="D55" i="59"/>
  <c r="C56" i="59"/>
  <c r="N57" i="59"/>
  <c r="N58" i="59"/>
  <c r="AA39" i="40"/>
  <c r="S39" i="40"/>
  <c r="S14" i="21"/>
  <c r="AA14" i="21"/>
  <c r="S32" i="36"/>
  <c r="AA32" i="36"/>
  <c r="E58" i="59"/>
  <c r="P59" i="59"/>
  <c r="AB9" i="36"/>
  <c r="U9" i="36"/>
  <c r="C48" i="59"/>
  <c r="D47" i="59"/>
  <c r="C30" i="12"/>
  <c r="C28" i="12"/>
  <c r="Q59" i="15"/>
  <c r="D75" i="59"/>
  <c r="C74" i="59"/>
  <c r="D74" i="59"/>
  <c r="T28" i="59"/>
  <c r="D28" i="59"/>
  <c r="AC12" i="34"/>
  <c r="W12" i="34"/>
  <c r="AA12" i="21"/>
  <c r="S12" i="21"/>
  <c r="F7" i="35"/>
  <c r="AA7" i="35"/>
  <c r="R38" i="35"/>
  <c r="W15" i="34"/>
  <c r="F11" i="59"/>
  <c r="F10" i="59"/>
  <c r="F9" i="59"/>
  <c r="F8" i="59"/>
  <c r="V12" i="59"/>
  <c r="S20" i="59"/>
  <c r="B19" i="59"/>
  <c r="B18" i="59"/>
  <c r="AC12" i="21"/>
  <c r="W12" i="21"/>
  <c r="U15" i="21"/>
  <c r="AB15" i="21"/>
  <c r="AA15" i="21"/>
  <c r="C31" i="59"/>
  <c r="D30" i="59"/>
  <c r="D79" i="59"/>
  <c r="C78" i="59"/>
  <c r="D78" i="59"/>
  <c r="W45" i="39"/>
  <c r="AC45" i="39"/>
  <c r="AA14" i="39"/>
  <c r="S14" i="39"/>
  <c r="W13" i="37"/>
  <c r="AC13" i="37"/>
  <c r="AC9" i="21"/>
  <c r="C23" i="59"/>
  <c r="D22" i="59"/>
  <c r="T52" i="59"/>
  <c r="D52" i="59"/>
  <c r="AA45" i="39"/>
  <c r="S45" i="39"/>
  <c r="AB14" i="39"/>
  <c r="U14" i="39"/>
  <c r="AB13" i="37"/>
  <c r="U13" i="37"/>
  <c r="B7" i="59"/>
  <c r="B6" i="59"/>
  <c r="B5" i="59"/>
  <c r="S8" i="59"/>
  <c r="W34" i="21"/>
  <c r="W37" i="21"/>
  <c r="AC37" i="21"/>
  <c r="AB37" i="21"/>
  <c r="AA37" i="21"/>
  <c r="S37" i="21"/>
  <c r="W17" i="21"/>
  <c r="U15" i="34"/>
  <c r="S15" i="34"/>
  <c r="AC36" i="33"/>
  <c r="W36" i="33"/>
  <c r="U36" i="33"/>
  <c r="AB36" i="33"/>
  <c r="S36" i="33"/>
  <c r="AA36" i="33"/>
  <c r="D7" i="62"/>
  <c r="C7" i="62"/>
  <c r="C50" i="15"/>
  <c r="F60" i="15"/>
  <c r="B23" i="31"/>
  <c r="R25" i="31"/>
  <c r="AC7" i="33"/>
  <c r="D113" i="43"/>
  <c r="D65" i="40"/>
  <c r="E63" i="40"/>
  <c r="AA7" i="37"/>
  <c r="R42" i="37"/>
  <c r="R43" i="37"/>
  <c r="L49" i="15"/>
  <c r="I20" i="43"/>
  <c r="C20" i="43"/>
  <c r="B14" i="1"/>
  <c r="C39" i="11"/>
  <c r="C46" i="11"/>
  <c r="C45" i="11"/>
  <c r="AC7" i="37"/>
  <c r="V42" i="37"/>
  <c r="I42" i="37"/>
  <c r="W7" i="37"/>
  <c r="AB7" i="33"/>
  <c r="U7" i="33"/>
  <c r="F58" i="21"/>
  <c r="E59" i="34"/>
  <c r="AA7" i="33"/>
  <c r="S7" i="33"/>
  <c r="S4" i="43"/>
  <c r="S6" i="43"/>
  <c r="S5" i="43"/>
  <c r="C23" i="43"/>
  <c r="S3" i="43"/>
  <c r="S2" i="43"/>
  <c r="E46" i="36"/>
  <c r="F46" i="36"/>
  <c r="G46" i="36"/>
  <c r="H46" i="36"/>
  <c r="I46" i="36"/>
  <c r="J46" i="36"/>
  <c r="K46" i="36"/>
  <c r="L46" i="36"/>
  <c r="M46" i="36"/>
  <c r="N46" i="36"/>
  <c r="O46" i="36"/>
  <c r="E42" i="37"/>
  <c r="D22" i="50"/>
  <c r="B35" i="60"/>
  <c r="B33" i="60"/>
  <c r="C19" i="43"/>
  <c r="C29" i="43"/>
  <c r="P24" i="43"/>
  <c r="B66" i="40"/>
  <c r="P21" i="43"/>
  <c r="B71" i="39"/>
  <c r="P23" i="43"/>
  <c r="P22" i="43"/>
  <c r="E27" i="1"/>
  <c r="P28" i="43"/>
  <c r="N28" i="43"/>
  <c r="M28" i="43"/>
  <c r="O28" i="43"/>
  <c r="F11" i="15"/>
  <c r="M11" i="15"/>
  <c r="J10" i="15"/>
  <c r="J5" i="15"/>
  <c r="U7" i="37"/>
  <c r="I7" i="78"/>
  <c r="J7" i="78"/>
  <c r="G7" i="78"/>
  <c r="H7" i="78"/>
  <c r="F7" i="78"/>
  <c r="W15" i="33"/>
  <c r="V48" i="33"/>
  <c r="I48" i="33"/>
  <c r="I52" i="33"/>
  <c r="J52" i="33"/>
  <c r="S15" i="33"/>
  <c r="U15" i="33"/>
  <c r="S27" i="33"/>
  <c r="AA27" i="33"/>
  <c r="R48" i="33"/>
  <c r="T48" i="33"/>
  <c r="W7" i="35"/>
  <c r="AB7" i="35"/>
  <c r="T38" i="35"/>
  <c r="G38" i="35"/>
  <c r="G43" i="35"/>
  <c r="H43" i="35"/>
  <c r="D14" i="59"/>
  <c r="C13" i="59"/>
  <c r="U8" i="59"/>
  <c r="E7" i="59"/>
  <c r="E6" i="59"/>
  <c r="E5" i="59"/>
  <c r="J7" i="36"/>
  <c r="W7" i="36"/>
  <c r="C19" i="15"/>
  <c r="C20" i="15"/>
  <c r="C26" i="15"/>
  <c r="O58" i="59"/>
  <c r="D58" i="59"/>
  <c r="O57" i="59"/>
  <c r="G70" i="39"/>
  <c r="H68" i="39"/>
  <c r="D36" i="59"/>
  <c r="T36" i="59"/>
  <c r="S7" i="35"/>
  <c r="F7" i="59"/>
  <c r="F6" i="59"/>
  <c r="F5" i="59"/>
  <c r="V8" i="59"/>
  <c r="C32" i="59"/>
  <c r="D31" i="59"/>
  <c r="T48" i="59"/>
  <c r="D48" i="59"/>
  <c r="C24" i="59"/>
  <c r="D23" i="59"/>
  <c r="T56" i="59"/>
  <c r="D56" i="59"/>
  <c r="T44" i="59"/>
  <c r="D44" i="59"/>
  <c r="P57" i="59"/>
  <c r="P58" i="59"/>
  <c r="H7" i="36"/>
  <c r="U7" i="36"/>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F7" i="36"/>
  <c r="I42" i="35"/>
  <c r="J42" i="35"/>
  <c r="C43" i="37"/>
  <c r="B2" i="37"/>
  <c r="B3" i="37"/>
  <c r="C42" i="37"/>
  <c r="E38" i="35"/>
  <c r="I43" i="35"/>
  <c r="J43" i="35"/>
  <c r="F59" i="34"/>
  <c r="G58" i="21"/>
  <c r="I46" i="37"/>
  <c r="J46" i="37"/>
  <c r="I47" i="37"/>
  <c r="J47" i="37"/>
  <c r="G47" i="37"/>
  <c r="H47" i="37"/>
  <c r="T2" i="43"/>
  <c r="V2" i="43"/>
  <c r="T16" i="43"/>
  <c r="V16" i="43"/>
  <c r="T15" i="43"/>
  <c r="V15" i="43"/>
  <c r="C37" i="43"/>
  <c r="E37" i="43"/>
  <c r="T10" i="43"/>
  <c r="V10" i="43"/>
  <c r="T11" i="43"/>
  <c r="V11" i="43"/>
  <c r="C34" i="43"/>
  <c r="T9" i="43"/>
  <c r="V9" i="43"/>
  <c r="T7" i="43"/>
  <c r="V7" i="43"/>
  <c r="T8" i="43"/>
  <c r="V8" i="43"/>
  <c r="C39" i="43"/>
  <c r="G39" i="43"/>
  <c r="I39" i="43"/>
  <c r="E29" i="43"/>
  <c r="C30" i="43"/>
  <c r="E30" i="43"/>
  <c r="T12" i="43"/>
  <c r="V12" i="43"/>
  <c r="T14" i="43"/>
  <c r="V14" i="43"/>
  <c r="T5" i="43"/>
  <c r="V5" i="43"/>
  <c r="T3" i="43"/>
  <c r="V3" i="43"/>
  <c r="C33" i="43"/>
  <c r="T4" i="43"/>
  <c r="V4" i="43"/>
  <c r="T6" i="43"/>
  <c r="V6" i="43"/>
  <c r="C38" i="43"/>
  <c r="C36" i="43"/>
  <c r="T13" i="43"/>
  <c r="V13" i="43"/>
  <c r="C35" i="43"/>
  <c r="C10" i="15"/>
  <c r="C5" i="15"/>
  <c r="C54" i="15"/>
  <c r="C49" i="15"/>
  <c r="J24" i="15"/>
  <c r="J26" i="15"/>
  <c r="F22" i="11"/>
  <c r="F41" i="11"/>
  <c r="F24" i="15"/>
  <c r="F25" i="12"/>
  <c r="U7" i="78"/>
  <c r="AB7" i="78"/>
  <c r="T48" i="78"/>
  <c r="G48" i="78"/>
  <c r="W7" i="78"/>
  <c r="AC7" i="78"/>
  <c r="V48" i="78"/>
  <c r="I48" i="78"/>
  <c r="I52" i="78"/>
  <c r="J52" i="78"/>
  <c r="S7" i="78"/>
  <c r="AA7" i="78"/>
  <c r="R48" i="78"/>
  <c r="R49" i="33"/>
  <c r="C49" i="33"/>
  <c r="G48" i="33"/>
  <c r="AC7" i="36"/>
  <c r="V36" i="36"/>
  <c r="I36" i="36"/>
  <c r="E48" i="33"/>
  <c r="R39" i="35"/>
  <c r="C39" i="35"/>
  <c r="G42" i="35"/>
  <c r="H42" i="35"/>
  <c r="D13" i="59"/>
  <c r="C12" i="59"/>
  <c r="I68" i="39"/>
  <c r="H70" i="39"/>
  <c r="T24" i="59"/>
  <c r="D24" i="59"/>
  <c r="T32" i="59"/>
  <c r="D32" i="59"/>
  <c r="AB7" i="36"/>
  <c r="T36" i="36"/>
  <c r="G36" i="36"/>
  <c r="G41" i="36"/>
  <c r="H41" i="36"/>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AA7" i="36"/>
  <c r="R36" i="36"/>
  <c r="S7" i="36"/>
  <c r="I40" i="36"/>
  <c r="J40" i="36"/>
  <c r="H58" i="21"/>
  <c r="G59" i="34"/>
  <c r="E39" i="43"/>
  <c r="G34" i="43"/>
  <c r="I34" i="43"/>
  <c r="E34" i="43"/>
  <c r="G37" i="43"/>
  <c r="I37" i="43"/>
  <c r="E35" i="43"/>
  <c r="G35" i="43"/>
  <c r="I35" i="43"/>
  <c r="E33" i="43"/>
  <c r="G33" i="43"/>
  <c r="I33" i="43"/>
  <c r="C27" i="43"/>
  <c r="E38" i="43"/>
  <c r="G38" i="43"/>
  <c r="I38" i="43"/>
  <c r="G36" i="43"/>
  <c r="I36" i="43"/>
  <c r="E36" i="43"/>
  <c r="C27" i="12"/>
  <c r="C25" i="12"/>
  <c r="C26" i="12"/>
  <c r="D25" i="12"/>
  <c r="C23" i="15"/>
  <c r="C24" i="15"/>
  <c r="C43" i="11"/>
  <c r="C23" i="11"/>
  <c r="C44" i="11"/>
  <c r="D41" i="11"/>
  <c r="C25" i="11"/>
  <c r="C42" i="11"/>
  <c r="C26" i="11"/>
  <c r="D22" i="11"/>
  <c r="C24" i="11"/>
  <c r="C61" i="15"/>
  <c r="C67" i="15"/>
  <c r="C38" i="15"/>
  <c r="R49" i="78"/>
  <c r="E48" i="78"/>
  <c r="G53" i="78"/>
  <c r="H53" i="78"/>
  <c r="G52" i="78"/>
  <c r="H52" i="78"/>
  <c r="C48" i="33"/>
  <c r="D50" i="33"/>
  <c r="C50" i="33"/>
  <c r="G52" i="33"/>
  <c r="H52" i="33"/>
  <c r="G53" i="33"/>
  <c r="H53" i="33"/>
  <c r="E53" i="33"/>
  <c r="F53" i="33"/>
  <c r="I53" i="33"/>
  <c r="J53" i="33"/>
  <c r="E52" i="33"/>
  <c r="F52" i="33"/>
  <c r="C38" i="35"/>
  <c r="C11" i="59"/>
  <c r="T12" i="59"/>
  <c r="D12" i="59"/>
  <c r="G40" i="36"/>
  <c r="H40" i="36"/>
  <c r="I70" i="39"/>
  <c r="J68" i="39"/>
  <c r="B2" i="33"/>
  <c r="B3" i="33"/>
  <c r="I112" i="57"/>
  <c r="D129" i="57"/>
  <c r="D47" i="57"/>
  <c r="N50" i="57"/>
  <c r="D116" i="57"/>
  <c r="D117" i="57"/>
  <c r="I113" i="57"/>
  <c r="D130" i="57"/>
  <c r="D121" i="57"/>
  <c r="I117" i="57"/>
  <c r="G65" i="40"/>
  <c r="H63" i="40"/>
  <c r="J29" i="15"/>
  <c r="B3" i="35"/>
  <c r="B2" i="35"/>
  <c r="H59" i="34"/>
  <c r="R37" i="36"/>
  <c r="E36" i="36"/>
  <c r="I58" i="21"/>
  <c r="C26" i="43"/>
  <c r="B2" i="43"/>
  <c r="B3" i="43"/>
  <c r="C41" i="11"/>
  <c r="C49" i="11"/>
  <c r="C51" i="11"/>
  <c r="C29" i="15"/>
  <c r="J14" i="15"/>
  <c r="C22" i="11"/>
  <c r="C31" i="11"/>
  <c r="C32" i="12"/>
  <c r="I53" i="78"/>
  <c r="J53" i="78"/>
  <c r="E53" i="78"/>
  <c r="F53" i="78"/>
  <c r="E52" i="78"/>
  <c r="F52" i="78"/>
  <c r="C48" i="78"/>
  <c r="C49" i="78"/>
  <c r="C10" i="59"/>
  <c r="D11" i="59"/>
  <c r="K68" i="39"/>
  <c r="J70" i="39"/>
  <c r="D61" i="57"/>
  <c r="N57" i="57"/>
  <c r="D55" i="57"/>
  <c r="D50" i="57"/>
  <c r="N54" i="57"/>
  <c r="D57" i="57"/>
  <c r="N55" i="57"/>
  <c r="C80" i="57"/>
  <c r="C75" i="57"/>
  <c r="C95" i="57"/>
  <c r="C88" i="57"/>
  <c r="C66" i="57"/>
  <c r="C65" i="57"/>
  <c r="C69" i="57"/>
  <c r="C70" i="57"/>
  <c r="D56" i="57"/>
  <c r="D54" i="57"/>
  <c r="C74" i="57"/>
  <c r="C87" i="57"/>
  <c r="I63" i="40"/>
  <c r="H65" i="40"/>
  <c r="J58" i="21"/>
  <c r="K58" i="21"/>
  <c r="L58" i="21"/>
  <c r="M58" i="21"/>
  <c r="N58" i="21"/>
  <c r="O58" i="21"/>
  <c r="J7" i="21"/>
  <c r="F7" i="21"/>
  <c r="E40" i="36"/>
  <c r="F40" i="36"/>
  <c r="E41" i="36"/>
  <c r="F41" i="36"/>
  <c r="I41" i="36"/>
  <c r="J41" i="36"/>
  <c r="I59" i="34"/>
  <c r="H7" i="21"/>
  <c r="C36" i="36"/>
  <c r="C37" i="36"/>
  <c r="B2" i="36"/>
  <c r="B3" i="36"/>
  <c r="J60" i="15"/>
  <c r="J61" i="15"/>
  <c r="L47" i="15"/>
  <c r="J19" i="15"/>
  <c r="J17" i="15"/>
  <c r="C33" i="15"/>
  <c r="C31" i="15"/>
  <c r="C58" i="15"/>
  <c r="C65" i="15"/>
  <c r="C13" i="15"/>
  <c r="J34" i="15"/>
  <c r="Q47" i="15"/>
  <c r="C52" i="11"/>
  <c r="C36" i="15"/>
  <c r="J13" i="15"/>
  <c r="J23" i="15"/>
  <c r="J22" i="15"/>
  <c r="B2" i="12"/>
  <c r="B3" i="12"/>
  <c r="B3" i="78"/>
  <c r="B50" i="78"/>
  <c r="B2" i="78"/>
  <c r="D10" i="59"/>
  <c r="C9" i="59"/>
  <c r="C97" i="57"/>
  <c r="C81" i="57"/>
  <c r="C82" i="57"/>
  <c r="E82" i="57"/>
  <c r="E83" i="57"/>
  <c r="K70" i="39"/>
  <c r="L68" i="39"/>
  <c r="C98" i="57"/>
  <c r="E98" i="57"/>
  <c r="E99" i="57"/>
  <c r="C99" i="57"/>
  <c r="D60" i="57"/>
  <c r="D58" i="57"/>
  <c r="N56" i="57"/>
  <c r="O59" i="57"/>
  <c r="J63" i="40"/>
  <c r="I65" i="40"/>
  <c r="AB7" i="21"/>
  <c r="U7" i="21"/>
  <c r="AC7" i="21"/>
  <c r="W7" i="21"/>
  <c r="J59" i="34"/>
  <c r="S7" i="21"/>
  <c r="AA7" i="21"/>
  <c r="Q46" i="15"/>
  <c r="C62" i="15"/>
  <c r="C60" i="15"/>
  <c r="C57" i="15"/>
  <c r="C66" i="15"/>
  <c r="C37" i="15"/>
  <c r="C30" i="15"/>
  <c r="C39" i="15"/>
  <c r="Q68" i="15"/>
  <c r="J16" i="15"/>
  <c r="J25" i="15"/>
  <c r="C56" i="11"/>
  <c r="C57" i="11"/>
  <c r="B2" i="11"/>
  <c r="B3" i="11"/>
  <c r="D50" i="78"/>
  <c r="C50" i="78"/>
  <c r="G48" i="21"/>
  <c r="C83" i="57"/>
  <c r="I48" i="21"/>
  <c r="I52" i="21"/>
  <c r="J52" i="21"/>
  <c r="D9" i="59"/>
  <c r="C8" i="59"/>
  <c r="L70" i="39"/>
  <c r="M68" i="39"/>
  <c r="O61" i="57"/>
  <c r="O60" i="57"/>
  <c r="Q59" i="57"/>
  <c r="J65" i="40"/>
  <c r="K63" i="40"/>
  <c r="K59" i="34"/>
  <c r="E48" i="21"/>
  <c r="C59" i="15"/>
  <c r="C68" i="15"/>
  <c r="C69" i="15"/>
  <c r="C72" i="15"/>
  <c r="C40" i="15"/>
  <c r="L52" i="15"/>
  <c r="J38" i="15"/>
  <c r="J39" i="15"/>
  <c r="Q67" i="15"/>
  <c r="Q66" i="15"/>
  <c r="I53" i="21"/>
  <c r="J53" i="21"/>
  <c r="G52" i="21"/>
  <c r="H52" i="21"/>
  <c r="G53" i="21"/>
  <c r="H53" i="21"/>
  <c r="C7" i="59"/>
  <c r="D8" i="59"/>
  <c r="T8" i="59"/>
  <c r="M70" i="39"/>
  <c r="N68" i="39"/>
  <c r="O63" i="57"/>
  <c r="O62" i="57"/>
  <c r="L63" i="40"/>
  <c r="K65" i="40"/>
  <c r="E52" i="21"/>
  <c r="F52" i="21"/>
  <c r="E53" i="21"/>
  <c r="F53" i="21"/>
  <c r="L59" i="34"/>
  <c r="C47" i="15"/>
  <c r="J41" i="15"/>
  <c r="J42" i="15"/>
  <c r="Q54" i="15"/>
  <c r="B3" i="15"/>
  <c r="B2" i="15"/>
  <c r="C43" i="15"/>
  <c r="Q65" i="15"/>
  <c r="Q45" i="15"/>
  <c r="Q51" i="15"/>
  <c r="Q63" i="15"/>
  <c r="B10" i="62"/>
  <c r="D7" i="59"/>
  <c r="C6" i="59"/>
  <c r="N70" i="39"/>
  <c r="O68" i="39"/>
  <c r="O70" i="39"/>
  <c r="D35" i="9"/>
  <c r="D34" i="9"/>
  <c r="B2" i="21"/>
  <c r="L65" i="40"/>
  <c r="M63" i="40"/>
  <c r="M59" i="34"/>
  <c r="N59" i="34"/>
  <c r="O59" i="34"/>
  <c r="H7" i="34"/>
  <c r="L58" i="15"/>
  <c r="L61" i="15"/>
  <c r="Q64" i="15"/>
  <c r="Q73" i="15"/>
  <c r="C19" i="9"/>
  <c r="D19" i="9"/>
  <c r="B50" i="21"/>
  <c r="C50" i="21"/>
  <c r="B3" i="21"/>
  <c r="D6" i="59"/>
  <c r="C5" i="59"/>
  <c r="J7" i="39"/>
  <c r="H7" i="39"/>
  <c r="F7" i="39"/>
  <c r="D101" i="9"/>
  <c r="D22" i="9"/>
  <c r="C101" i="9"/>
  <c r="G19" i="9"/>
  <c r="F7" i="34"/>
  <c r="S7" i="34"/>
  <c r="J7" i="34"/>
  <c r="W7" i="34"/>
  <c r="M65" i="40"/>
  <c r="N63" i="40"/>
  <c r="AB7" i="34"/>
  <c r="T49" i="34"/>
  <c r="G49" i="34"/>
  <c r="U7" i="34"/>
  <c r="Q55" i="15"/>
  <c r="Q60" i="15"/>
  <c r="D55" i="9"/>
  <c r="N53" i="9"/>
  <c r="D56" i="9"/>
  <c r="N54" i="9"/>
  <c r="D59" i="9"/>
  <c r="N55" i="9"/>
  <c r="C20" i="9"/>
  <c r="D20" i="9"/>
  <c r="D50" i="21"/>
  <c r="D102" i="9"/>
  <c r="C102" i="9"/>
  <c r="G20" i="9"/>
  <c r="C32" i="9"/>
  <c r="C35" i="9"/>
  <c r="C34" i="9"/>
  <c r="M20" i="43"/>
  <c r="D5" i="59"/>
  <c r="S7" i="39"/>
  <c r="AA7" i="39"/>
  <c r="R47" i="39"/>
  <c r="AB7" i="39"/>
  <c r="T47" i="39"/>
  <c r="G47" i="39"/>
  <c r="U7" i="39"/>
  <c r="AC7" i="39"/>
  <c r="V47" i="39"/>
  <c r="I47" i="39"/>
  <c r="I51" i="39"/>
  <c r="J51" i="39"/>
  <c r="W7" i="39"/>
  <c r="AA7" i="34"/>
  <c r="R49" i="34"/>
  <c r="AC7" i="34"/>
  <c r="V49" i="34"/>
  <c r="I49" i="34"/>
  <c r="G54" i="34"/>
  <c r="H54" i="34"/>
  <c r="O63" i="40"/>
  <c r="O65" i="40"/>
  <c r="N65" i="40"/>
  <c r="G51" i="39"/>
  <c r="H51" i="39"/>
  <c r="G53" i="34"/>
  <c r="H53" i="34"/>
  <c r="G52" i="39"/>
  <c r="H52" i="39"/>
  <c r="R48" i="39"/>
  <c r="E47" i="39"/>
  <c r="I52" i="39"/>
  <c r="J52" i="39"/>
  <c r="R50" i="34"/>
  <c r="C50" i="34"/>
  <c r="I53" i="34"/>
  <c r="J53" i="34"/>
  <c r="E49" i="34"/>
  <c r="E53" i="34"/>
  <c r="F53" i="34"/>
  <c r="H7" i="40"/>
  <c r="J7" i="40"/>
  <c r="F7" i="40"/>
  <c r="E51" i="39"/>
  <c r="F51" i="39"/>
  <c r="E52" i="39"/>
  <c r="F52" i="39"/>
  <c r="C47" i="39"/>
  <c r="C48" i="39"/>
  <c r="B2" i="34"/>
  <c r="B3" i="34"/>
  <c r="D51" i="34"/>
  <c r="C51" i="34"/>
  <c r="C49" i="34"/>
  <c r="I54" i="34"/>
  <c r="J54" i="34"/>
  <c r="E54" i="34"/>
  <c r="F54" i="34"/>
  <c r="AC7" i="40"/>
  <c r="V42" i="40"/>
  <c r="I42" i="40"/>
  <c r="I46" i="40"/>
  <c r="J46" i="40"/>
  <c r="W7" i="40"/>
  <c r="S7" i="40"/>
  <c r="AA7" i="40"/>
  <c r="R42" i="40"/>
  <c r="R43" i="40"/>
  <c r="AB7" i="40"/>
  <c r="T42" i="40"/>
  <c r="G42" i="40"/>
  <c r="G46" i="40"/>
  <c r="H46" i="40"/>
  <c r="U7" i="40"/>
  <c r="B64" i="39"/>
  <c r="F64" i="39"/>
  <c r="B61" i="39"/>
  <c r="F61" i="39"/>
  <c r="B58" i="39"/>
  <c r="F58" i="39"/>
  <c r="B65" i="39"/>
  <c r="F65" i="39"/>
  <c r="B60" i="39"/>
  <c r="F60" i="39"/>
  <c r="B56" i="39"/>
  <c r="F56" i="39"/>
  <c r="F66" i="39"/>
  <c r="B2" i="39"/>
  <c r="B3" i="39"/>
  <c r="B59" i="39"/>
  <c r="F59" i="39"/>
  <c r="B62" i="39"/>
  <c r="F62" i="39"/>
  <c r="B63" i="39"/>
  <c r="F63" i="39"/>
  <c r="B57" i="39"/>
  <c r="F57" i="39"/>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E14" i="62"/>
  <c r="B5" i="62"/>
  <c r="C5" i="62"/>
  <c r="F14" i="62"/>
  <c r="D5" i="62"/>
  <c r="O60" i="9"/>
  <c r="O59" i="9"/>
  <c r="O61" i="9"/>
  <c r="D8" i="52"/>
  <c r="D17" i="50"/>
  <c r="B40" i="60"/>
  <c r="F4" i="52"/>
  <c r="D52" i="9"/>
  <c r="I4" i="52"/>
  <c r="C104" i="9"/>
  <c r="D107" i="9"/>
  <c r="B22" i="60"/>
  <c r="D8" i="50"/>
  <c r="B41" i="60"/>
  <c r="G4" i="52"/>
  <c r="D7" i="50"/>
  <c r="B19" i="60"/>
  <c r="N48" i="9"/>
  <c r="H4" i="52"/>
  <c r="C103" i="9"/>
  <c r="D28" i="50"/>
  <c r="D29" i="50"/>
  <c r="E4" i="52"/>
  <c r="B38" i="60"/>
  <c r="I111" i="9"/>
  <c r="D126" i="9"/>
  <c r="D9" i="52"/>
  <c r="B29" i="60"/>
  <c r="H122" i="9"/>
  <c r="H5" i="52"/>
  <c r="B21" i="60"/>
  <c r="D9" i="50"/>
  <c r="O58" i="9"/>
  <c r="D53" i="9"/>
  <c r="D48" i="9"/>
  <c r="N52" i="9"/>
  <c r="O57" i="9"/>
  <c r="Q57" i="9"/>
  <c r="E81" i="9"/>
  <c r="E80" i="9"/>
  <c r="C80" i="9"/>
  <c r="C72" i="9"/>
  <c r="C79" i="9"/>
  <c r="C81" i="9"/>
  <c r="B62" i="60"/>
  <c r="D113" i="9"/>
  <c r="D38" i="50"/>
  <c r="C64" i="9"/>
  <c r="C63" i="9"/>
  <c r="C67" i="9"/>
  <c r="C68" i="9"/>
  <c r="D54" i="9"/>
  <c r="C6" i="62"/>
  <c r="D125" i="9"/>
  <c r="G14" i="62"/>
  <c r="B6" i="62"/>
  <c r="D6" i="62"/>
  <c r="D15" i="50"/>
  <c r="D16" i="50"/>
  <c r="B30" i="60"/>
  <c r="C97" i="9"/>
  <c r="D58" i="9"/>
  <c r="I115" i="9"/>
  <c r="D23" i="50"/>
  <c r="B34" i="60"/>
  <c r="B42" i="60"/>
  <c r="F5" i="52"/>
  <c r="G121" i="9"/>
  <c r="F121" i="9"/>
  <c r="F122" i="9"/>
  <c r="I103" i="9"/>
  <c r="D30" i="50"/>
  <c r="I110" i="9"/>
  <c r="D36" i="50"/>
  <c r="D37" i="50"/>
  <c r="C78" i="9"/>
  <c r="C73" i="9"/>
  <c r="D4" i="52"/>
  <c r="B37" i="60"/>
  <c r="D106" i="9"/>
  <c r="D112" i="9"/>
  <c r="D117" i="9"/>
  <c r="D44" i="50"/>
  <c r="E121" i="9"/>
  <c r="D121" i="9"/>
  <c r="D122" i="9"/>
  <c r="D5" i="52"/>
  <c r="B39" i="60"/>
  <c r="C85" i="9"/>
  <c r="C95" i="9"/>
  <c r="C96" i="9"/>
  <c r="E96" i="9"/>
  <c r="E97" i="9"/>
  <c r="I121" i="9"/>
  <c r="H121" i="9"/>
  <c r="I102" i="9"/>
  <c r="D45" i="9"/>
  <c r="C93" i="9"/>
  <c r="C8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rgb="FF000000"/>
            <rFont val="宋体"/>
            <family val="3"/>
            <charset val="134"/>
          </rPr>
          <t>是否有门牌号，是否对应</t>
        </r>
        <r>
          <rPr>
            <sz val="9"/>
            <color rgb="FF000000"/>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<sst xmlns="http://schemas.openxmlformats.org/spreadsheetml/2006/main" count="7660" uniqueCount="3093">
  <si>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</si>
  <si>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</si>
  <si>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</si>
  <si>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</si>
  <si>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</si>
  <si>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</si>
  <si>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</si>
  <si>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</si>
  <si>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</si>
  <si>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</si>
  <si>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</si>
  <si>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</si>
  <si>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</si>
  <si>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</si>
  <si>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</si>
  <si>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</si>
  <si>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</si>
  <si>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</si>
  <si>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</si>
  <si>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</si>
  <si>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</si>
  <si>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</si>
  <si>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</si>
  <si>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</si>
  <si>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</si>
  <si>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</si>
  <si>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</si>
  <si>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</si>
  <si>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</si>
  <si>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</si>
  <si>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</si>
  <si>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</si>
  <si>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</si>
  <si>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</si>
  <si>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</si>
  <si>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</si>
  <si>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</si>
  <si>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</si>
  <si>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</si>
  <si>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</si>
  <si>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</si>
  <si>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</si>
  <si>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</si>
  <si>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</si>
  <si>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</si>
  <si>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</si>
  <si>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</si>
  <si>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</si>
  <si>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</si>
  <si>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</si>
  <si>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</si>
  <si>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</si>
  <si>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</si>
  <si>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</si>
  <si>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</si>
  <si>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</si>
  <si>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</si>
  <si>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</si>
  <si>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</si>
  <si>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</si>
  <si>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</si>
  <si>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</si>
  <si>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</si>
  <si>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</si>
  <si>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</si>
  <si>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</si>
  <si>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</si>
  <si>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</si>
  <si>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</si>
  <si>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</si>
  <si>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</si>
  <si>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</si>
  <si>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</si>
  <si>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</si>
  <si>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</si>
  <si>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</si>
  <si>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</si>
  <si>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</si>
  <si>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</si>
  <si>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</si>
  <si>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</si>
  <si>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</si>
  <si>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</si>
  <si>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</si>
  <si>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</si>
  <si>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</si>
  <si>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</si>
  <si>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</si>
  <si>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</si>
  <si>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</si>
  <si>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</si>
  <si>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</si>
  <si>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</si>
  <si>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</si>
  <si>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</si>
  <si>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</si>
  <si>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</si>
  <si>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</si>
  <si>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</si>
  <si>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</si>
  <si>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</si>
  <si>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</si>
  <si>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</si>
  <si>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</si>
  <si>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</si>
  <si>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</si>
  <si>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</si>
  <si>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</si>
  <si>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</si>
  <si>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</si>
  <si>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</si>
  <si>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</si>
  <si>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</si>
  <si>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</si>
  <si>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</si>
  <si>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</si>
  <si>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</si>
  <si>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</si>
  <si>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</si>
  <si>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</si>
  <si>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</si>
  <si>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</si>
  <si>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</si>
  <si>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</si>
  <si>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</si>
  <si>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</si>
  <si>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</si>
  <si>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</si>
  <si>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</si>
  <si>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</si>
  <si>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</si>
  <si>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</si>
  <si>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</si>
  <si>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</si>
  <si>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</si>
  <si>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</si>
  <si>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</si>
  <si>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</si>
  <si>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</si>
  <si>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</si>
  <si>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</si>
  <si>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</si>
  <si>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</si>
  <si>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</si>
  <si>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</si>
  <si>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</si>
  <si>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</si>
  <si>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</si>
  <si>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</si>
  <si>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</si>
  <si>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</si>
  <si>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</si>
  <si>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</si>
  <si>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</si>
  <si>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</si>
  <si>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</si>
  <si>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</si>
  <si>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</si>
  <si>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</si>
  <si>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</si>
  <si>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</si>
  <si>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</si>
  <si>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</si>
  <si>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</si>
  <si>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</si>
  <si>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</si>
  <si>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</si>
  <si>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</si>
  <si>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</si>
  <si>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</si>
  <si>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</si>
  <si>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</si>
  <si>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</si>
  <si>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</si>
  <si>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</si>
  <si>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</si>
  <si>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</si>
  <si>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</si>
  <si>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</si>
  <si>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</si>
  <si>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</si>
  <si>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</si>
  <si>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</si>
  <si>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</si>
  <si>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</si>
  <si>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</si>
  <si>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</si>
  <si>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</si>
  <si>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</si>
  <si>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</si>
  <si>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</si>
  <si>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</si>
  <si>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</si>
  <si>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</si>
  <si>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</si>
  <si>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</si>
  <si>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</si>
  <si>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</si>
  <si>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</si>
  <si>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</si>
  <si>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</si>
  <si>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</si>
  <si>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</si>
  <si>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</si>
  <si>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</si>
  <si>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</si>
  <si>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</si>
  <si>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</si>
  <si>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</si>
  <si>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</si>
  <si>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</si>
  <si>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</si>
  <si>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</si>
  <si>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</si>
  <si>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</si>
  <si>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</si>
  <si>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</si>
  <si>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</si>
  <si>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</si>
  <si>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</si>
  <si>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</si>
  <si>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</si>
  <si>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</si>
  <si>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</si>
  <si>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</si>
  <si>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</si>
  <si>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</si>
  <si>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</si>
  <si>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</si>
  <si>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</si>
  <si>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</si>
  <si>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</si>
  <si>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</si>
  <si>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</si>
  <si>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</si>
  <si>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</si>
  <si>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</si>
  <si>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</si>
  <si>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</si>
  <si>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</si>
  <si>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</si>
  <si>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</si>
  <si>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</si>
  <si>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</si>
  <si>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</si>
  <si>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</si>
  <si>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</si>
  <si>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</si>
  <si>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</si>
  <si>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</si>
  <si>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</si>
  <si>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</si>
  <si>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</si>
  <si>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</si>
  <si>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</si>
  <si>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</si>
  <si>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</si>
  <si>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</si>
  <si>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</si>
  <si>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</si>
  <si>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</si>
  <si>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</si>
  <si>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</si>
  <si>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</si>
  <si>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</si>
  <si>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</si>
  <si>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</si>
  <si>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</si>
  <si>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</si>
  <si>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</si>
  <si>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</si>
  <si>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</si>
  <si>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</si>
  <si>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</si>
  <si>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</si>
  <si>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</si>
  <si>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</si>
  <si>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</si>
  <si>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</si>
  <si>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</si>
  <si>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</si>
  <si>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</si>
  <si>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</si>
  <si>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</si>
  <si>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</si>
  <si>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</si>
  <si>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</si>
  <si>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</si>
  <si>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</si>
  <si>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</si>
  <si>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</si>
  <si>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</si>
  <si>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</si>
  <si>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</si>
  <si>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</si>
  <si>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</si>
  <si>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</si>
  <si>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</si>
  <si>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</si>
  <si>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</si>
  <si>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</si>
  <si>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</si>
  <si>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</si>
  <si>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</si>
  <si>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</si>
  <si>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</si>
  <si>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</si>
  <si>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</si>
  <si>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</si>
  <si>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</si>
  <si>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</si>
  <si>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</si>
  <si>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</si>
  <si>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</si>
  <si>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</si>
  <si>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</si>
  <si>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</si>
  <si>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</si>
  <si>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</si>
  <si>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</si>
  <si>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</si>
  <si>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</si>
  <si>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</si>
  <si>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</si>
  <si>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</si>
  <si>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</si>
  <si>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</si>
  <si>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</si>
  <si>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</si>
  <si>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</si>
  <si>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</si>
  <si>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</si>
  <si>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</si>
  <si>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</si>
  <si>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</si>
  <si>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</si>
  <si>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</si>
  <si>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</si>
  <si>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</si>
  <si>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</si>
  <si>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</si>
  <si>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</si>
  <si>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</si>
  <si>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</si>
  <si>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</si>
  <si>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</si>
  <si>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</si>
  <si>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</si>
  <si>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</si>
  <si>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</si>
  <si>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</si>
  <si>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</si>
  <si>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</si>
  <si>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</si>
  <si>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</si>
  <si>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</si>
  <si>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</si>
  <si>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</si>
  <si>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</si>
  <si>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</si>
  <si>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</si>
  <si>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</si>
  <si>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</si>
  <si>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</si>
  <si>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</si>
  <si>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</si>
  <si>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</si>
  <si>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</si>
  <si>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</si>
  <si>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</si>
  <si>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</si>
  <si>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</si>
  <si>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</si>
  <si>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</si>
  <si>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</si>
  <si>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</si>
  <si>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</si>
  <si>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</si>
  <si>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</si>
  <si>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</si>
  <si>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</si>
  <si>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</si>
  <si>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</si>
  <si>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</si>
  <si>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</si>
  <si>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</si>
  <si>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</si>
  <si>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</si>
  <si>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</si>
  <si>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</si>
  <si>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</si>
  <si>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</si>
  <si>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</si>
  <si>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</si>
  <si>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</si>
  <si>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</si>
  <si>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</si>
  <si>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</si>
  <si>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</si>
  <si>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</si>
  <si>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</si>
  <si>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</si>
  <si>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</si>
  <si>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</si>
  <si>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</si>
  <si>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</si>
  <si>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</si>
  <si>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</si>
  <si>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</si>
  <si>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</si>
  <si>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</si>
  <si>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</si>
  <si>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</si>
  <si>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</si>
  <si>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</si>
  <si>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</si>
  <si>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</si>
  <si>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</si>
  <si>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</si>
  <si>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</si>
  <si>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</si>
  <si>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</si>
  <si>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</si>
  <si>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</si>
  <si>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</si>
  <si>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</si>
  <si>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</si>
  <si>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</si>
  <si>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</si>
  <si>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</si>
  <si>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</si>
  <si>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</si>
  <si>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</si>
  <si>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</si>
  <si>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</si>
  <si>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</si>
  <si>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</si>
  <si>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</si>
  <si>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</si>
  <si>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</si>
  <si>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</si>
  <si>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</si>
  <si>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</si>
  <si>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</si>
  <si>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</si>
  <si>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</si>
  <si>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</si>
  <si>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</si>
  <si>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</si>
  <si>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</si>
  <si>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</si>
  <si>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</si>
  <si>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</si>
  <si>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</si>
  <si>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</si>
  <si>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</si>
  <si>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</si>
  <si>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</si>
  <si>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</si>
  <si>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</si>
  <si>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</si>
  <si>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</si>
  <si>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</si>
  <si>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</si>
  <si>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</si>
  <si>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</si>
  <si>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</si>
  <si>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</si>
  <si>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</si>
  <si>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</si>
  <si>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</si>
  <si>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</si>
  <si>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</si>
  <si>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</si>
  <si>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</si>
  <si>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</si>
  <si>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</si>
  <si>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</si>
  <si>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</si>
  <si>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</si>
  <si>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</si>
  <si>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</si>
  <si>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</si>
  <si>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</si>
  <si>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</si>
  <si>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</si>
  <si>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</si>
  <si>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</si>
  <si>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</si>
  <si>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</si>
  <si>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</si>
  <si>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</si>
  <si>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</si>
  <si>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</si>
  <si>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</si>
  <si>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</si>
  <si>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</si>
  <si>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</si>
  <si>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</si>
  <si>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</si>
  <si>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</si>
  <si>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</si>
  <si>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</si>
  <si>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</si>
  <si>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</si>
  <si>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</si>
  <si>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</si>
  <si>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</si>
  <si>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</si>
  <si>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</si>
  <si>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</si>
  <si>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</si>
  <si>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</si>
  <si>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</si>
  <si>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</si>
  <si>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</si>
  <si>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</si>
  <si>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</si>
  <si>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</si>
  <si>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</si>
  <si>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</si>
  <si>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</si>
  <si>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</si>
  <si>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</si>
  <si>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</si>
  <si>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</si>
  <si>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</si>
  <si>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</si>
  <si>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</si>
  <si>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</si>
  <si>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</si>
  <si>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</si>
  <si>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</si>
  <si>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</si>
  <si>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</si>
  <si>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</si>
  <si>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</si>
  <si>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</si>
  <si>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</si>
  <si>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</si>
  <si>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</si>
  <si>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</si>
  <si>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</si>
  <si>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</si>
  <si>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</si>
  <si>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</si>
  <si>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</si>
  <si>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</si>
  <si>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</si>
  <si>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</si>
  <si>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</si>
  <si>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</si>
  <si>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</si>
  <si>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</si>
  <si>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</si>
  <si>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</si>
  <si>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</si>
  <si>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</si>
  <si>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</si>
  <si>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</si>
  <si>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</si>
  <si>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</si>
  <si>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</si>
  <si>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</si>
  <si>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</si>
  <si>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</si>
  <si>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</si>
  <si>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</si>
  <si>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</si>
  <si>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</si>
  <si>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</si>
  <si>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</si>
  <si>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</si>
  <si>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</si>
  <si>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</si>
  <si>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</si>
  <si>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</si>
  <si>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</si>
  <si>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</si>
  <si>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</si>
  <si>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</si>
  <si>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</si>
  <si>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</si>
  <si>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</si>
  <si>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</si>
  <si>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</si>
  <si>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</si>
  <si>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</si>
  <si>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</si>
  <si>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</si>
  <si>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</si>
  <si>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</si>
  <si>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</si>
  <si>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</si>
  <si>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</si>
  <si>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</si>
  <si>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</si>
  <si>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</si>
  <si>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</si>
  <si>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</si>
  <si>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</si>
  <si>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</si>
  <si>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</si>
  <si>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</si>
  <si>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</si>
  <si>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</si>
  <si>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</si>
  <si>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</si>
  <si>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</si>
  <si>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</si>
  <si>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</si>
  <si>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</si>
  <si>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</si>
  <si>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</si>
  <si>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</si>
  <si>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</si>
  <si>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</si>
  <si>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</si>
  <si>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</si>
  <si>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</si>
  <si>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</si>
  <si>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</si>
  <si>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</si>
  <si>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</si>
  <si>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</si>
  <si>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</si>
  <si>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</si>
  <si>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</si>
  <si>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</si>
  <si>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</si>
  <si>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</si>
  <si>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</si>
  <si>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</si>
  <si>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</si>
  <si>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</si>
  <si>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</si>
  <si>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</si>
  <si>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</si>
  <si>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</si>
  <si>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</si>
  <si>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</si>
  <si>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</si>
  <si>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</si>
  <si>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</si>
  <si>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</si>
  <si>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</si>
  <si>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</si>
  <si>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</si>
  <si>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</si>
  <si>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</si>
  <si>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</si>
  <si>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</si>
  <si>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</si>
  <si>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</si>
  <si>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</si>
  <si>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</si>
  <si>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</si>
  <si>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</si>
  <si>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</si>
  <si>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</si>
  <si>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</si>
  <si>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</si>
  <si>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</si>
  <si>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</si>
  <si>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</si>
  <si>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</si>
  <si>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</si>
  <si>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</si>
  <si>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</si>
  <si>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</si>
  <si>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</si>
  <si>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</si>
  <si>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</si>
  <si>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</si>
  <si>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</si>
  <si>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</si>
  <si>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</si>
  <si>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</si>
  <si>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</si>
  <si>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</si>
  <si>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</si>
  <si>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</si>
  <si>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</si>
  <si>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</si>
  <si>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</si>
  <si>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</si>
  <si>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</si>
  <si>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</si>
  <si>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</si>
  <si>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</si>
  <si>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</si>
  <si>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</si>
  <si>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</si>
  <si>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</si>
  <si>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</si>
  <si>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</si>
  <si>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</si>
  <si>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</si>
  <si>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</si>
  <si>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</si>
  <si>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</si>
  <si>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</si>
  <si>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</si>
  <si>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</si>
  <si>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</si>
  <si>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</si>
  <si>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</si>
  <si>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</si>
  <si>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</si>
  <si>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</si>
  <si>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</si>
  <si>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</si>
  <si>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</si>
  <si>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</si>
  <si>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</si>
  <si>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</si>
  <si>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</si>
  <si>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</si>
  <si>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</si>
  <si>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</si>
  <si>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</si>
  <si>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</si>
  <si>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</si>
  <si>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</si>
  <si>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</si>
  <si>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</si>
  <si>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</si>
  <si>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</si>
  <si>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</si>
  <si>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</si>
  <si>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</si>
  <si>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</si>
  <si>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</si>
  <si>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</si>
  <si>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</si>
  <si>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</si>
  <si>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</si>
  <si>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</si>
  <si>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</si>
  <si>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</si>
  <si>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</si>
  <si>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</si>
  <si>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</si>
  <si>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</si>
  <si>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</si>
  <si>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</si>
  <si>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</si>
  <si>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</si>
  <si>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</si>
  <si>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</si>
  <si>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</si>
  <si>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</si>
  <si>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</si>
  <si>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</si>
  <si>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</si>
  <si>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</si>
  <si>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</si>
  <si>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</si>
  <si>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</si>
  <si>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</si>
  <si>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</si>
  <si>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</si>
  <si>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</si>
  <si>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</si>
  <si>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</si>
  <si>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</si>
  <si>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</si>
  <si>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</si>
  <si>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</si>
  <si>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</si>
  <si>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</si>
  <si>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</si>
  <si>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</si>
  <si>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</si>
  <si>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</si>
  <si>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</si>
  <si>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</si>
  <si>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</si>
  <si>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</si>
  <si>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</si>
  <si>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</si>
  <si>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</si>
  <si>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</si>
  <si>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</si>
  <si>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</si>
  <si>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</si>
  <si>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</si>
  <si>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</si>
  <si>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</si>
  <si>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</si>
  <si>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</si>
  <si>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</si>
  <si>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</si>
  <si>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</si>
  <si>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</si>
  <si>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</si>
  <si>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</si>
  <si>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</si>
  <si>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</si>
  <si>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</si>
  <si>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</si>
  <si>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</si>
  <si>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</si>
  <si>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</si>
  <si>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</si>
  <si>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</si>
  <si>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</si>
  <si>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</si>
  <si>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</si>
  <si>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</si>
  <si>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</si>
  <si>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</si>
  <si>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</si>
  <si>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</si>
  <si>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</si>
  <si>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</si>
  <si>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</si>
  <si>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</si>
  <si>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</si>
  <si>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</si>
  <si>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</si>
  <si>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</si>
  <si>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</si>
  <si>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</si>
  <si>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</si>
  <si>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</si>
  <si>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</si>
  <si>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</si>
  <si>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</si>
  <si>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</si>
  <si>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</si>
  <si>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</si>
  <si>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</si>
  <si>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</si>
  <si>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</si>
  <si>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</si>
  <si>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</si>
  <si>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</si>
  <si>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</si>
  <si>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</si>
  <si>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</si>
  <si>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</si>
  <si>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</si>
  <si>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</si>
  <si>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</si>
  <si>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</si>
  <si>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</si>
  <si>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</si>
  <si>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</si>
  <si>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</si>
  <si>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</si>
  <si>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</si>
  <si>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</si>
  <si>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</si>
  <si>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</si>
  <si>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</si>
  <si>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</si>
  <si>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</si>
  <si>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</si>
  <si>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</si>
  <si>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</si>
  <si>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</si>
  <si>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</si>
  <si>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</si>
  <si>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</si>
  <si>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</si>
  <si>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</si>
  <si>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</si>
  <si>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</si>
  <si>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</si>
  <si>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</si>
  <si>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</si>
  <si>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</si>
  <si>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</si>
  <si>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</si>
  <si>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</si>
  <si>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</si>
  <si>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</si>
  <si>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</si>
  <si>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</si>
  <si>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</si>
  <si>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</si>
  <si>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</si>
  <si>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</si>
  <si>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</si>
  <si>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</si>
  <si>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</si>
  <si>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</si>
  <si>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</si>
  <si>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</si>
  <si>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</si>
  <si>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</si>
  <si>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</si>
  <si>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</si>
  <si>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</si>
  <si>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</si>
  <si>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</si>
  <si>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</si>
  <si>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</si>
  <si>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</si>
  <si>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</si>
  <si>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</si>
  <si>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</si>
  <si>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</si>
  <si>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</si>
  <si>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</si>
  <si>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</si>
  <si>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</si>
  <si>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</si>
  <si>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</si>
  <si>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</si>
  <si>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</si>
  <si>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</si>
  <si>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</si>
  <si>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</si>
  <si>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</si>
  <si>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</si>
  <si>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</si>
  <si>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</si>
  <si>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</si>
  <si>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</si>
  <si>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</si>
  <si>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</si>
  <si>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</si>
  <si>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</si>
  <si>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</si>
  <si>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</si>
  <si>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</si>
  <si>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</si>
  <si>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</si>
  <si>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</si>
  <si>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</si>
  <si>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</si>
  <si>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</si>
  <si>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</si>
  <si>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</si>
  <si>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</si>
  <si>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</si>
  <si>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</si>
  <si>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</si>
  <si>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</si>
  <si>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</si>
  <si>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</si>
  <si>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</si>
  <si>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</si>
  <si>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</si>
  <si>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</si>
  <si>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</si>
  <si>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</si>
  <si>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</si>
  <si>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</si>
  <si>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</si>
  <si>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</si>
  <si>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</si>
  <si>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</si>
  <si>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</si>
  <si>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</si>
  <si>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</si>
  <si>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</si>
  <si>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</si>
  <si>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</si>
  <si>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</si>
  <si>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</si>
  <si>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</si>
  <si>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</si>
  <si>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</si>
  <si>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</si>
  <si>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</si>
  <si>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</si>
  <si>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</si>
  <si>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</si>
  <si>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</si>
  <si>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</si>
  <si>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</si>
  <si>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</si>
  <si>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</si>
  <si>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</si>
  <si>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</si>
  <si>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</si>
  <si>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</si>
  <si>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</si>
  <si>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</si>
  <si>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</si>
  <si>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</si>
  <si>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</si>
  <si>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</si>
  <si>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</si>
  <si>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</si>
  <si>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</si>
  <si>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</si>
  <si>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</si>
  <si>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</si>
  <si>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</si>
  <si>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</si>
  <si>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</si>
  <si>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</si>
  <si>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</si>
  <si>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</si>
  <si>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</si>
  <si>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</si>
  <si>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</si>
  <si>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</si>
  <si>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</si>
  <si>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</si>
  <si>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</si>
  <si>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</si>
  <si>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</si>
  <si>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</si>
  <si>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</si>
  <si>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</si>
  <si>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</si>
  <si>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</si>
  <si>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</si>
  <si>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</si>
  <si>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</si>
  <si>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</si>
  <si>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</si>
  <si>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</si>
  <si>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</si>
  <si>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</si>
  <si>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</si>
  <si>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</si>
  <si>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</si>
  <si>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</si>
  <si>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</si>
  <si>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</si>
  <si>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</si>
  <si>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</si>
  <si>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</si>
  <si>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</si>
  <si>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</si>
  <si>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</si>
  <si>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</si>
  <si>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</si>
  <si>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</si>
  <si>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</si>
  <si>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</si>
  <si>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</si>
  <si>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</si>
  <si>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</si>
  <si>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</si>
  <si>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</si>
  <si>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</si>
  <si>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</si>
  <si>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</si>
  <si>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</si>
  <si>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</si>
  <si>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</si>
  <si>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</si>
  <si>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</si>
  <si>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</si>
  <si>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</si>
  <si>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</si>
  <si>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</si>
  <si>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</si>
  <si>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</si>
  <si>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</si>
  <si>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</si>
  <si>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</si>
  <si>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</si>
  <si>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</si>
  <si>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</si>
  <si>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</si>
  <si>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</si>
  <si>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</si>
  <si>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</si>
  <si>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</si>
  <si>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</si>
  <si>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</si>
  <si>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</si>
  <si>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</si>
  <si>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</si>
  <si>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</si>
  <si>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</si>
  <si>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</si>
  <si>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</si>
  <si>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</si>
  <si>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</si>
  <si>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</si>
  <si>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</si>
  <si>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</si>
  <si>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</si>
  <si>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</si>
  <si>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</si>
  <si>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</si>
  <si>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</si>
  <si>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</si>
  <si>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</si>
  <si>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</si>
  <si>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</si>
  <si>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</si>
  <si>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</si>
  <si>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</si>
  <si>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</si>
  <si>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</si>
  <si>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</si>
  <si>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</si>
  <si>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</si>
  <si>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</si>
  <si>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</si>
  <si>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</si>
  <si>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</si>
  <si>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</si>
  <si>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</si>
  <si>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</si>
  <si>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</si>
  <si>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</si>
  <si>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</si>
  <si>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</si>
  <si>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</si>
  <si>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</si>
  <si>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</si>
  <si>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</si>
  <si>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</si>
  <si>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</si>
  <si>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</si>
  <si>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</si>
  <si>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</si>
  <si>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</si>
  <si>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</si>
  <si>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</si>
  <si>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</si>
  <si>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</si>
  <si>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</si>
  <si>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</si>
  <si>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</si>
  <si>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</si>
  <si>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</si>
  <si>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</si>
  <si>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</si>
  <si>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</si>
  <si>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</si>
  <si>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</si>
  <si>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</si>
  <si>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</si>
  <si>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</si>
  <si>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</si>
  <si>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</si>
  <si>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</si>
  <si>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</si>
  <si>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</si>
  <si>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</si>
  <si>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</si>
  <si>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</si>
  <si>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</si>
  <si>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</si>
  <si>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</si>
  <si>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</si>
  <si>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</si>
  <si>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</si>
  <si>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</si>
  <si>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</si>
  <si>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</si>
  <si>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</si>
  <si>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</si>
  <si>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</si>
  <si>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</si>
  <si>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</si>
  <si>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</si>
  <si>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</si>
  <si>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</si>
  <si>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</si>
  <si>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</si>
  <si>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</si>
  <si>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</si>
  <si>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</si>
  <si>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</si>
  <si>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</si>
  <si>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</si>
  <si>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</si>
  <si>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</si>
  <si>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</si>
  <si>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</si>
  <si>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</si>
  <si>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</si>
  <si>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</si>
  <si>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</si>
  <si>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</si>
  <si>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</si>
  <si>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</si>
  <si>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</si>
  <si>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</si>
  <si>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</si>
  <si>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</si>
  <si>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</si>
  <si>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</si>
  <si>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</si>
  <si>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</si>
  <si>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</si>
  <si>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</si>
  <si>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</si>
  <si>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</si>
  <si>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</si>
  <si>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</si>
  <si>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</si>
  <si>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</si>
  <si>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</si>
  <si>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</si>
  <si>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</si>
  <si>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</si>
  <si>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</si>
  <si>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</si>
  <si>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</si>
  <si>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</si>
  <si>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</si>
  <si>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</si>
  <si>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</si>
  <si>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</si>
  <si>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</si>
  <si>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</si>
  <si>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</si>
  <si>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</si>
  <si>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</si>
  <si>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</si>
  <si>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</si>
  <si>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</si>
  <si>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</si>
  <si>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</si>
  <si>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</si>
  <si>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</si>
  <si>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</si>
  <si>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</si>
  <si>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</si>
  <si>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</si>
  <si>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</si>
  <si>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</si>
  <si>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</si>
  <si>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</si>
  <si>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</si>
  <si>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</si>
  <si>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</si>
  <si>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</si>
  <si>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</si>
  <si>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</si>
  <si>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</si>
  <si>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</si>
  <si>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</si>
  <si>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</si>
  <si>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</si>
  <si>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</si>
  <si>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</si>
  <si>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</si>
  <si>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</si>
  <si>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</si>
  <si>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</si>
  <si>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</si>
  <si>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</si>
  <si>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</si>
  <si>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</si>
  <si>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</si>
  <si>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</si>
  <si>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</si>
  <si>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</si>
  <si>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</si>
  <si>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</si>
  <si>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</si>
  <si>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</si>
  <si>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</si>
  <si>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</si>
  <si>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</si>
  <si>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</si>
  <si>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</si>
  <si>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</si>
  <si>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</si>
  <si>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</si>
  <si>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</si>
  <si>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</si>
  <si>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</si>
  <si>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</si>
  <si>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</si>
  <si>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</si>
  <si>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</si>
  <si>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</si>
  <si>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</si>
  <si>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</si>
  <si>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</si>
  <si>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</si>
  <si>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</si>
  <si>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</si>
  <si>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</si>
  <si>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</si>
  <si>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</si>
  <si>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</si>
  <si>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</si>
  <si>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</si>
  <si>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</si>
  <si>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</si>
  <si>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</si>
  <si>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</si>
  <si>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</si>
  <si>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</si>
  <si>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</si>
  <si>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</si>
  <si>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</si>
  <si>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</si>
  <si>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</si>
  <si>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</si>
  <si>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</si>
  <si>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</si>
  <si>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</si>
  <si>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</si>
  <si>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</si>
  <si>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</si>
  <si>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</si>
  <si>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</si>
  <si>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</si>
  <si>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</si>
  <si>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</si>
  <si>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</si>
  <si>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</si>
  <si>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</si>
  <si>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</si>
  <si>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</si>
  <si>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</si>
  <si>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</si>
  <si>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</si>
  <si>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</si>
  <si>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</si>
  <si>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</si>
  <si>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</si>
  <si>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</si>
  <si>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</si>
  <si>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</si>
  <si>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</si>
  <si>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</si>
  <si>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</si>
  <si>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</si>
  <si>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</si>
  <si>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</si>
  <si>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</si>
  <si>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</si>
  <si>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</si>
  <si>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</si>
  <si>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</si>
  <si>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</si>
  <si>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</si>
  <si>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</si>
  <si>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</si>
  <si>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</si>
  <si>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</si>
  <si>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</si>
  <si>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</si>
  <si>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</si>
  <si>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</si>
  <si>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</si>
  <si>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</si>
  <si>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</si>
  <si>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</si>
  <si>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</si>
  <si>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</si>
  <si>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</si>
  <si>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</si>
  <si>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</si>
  <si>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</si>
  <si>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</si>
  <si>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</si>
  <si>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</si>
  <si>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</si>
  <si>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</si>
  <si>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</si>
  <si>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</si>
  <si>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</si>
  <si>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</si>
  <si>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</si>
  <si>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</si>
  <si>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</si>
  <si>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</si>
  <si>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</si>
  <si>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</si>
  <si>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</si>
  <si>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</si>
  <si>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</si>
  <si>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</si>
  <si>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</si>
  <si>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</si>
  <si>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</si>
  <si>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</si>
  <si>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</si>
  <si>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</si>
  <si>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</si>
  <si>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</si>
  <si>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</si>
  <si>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</si>
  <si>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</si>
  <si>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</si>
  <si>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</si>
  <si>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</si>
  <si>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</si>
  <si>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</si>
  <si>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</si>
  <si>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</si>
  <si>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</si>
  <si>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</si>
  <si>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</si>
  <si>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</si>
  <si>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</si>
  <si>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</si>
  <si>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</si>
  <si>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</si>
  <si>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</si>
  <si>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</si>
  <si>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</si>
  <si>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</si>
  <si>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</si>
  <si>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</si>
  <si>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</si>
  <si>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</si>
  <si>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</si>
  <si>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</si>
  <si>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</si>
  <si>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</si>
  <si>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</si>
  <si>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</si>
  <si>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</si>
  <si>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</si>
  <si>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</si>
  <si>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</si>
  <si>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</si>
  <si>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</si>
  <si>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</si>
  <si>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</si>
  <si>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</si>
  <si>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</si>
  <si>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</si>
  <si>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</si>
  <si>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</si>
  <si>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</si>
  <si>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</si>
  <si>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</si>
  <si>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</si>
  <si>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</si>
  <si>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</si>
  <si>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</si>
  <si>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</si>
  <si>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</si>
  <si>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</si>
  <si>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</si>
  <si>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</si>
  <si>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</si>
  <si>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</si>
  <si>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</si>
  <si>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</si>
  <si>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</si>
  <si>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</si>
  <si>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</si>
  <si>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</si>
  <si>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</si>
  <si>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</si>
  <si>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</si>
  <si>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</si>
  <si>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</si>
  <si>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</si>
  <si>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</si>
  <si>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</si>
  <si>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</si>
  <si>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</si>
  <si>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</si>
  <si>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</si>
  <si>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</si>
  <si>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</si>
  <si>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</si>
  <si>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</si>
  <si>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</si>
  <si>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</si>
  <si>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</si>
  <si>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</si>
  <si>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</si>
  <si>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</si>
  <si>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</si>
  <si>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</si>
  <si>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</si>
  <si>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</si>
  <si>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</si>
  <si>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</si>
  <si>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</si>
  <si>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</si>
  <si>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</si>
  <si>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</si>
  <si>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</si>
  <si>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</si>
  <si>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</si>
  <si>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</si>
  <si>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</si>
  <si>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</si>
  <si>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</si>
  <si>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</si>
  <si>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</si>
  <si>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</si>
  <si>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</si>
  <si>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</si>
  <si>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</si>
  <si>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</si>
  <si>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</si>
  <si>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</si>
  <si>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</si>
  <si>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</si>
  <si>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</si>
  <si>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</si>
  <si>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</si>
  <si>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</si>
  <si>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</si>
  <si>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</si>
  <si>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</si>
  <si>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</si>
  <si>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</si>
  <si>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</si>
  <si>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</si>
  <si>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</si>
  <si>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</si>
  <si>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</si>
  <si>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</si>
  <si>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</si>
  <si>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</si>
  <si>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</si>
  <si>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</si>
  <si>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</si>
  <si>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</si>
  <si>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</si>
  <si>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</si>
  <si>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</si>
  <si>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</si>
  <si>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</si>
  <si>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</si>
  <si>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</si>
  <si>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</si>
  <si>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</si>
  <si>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</si>
  <si>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</si>
  <si>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</si>
  <si>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</si>
  <si>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</si>
  <si>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</si>
  <si>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</si>
  <si>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</si>
  <si>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</si>
  <si>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</si>
  <si>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</si>
  <si>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</si>
  <si>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</si>
  <si>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</si>
  <si>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</si>
  <si>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</si>
  <si>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</si>
  <si>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</si>
  <si>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</si>
  <si>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</si>
  <si>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</si>
  <si>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</si>
  <si>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</si>
  <si>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</si>
  <si>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</si>
  <si>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</si>
  <si>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</si>
  <si>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</si>
  <si>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</si>
  <si>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</si>
  <si>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</si>
  <si>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</si>
  <si>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</si>
  <si>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</si>
  <si>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</si>
  <si>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</si>
  <si>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</si>
  <si>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</si>
  <si>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</si>
  <si>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</si>
  <si>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</si>
  <si>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</si>
  <si>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</si>
  <si>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</si>
  <si>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</si>
  <si>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</si>
  <si>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</si>
  <si>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</si>
  <si>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</si>
  <si>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</si>
  <si>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</si>
  <si>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</si>
  <si>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</si>
  <si>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</si>
  <si>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</si>
  <si>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</si>
  <si>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</si>
  <si>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</si>
  <si>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</si>
  <si>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</si>
  <si>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</si>
  <si>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</si>
  <si>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</si>
  <si>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</si>
  <si>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</si>
  <si>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</si>
  <si>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</si>
  <si>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</si>
  <si>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</si>
  <si>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</si>
  <si>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</si>
  <si>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</si>
  <si>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</si>
  <si>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</si>
  <si>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</si>
  <si>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</si>
  <si>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</si>
  <si>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</si>
  <si>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</si>
  <si>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</si>
  <si>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</si>
  <si>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</si>
  <si>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</si>
  <si>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</si>
  <si>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</si>
  <si>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</si>
  <si>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</si>
  <si>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</si>
  <si>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</si>
  <si>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</si>
  <si>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</si>
  <si>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</si>
  <si>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</si>
  <si>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</si>
  <si>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</si>
  <si>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</si>
  <si>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</si>
  <si>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</si>
  <si>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</si>
  <si>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</si>
  <si>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</si>
  <si>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</si>
  <si>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</si>
  <si>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</si>
  <si>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</si>
  <si>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</si>
  <si>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</si>
  <si>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</si>
  <si>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</si>
  <si>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</si>
  <si>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</si>
  <si>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</si>
  <si>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</si>
  <si>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</si>
  <si>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</si>
  <si>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</si>
  <si>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</si>
  <si>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</si>
  <si>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</si>
  <si>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</si>
  <si>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</si>
  <si>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</si>
  <si>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</si>
  <si>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</si>
  <si>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</si>
  <si>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</si>
  <si>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</si>
  <si>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</si>
  <si>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</si>
  <si>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</si>
  <si>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</si>
  <si>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</si>
  <si>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</si>
  <si>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</si>
  <si>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</si>
  <si>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</si>
  <si>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</si>
  <si>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</si>
  <si>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</si>
  <si>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</si>
  <si>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</si>
  <si>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</si>
  <si>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</si>
  <si>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</si>
  <si>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</si>
  <si>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</si>
  <si>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</si>
  <si>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</si>
  <si>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</si>
  <si>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</si>
  <si>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</si>
  <si>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</si>
  <si>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</si>
  <si>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</si>
  <si>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</si>
  <si>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</si>
  <si>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</si>
  <si>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</si>
  <si>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</si>
  <si>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</si>
  <si>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</si>
  <si>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</si>
  <si>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</si>
  <si>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</si>
  <si>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</si>
  <si>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</si>
  <si>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</si>
  <si>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</si>
  <si>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</si>
  <si>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</si>
  <si>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</si>
  <si>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</si>
  <si>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</si>
  <si>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</si>
  <si>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</si>
  <si>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</si>
  <si>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</si>
  <si>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</si>
  <si>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</si>
  <si>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</si>
  <si>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</si>
  <si>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</si>
  <si>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</si>
  <si>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</si>
  <si>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</si>
  <si>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</si>
  <si>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</si>
  <si>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</si>
  <si>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</si>
  <si>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</si>
  <si>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</si>
  <si>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</si>
  <si>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</si>
  <si>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</si>
  <si>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</si>
  <si>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</si>
  <si>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</si>
  <si>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</si>
  <si>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</si>
  <si>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</si>
  <si>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</si>
  <si>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</si>
  <si>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</si>
  <si>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</si>
  <si>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</si>
  <si>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</si>
  <si>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</si>
  <si>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</si>
  <si>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</si>
  <si>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</si>
  <si>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</si>
  <si>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</si>
  <si>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</si>
  <si>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</si>
  <si>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</si>
  <si>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</si>
  <si>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</si>
  <si>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</si>
  <si>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</si>
  <si>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</si>
  <si>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</si>
  <si>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</si>
  <si>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</si>
  <si>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</si>
  <si>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</si>
  <si>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</si>
  <si>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</si>
  <si>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</si>
  <si>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</si>
  <si>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</si>
  <si>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</si>
  <si>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</si>
  <si>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</si>
  <si>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</si>
  <si>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</si>
  <si>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</si>
  <si>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</si>
  <si>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</si>
  <si>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</si>
  <si>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</si>
  <si>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</si>
  <si>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</si>
  <si>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</si>
  <si>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</si>
  <si>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</si>
  <si>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</si>
  <si>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</si>
  <si>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</si>
  <si>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</si>
  <si>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</si>
  <si>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</si>
  <si>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</si>
  <si>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</si>
  <si>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</si>
  <si>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</si>
  <si>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</si>
  <si>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</si>
  <si>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</si>
  <si>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</si>
  <si>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</si>
  <si>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</si>
  <si>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</si>
  <si>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</si>
  <si>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</si>
  <si>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</si>
  <si>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</si>
  <si>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</si>
  <si>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</si>
  <si>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</si>
  <si>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</si>
  <si>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</si>
  <si>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</si>
  <si>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</si>
  <si>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</si>
  <si>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</si>
  <si>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</si>
  <si>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</si>
  <si>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</si>
  <si>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</si>
  <si>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</si>
  <si>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</si>
  <si>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</si>
  <si>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</si>
  <si>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</si>
  <si>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</si>
  <si>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</si>
  <si>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</si>
  <si>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</si>
  <si>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</si>
  <si>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</si>
  <si>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</si>
  <si>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</si>
  <si>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</si>
  <si>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</si>
  <si>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</si>
  <si>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</si>
  <si>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</si>
  <si>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</si>
  <si>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</si>
  <si>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</si>
  <si>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</si>
  <si>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</si>
  <si>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</si>
  <si>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</si>
  <si>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</si>
  <si>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</si>
  <si>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</si>
  <si>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</si>
  <si>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</si>
  <si>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</si>
  <si>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</si>
  <si>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</si>
  <si>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</si>
  <si>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</si>
  <si>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</si>
  <si>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</si>
  <si>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</si>
  <si>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</si>
  <si>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</si>
  <si>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</si>
  <si>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</si>
  <si>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</si>
  <si>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</si>
  <si>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</si>
  <si>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</si>
  <si>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</si>
  <si>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</si>
  <si>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</si>
  <si>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</si>
  <si>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</si>
  <si>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</si>
  <si>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</si>
  <si>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</si>
  <si>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</si>
  <si>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</si>
  <si>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</si>
  <si>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</si>
  <si>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</si>
  <si>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</si>
  <si>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</si>
  <si>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</si>
  <si>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</si>
  <si>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</si>
  <si>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</si>
  <si>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</si>
  <si>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</si>
  <si>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</si>
  <si>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</si>
  <si>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</si>
  <si>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</si>
  <si>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</si>
  <si>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</si>
  <si>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</si>
  <si>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</si>
  <si>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</si>
  <si>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</si>
  <si>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</si>
  <si>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</si>
  <si>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</si>
  <si>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</si>
  <si>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</si>
  <si>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</si>
  <si>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</si>
  <si>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</si>
  <si>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</si>
  <si>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</si>
  <si>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</si>
  <si>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</si>
  <si>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</si>
  <si>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</si>
  <si>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</si>
  <si>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</si>
  <si>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</si>
  <si>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</si>
  <si>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</si>
  <si>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</si>
  <si>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</si>
  <si>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</si>
  <si>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</si>
  <si>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</si>
  <si>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</si>
  <si>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</si>
  <si>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</si>
  <si>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</si>
  <si>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</si>
  <si>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</si>
  <si>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</si>
  <si>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</si>
  <si>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</si>
  <si>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</si>
  <si>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</si>
  <si>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</si>
  <si>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</si>
  <si>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</si>
  <si>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</si>
  <si>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</si>
  <si>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</si>
  <si>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</si>
  <si>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</si>
  <si>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</si>
  <si>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</si>
  <si>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</si>
  <si>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</si>
  <si>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</si>
  <si>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</si>
  <si>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</si>
  <si>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</si>
  <si>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</si>
  <si>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</si>
  <si>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</si>
  <si>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</si>
  <si>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</si>
  <si>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</si>
  <si>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</si>
  <si>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</si>
  <si>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</si>
  <si>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</si>
  <si>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</si>
  <si>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</si>
  <si>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</si>
  <si>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</si>
  <si>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</si>
  <si>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</si>
  <si>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</si>
  <si>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</si>
  <si>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</si>
  <si>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</si>
  <si>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</si>
  <si>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</si>
  <si>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</si>
  <si>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</si>
  <si>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</si>
  <si>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</si>
  <si>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</si>
  <si>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</si>
  <si>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</si>
  <si>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</si>
  <si>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</si>
  <si>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</si>
  <si>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</si>
  <si>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</si>
  <si>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</si>
  <si>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</si>
  <si>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</si>
  <si>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</si>
  <si>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</si>
  <si>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</si>
  <si>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</si>
  <si>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</si>
  <si>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</si>
  <si>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</si>
  <si>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</si>
  <si>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</si>
  <si>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</si>
  <si>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</si>
  <si>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</si>
  <si>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</si>
  <si>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</si>
  <si>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</si>
  <si>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</si>
  <si>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</si>
  <si>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</si>
  <si>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</si>
  <si>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</si>
  <si>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</si>
  <si>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</si>
  <si>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</si>
  <si>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</si>
  <si>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</si>
  <si>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</si>
  <si>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</si>
  <si>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</si>
  <si>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</si>
  <si>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</si>
  <si>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</si>
  <si>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</si>
  <si>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</si>
  <si>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</si>
  <si>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</si>
  <si>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</si>
  <si>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</si>
  <si>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</si>
  <si>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</si>
  <si>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</si>
  <si>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</si>
  <si>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</si>
  <si>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</si>
  <si>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</si>
  <si>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</si>
  <si>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</si>
  <si>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</si>
  <si>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</si>
  <si>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</si>
  <si>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</si>
  <si>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</si>
  <si>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</si>
  <si>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</si>
  <si>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</si>
  <si>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</si>
  <si>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</si>
  <si>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</si>
  <si>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</si>
  <si>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</si>
  <si>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</si>
  <si>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</si>
  <si>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</si>
  <si>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</si>
  <si>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</si>
  <si>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</si>
  <si>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</si>
  <si>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</si>
  <si>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</si>
  <si>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</si>
  <si>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</si>
  <si>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</si>
  <si>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</si>
  <si>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</si>
  <si>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</si>
  <si>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</si>
  <si>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</si>
  <si>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</si>
  <si>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</si>
  <si>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</si>
  <si>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</si>
  <si>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</si>
  <si>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</si>
  <si>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</si>
  <si>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</si>
  <si>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</si>
  <si>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</si>
  <si>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</si>
  <si>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</si>
  <si>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</si>
  <si>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</si>
  <si>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</si>
  <si>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</si>
  <si>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</si>
  <si>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</si>
  <si>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</si>
  <si>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</si>
  <si>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</si>
  <si>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</si>
  <si>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</si>
  <si>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</si>
  <si>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</si>
  <si>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</si>
  <si>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</si>
  <si>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</si>
  <si>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</si>
  <si>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</si>
  <si>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</si>
  <si>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</si>
  <si>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</si>
  <si>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</si>
  <si>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</si>
  <si>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</si>
  <si>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</si>
  <si>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</si>
  <si>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</si>
  <si>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</si>
  <si>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</si>
  <si>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</si>
  <si>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</si>
  <si>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</si>
  <si>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</si>
  <si>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</si>
  <si>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</si>
  <si>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</si>
  <si>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</si>
  <si>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</si>
  <si>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</si>
  <si>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</si>
  <si>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</si>
  <si>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</si>
  <si>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</si>
  <si>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</si>
  <si>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</si>
  <si>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</si>
  <si>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</si>
  <si>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</si>
  <si>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</si>
  <si>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</si>
  <si>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</si>
  <si>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</si>
  <si>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</si>
  <si>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</si>
  <si>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</si>
  <si>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</si>
  <si>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</si>
  <si>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</si>
  <si>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</si>
  <si>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</si>
  <si>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</si>
  <si>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</si>
  <si>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</si>
  <si>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</si>
  <si>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</si>
  <si>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</si>
  <si>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</si>
  <si>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</si>
  <si>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</si>
  <si>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</si>
  <si>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</si>
  <si>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</si>
  <si>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</si>
  <si>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</si>
  <si>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</si>
  <si>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</si>
  <si>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</si>
  <si>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</si>
  <si>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</si>
  <si>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</si>
  <si>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</si>
  <si>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</si>
  <si>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</si>
  <si>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</si>
  <si>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</si>
  <si>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</si>
  <si>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</si>
  <si>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</si>
  <si>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</si>
  <si>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</si>
  <si>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</si>
  <si>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</si>
  <si>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</si>
  <si>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</si>
  <si>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</si>
  <si>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</si>
  <si>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</si>
  <si>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</si>
  <si>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</si>
  <si>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</si>
  <si>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</si>
  <si>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</si>
  <si>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</si>
  <si>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</si>
  <si>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</si>
  <si>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</si>
  <si>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</si>
  <si>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</si>
  <si>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</si>
  <si>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</si>
  <si>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</si>
  <si>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</si>
  <si>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</si>
  <si>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</si>
  <si>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</si>
  <si>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</si>
  <si>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</si>
  <si>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</si>
  <si>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</si>
  <si>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</si>
  <si>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</si>
  <si>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</si>
  <si>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</si>
  <si>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</si>
  <si>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</si>
  <si>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</si>
  <si>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</si>
  <si>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</si>
  <si>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</si>
  <si>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</si>
  <si>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</si>
  <si>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</si>
  <si>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</si>
  <si>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</si>
  <si>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</si>
  <si>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</si>
  <si>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</si>
  <si>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</si>
  <si>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</si>
  <si>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</si>
  <si>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</si>
  <si>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</si>
  <si>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</si>
  <si>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</si>
  <si>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</si>
  <si>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</si>
  <si>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</si>
  <si>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</si>
  <si>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</si>
  <si>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</si>
  <si>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</si>
  <si>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</si>
  <si>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</si>
  <si>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</si>
  <si>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</si>
  <si>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</si>
  <si>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</si>
  <si>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</si>
  <si>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</si>
  <si>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</si>
  <si>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</si>
  <si>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</si>
  <si>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</si>
  <si>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</si>
  <si>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</si>
  <si>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</si>
  <si>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</si>
  <si>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</si>
  <si>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</si>
  <si>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</si>
  <si>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</si>
  <si>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</si>
  <si>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</si>
  <si>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</si>
  <si>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</si>
  <si>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</si>
  <si>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</si>
  <si>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</si>
  <si>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</si>
  <si>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</si>
  <si>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</si>
  <si>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</si>
  <si>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</si>
  <si>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</si>
  <si>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</si>
  <si>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</si>
  <si>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</si>
  <si>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</si>
  <si>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</si>
  <si>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</si>
  <si>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</si>
  <si>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</si>
  <si>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</si>
  <si>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</si>
  <si>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</si>
  <si>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</si>
  <si>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</si>
  <si>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</si>
  <si>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</si>
  <si>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</si>
  <si>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</si>
  <si>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</si>
  <si>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</si>
  <si>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</si>
  <si>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</si>
  <si>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</si>
  <si>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</si>
  <si>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</si>
  <si>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</si>
  <si>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</si>
  <si>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</si>
  <si>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</si>
  <si>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</si>
  <si>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</si>
  <si>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</si>
  <si>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</si>
  <si>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</si>
  <si>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</si>
  <si>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</si>
  <si>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</si>
  <si>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</si>
  <si>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</si>
  <si>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</si>
  <si>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</si>
  <si>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</si>
  <si>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</si>
  <si>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</si>
  <si>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</si>
  <si>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</si>
  <si>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</si>
  <si>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</si>
  <si>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</si>
  <si>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</si>
  <si>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</si>
  <si>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</si>
  <si>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</si>
  <si>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</si>
  <si>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</si>
  <si>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</si>
  <si>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</si>
  <si>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</si>
  <si>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</si>
  <si>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</si>
  <si>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</si>
  <si>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</si>
  <si>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</si>
  <si>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</si>
  <si>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</si>
  <si>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</si>
  <si>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</si>
  <si>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</si>
  <si>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</si>
  <si>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</si>
  <si>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</si>
  <si>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</si>
  <si>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</si>
  <si>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</si>
  <si>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</si>
  <si>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</si>
  <si>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</si>
  <si>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</si>
  <si>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</si>
  <si>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</si>
  <si>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</si>
  <si>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</si>
  <si>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</si>
  <si>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</si>
  <si>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</si>
  <si>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</si>
  <si>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</si>
  <si>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</si>
  <si>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</si>
  <si>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</si>
  <si>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</si>
  <si>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</si>
  <si>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</si>
  <si>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</si>
  <si>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</si>
  <si>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</si>
  <si>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</si>
  <si>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</si>
  <si>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</si>
  <si>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</si>
  <si>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</si>
  <si>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</si>
  <si>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</si>
  <si>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</si>
  <si>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</si>
  <si>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</si>
  <si>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</si>
  <si>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</si>
  <si>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</si>
  <si>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</si>
  <si>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</si>
  <si>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</si>
  <si>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</si>
  <si>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</si>
  <si>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</si>
  <si>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</si>
  <si>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</si>
  <si>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</si>
  <si>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</si>
  <si>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</si>
  <si>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</si>
  <si>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</si>
  <si>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</si>
  <si>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</si>
  <si>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</si>
  <si>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</si>
  <si>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</si>
  <si>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</si>
  <si>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</si>
  <si>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</si>
  <si>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</si>
  <si>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</si>
  <si>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</si>
  <si>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</si>
  <si>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</si>
  <si>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</si>
  <si>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</si>
  <si>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</si>
  <si>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</si>
  <si>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</si>
  <si>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</si>
  <si>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</si>
  <si>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</si>
  <si>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</si>
  <si>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</si>
  <si>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</si>
  <si>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</si>
  <si>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</si>
  <si>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</si>
  <si>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</si>
  <si>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</si>
  <si>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</si>
  <si>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</si>
  <si>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</si>
  <si>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</si>
  <si>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</si>
  <si>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</si>
  <si>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</si>
  <si>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</si>
  <si>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</si>
  <si>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</si>
  <si>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</si>
  <si>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</si>
  <si>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</si>
  <si>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</si>
  <si>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</si>
  <si>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</si>
  <si>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</si>
  <si>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</si>
  <si>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</si>
  <si>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</si>
  <si>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</si>
  <si>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</si>
  <si>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</si>
  <si>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</si>
  <si>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</si>
  <si>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</si>
  <si>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</si>
  <si>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</si>
  <si>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</si>
  <si>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</si>
  <si>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</si>
  <si>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</si>
  <si>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</si>
  <si>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</si>
  <si>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</si>
  <si>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</si>
  <si>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</si>
  <si>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</si>
  <si>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</si>
  <si>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</si>
  <si>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</si>
  <si>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</si>
  <si>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</si>
  <si>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</si>
  <si>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</si>
  <si>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</si>
  <si>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</si>
  <si>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</si>
  <si>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</si>
  <si>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</si>
  <si>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</si>
  <si>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</si>
  <si>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</si>
  <si>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</si>
  <si>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</si>
  <si>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</si>
  <si>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</si>
  <si>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</si>
  <si>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</si>
  <si>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</si>
  <si>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</si>
  <si>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</si>
  <si>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</si>
  <si>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</si>
  <si>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</si>
  <si>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</si>
  <si>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</si>
  <si>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</si>
  <si>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</si>
  <si>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</si>
  <si>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</si>
  <si>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</si>
  <si>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</si>
  <si>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</si>
  <si>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</si>
  <si>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</si>
  <si>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</si>
  <si>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</si>
  <si>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</si>
  <si>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</si>
  <si>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</si>
  <si>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</si>
  <si>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</si>
  <si>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</si>
  <si>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</si>
  <si>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</si>
  <si>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</si>
  <si>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</si>
  <si>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</si>
  <si>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</si>
  <si>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</si>
  <si>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</si>
  <si>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</si>
  <si>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</si>
  <si>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</si>
  <si>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</si>
  <si>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</si>
  <si>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</si>
  <si>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</si>
  <si>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</si>
  <si>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</si>
  <si>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</si>
  <si>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</si>
  <si>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</si>
  <si>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</si>
  <si>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</si>
  <si>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</si>
  <si>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</si>
  <si>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</si>
  <si>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</si>
  <si>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</si>
  <si>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</si>
  <si>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</si>
  <si>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</si>
  <si>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</si>
  <si>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</si>
  <si>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</si>
  <si>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</si>
  <si>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</si>
  <si>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</si>
  <si>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</si>
  <si>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</si>
  <si>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</si>
  <si>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</si>
  <si>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</si>
  <si>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</si>
  <si>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</si>
  <si>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</si>
  <si>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</si>
  <si>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</si>
  <si>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</si>
  <si>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</si>
  <si>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</si>
  <si>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</si>
  <si>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</si>
  <si>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</si>
  <si>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</si>
  <si>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</si>
  <si>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</si>
  <si>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</si>
  <si>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</si>
  <si>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</si>
  <si>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</si>
  <si>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</si>
  <si>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</si>
  <si>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</si>
  <si>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</si>
  <si>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</si>
  <si>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</si>
  <si>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</si>
  <si>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</si>
  <si>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</si>
  <si>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</si>
  <si>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</si>
  <si>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</si>
  <si>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</si>
  <si>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</si>
  <si>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</si>
  <si>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</si>
  <si>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</si>
  <si>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</si>
  <si>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</si>
  <si>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</si>
  <si>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</si>
  <si>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</si>
  <si>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</si>
  <si>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</si>
  <si>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</si>
  <si>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</si>
  <si>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</si>
  <si>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</si>
  <si>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</si>
  <si>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</si>
  <si>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</si>
  <si>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</si>
  <si>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</si>
  <si>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</si>
  <si>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</si>
  <si>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</si>
  <si>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</si>
  <si>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</si>
  <si>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</si>
  <si>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</si>
  <si>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</si>
  <si>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</si>
  <si>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</si>
  <si>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</si>
  <si>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</si>
  <si>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</si>
  <si>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</si>
  <si>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</si>
  <si>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</si>
  <si>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</si>
  <si>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</si>
  <si>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</si>
  <si>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</si>
  <si>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</si>
  <si>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</si>
  <si>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</si>
  <si>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</si>
  <si>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</si>
  <si>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</si>
  <si>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</si>
  <si>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</si>
  <si>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</si>
  <si>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</si>
  <si>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</si>
  <si>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</si>
  <si>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</si>
  <si>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</si>
  <si>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</si>
  <si>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</si>
  <si>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</si>
  <si>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</si>
  <si>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</si>
  <si>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</si>
  <si>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</si>
  <si>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</si>
  <si>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</si>
  <si>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</si>
  <si>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</si>
  <si>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</si>
  <si>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</si>
  <si>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</si>
  <si>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</si>
  <si>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</si>
  <si>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</si>
  <si>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</si>
  <si>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</si>
  <si>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</si>
  <si>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</si>
  <si>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</si>
  <si>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</si>
  <si>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</si>
  <si>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</si>
  <si>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</si>
  <si>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</si>
  <si>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</si>
  <si>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</si>
  <si>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</si>
  <si>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</si>
  <si>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</si>
  <si>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</si>
  <si>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</si>
  <si>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</si>
  <si>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</si>
  <si>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</si>
  <si>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</si>
  <si>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</si>
  <si>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</si>
  <si>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</si>
  <si>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</si>
  <si>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</si>
  <si>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</si>
  <si>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</si>
  <si>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</si>
  <si>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</si>
  <si>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</si>
  <si>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</si>
  <si>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</si>
  <si>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</si>
  <si>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</si>
  <si>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</si>
  <si>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</si>
  <si>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</si>
  <si>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</si>
  <si>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</si>
  <si>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</si>
  <si>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</si>
  <si>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</si>
  <si>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</si>
  <si>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</si>
  <si>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</si>
  <si>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</si>
  <si>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</si>
  <si>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</si>
  <si>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</si>
  <si>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</si>
  <si>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</si>
  <si>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</si>
  <si>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</si>
  <si>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</si>
  <si>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</si>
  <si>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</si>
  <si>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</si>
  <si>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</si>
  <si>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</si>
  <si>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</si>
  <si>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</si>
  <si>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</si>
  <si>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</si>
  <si>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</si>
  <si>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</si>
  <si>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</si>
  <si>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</si>
  <si>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</si>
  <si>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</si>
  <si>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</si>
  <si>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</si>
  <si>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</si>
  <si>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</si>
  <si>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</si>
  <si>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</si>
  <si>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</si>
  <si>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</si>
  <si>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</si>
  <si>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</si>
  <si>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</si>
  <si>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</si>
  <si>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</si>
  <si>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</si>
  <si>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</si>
  <si>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</si>
  <si>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</si>
  <si>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</si>
  <si>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</si>
  <si>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</si>
  <si>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</si>
  <si>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</si>
  <si>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</si>
  <si>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</si>
  <si>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</si>
  <si>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</si>
  <si>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</si>
  <si>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</si>
  <si>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</si>
  <si>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</si>
  <si>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</si>
  <si>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</si>
  <si>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</si>
  <si>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</si>
  <si>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</si>
  <si>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</si>
  <si>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</si>
  <si>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</si>
  <si>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</si>
  <si>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</si>
  <si>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</si>
  <si>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</si>
  <si>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</si>
  <si>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</si>
  <si>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</si>
  <si>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</si>
  <si>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</si>
  <si>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</si>
  <si>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</si>
  <si>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</si>
  <si>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</si>
  <si>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</si>
  <si>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</si>
  <si>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</si>
  <si>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</si>
  <si>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</si>
  <si>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</si>
  <si>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</si>
  <si>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</si>
  <si>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</si>
  <si>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</si>
  <si>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</si>
  <si>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</si>
  <si>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</si>
  <si>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</si>
  <si>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</si>
  <si>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</si>
  <si>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</si>
  <si>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</si>
  <si>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</si>
  <si>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</si>
  <si>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</si>
  <si>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</si>
  <si>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</si>
  <si>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</si>
  <si>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</si>
  <si>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</si>
  <si>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</si>
  <si>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</si>
  <si>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</si>
  <si>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</si>
  <si>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</si>
  <si>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</si>
  <si>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</si>
  <si>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</si>
  <si>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</si>
  <si>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</si>
  <si>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</si>
  <si>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</si>
  <si>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</si>
  <si>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</si>
  <si>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</si>
  <si>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</si>
  <si>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</si>
  <si>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</si>
  <si>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</si>
  <si>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</si>
  <si>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</si>
  <si>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</si>
  <si>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</si>
  <si>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</si>
  <si>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</si>
  <si>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</si>
  <si>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</si>
  <si>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</si>
  <si>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</si>
  <si>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</si>
  <si>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</si>
  <si>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</si>
  <si>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</si>
  <si>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</si>
  <si>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</si>
  <si>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</si>
  <si>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</si>
  <si>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</si>
  <si>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</si>
  <si>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</si>
  <si>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</si>
  <si>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</si>
  <si>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</si>
  <si>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</si>
  <si>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</si>
  <si>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</si>
  <si>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</si>
  <si>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</si>
  <si>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</si>
  <si>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</si>
  <si>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</si>
  <si>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</si>
  <si>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</si>
  <si>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</si>
  <si>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</si>
  <si>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</si>
  <si>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</si>
  <si>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</si>
  <si>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</si>
  <si>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</si>
  <si>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</si>
  <si>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</si>
  <si>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</si>
  <si>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</si>
  <si>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</si>
  <si>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</si>
  <si>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</si>
  <si>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</si>
  <si>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</si>
  <si>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</si>
  <si>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</si>
  <si>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</si>
  <si>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</si>
  <si>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</si>
  <si>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</si>
  <si>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</si>
  <si>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</si>
  <si>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</si>
  <si>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</si>
  <si>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</si>
  <si>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</si>
  <si>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</si>
  <si>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</si>
  <si>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</si>
  <si>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</si>
  <si>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</si>
  <si>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</si>
  <si>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</si>
  <si>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</si>
  <si>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</si>
  <si>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</si>
  <si>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</si>
  <si>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</si>
  <si>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</si>
  <si>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</si>
  <si>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</si>
  <si>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</si>
  <si>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</si>
  <si>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</si>
  <si>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</si>
  <si>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</si>
  <si>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</si>
  <si>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</si>
  <si>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</si>
  <si>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</si>
  <si>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</si>
  <si>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</si>
  <si>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</si>
  <si>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</si>
  <si>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</si>
  <si>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</si>
  <si>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</si>
  <si>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</si>
  <si>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</si>
  <si>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</si>
  <si>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</si>
  <si>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</si>
  <si>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</si>
  <si>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</si>
  <si>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</si>
  <si>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</si>
  <si>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</si>
  <si>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</si>
  <si>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</si>
  <si>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</si>
  <si>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</si>
  <si>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</si>
  <si>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</si>
  <si>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</si>
  <si>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</si>
  <si>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</si>
  <si>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</si>
  <si>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</si>
  <si>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</si>
  <si>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</si>
  <si>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</si>
  <si>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</si>
  <si>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</si>
  <si>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</si>
  <si>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</si>
  <si>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</si>
  <si>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</si>
  <si>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</si>
  <si>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</si>
  <si>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</si>
  <si>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</si>
  <si>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</si>
  <si>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</si>
  <si>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</si>
  <si>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</si>
  <si>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</si>
  <si>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</si>
  <si>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</si>
  <si>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</si>
  <si>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</si>
  <si>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社区底商</t>
  </si>
  <si>
    <t>社区底商</t>
    <phoneticPr fontId="25" type="noConversion"/>
  </si>
  <si>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</si>
  <si>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</si>
  <si>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</si>
  <si>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</si>
  <si>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</si>
  <si>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</si>
  <si>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</si>
  <si>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</si>
  <si>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</si>
  <si>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</si>
  <si>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</si>
  <si>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</si>
  <si>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</si>
  <si>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</si>
  <si>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</si>
  <si>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</si>
  <si>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</si>
  <si>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</si>
  <si>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</si>
  <si>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</si>
  <si>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</si>
  <si>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</si>
  <si>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</si>
  <si>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</si>
  <si>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</si>
  <si>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</si>
  <si>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</si>
  <si>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</si>
  <si>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</si>
  <si>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小区</t>
  </si>
  <si>
    <t>住宅</t>
  </si>
  <si>
    <t>住宅</t>
    <phoneticPr fontId="20" type="noConversion"/>
  </si>
  <si>
    <t>60-70（含）</t>
  </si>
  <si>
    <t>物业公司管理</t>
    <phoneticPr fontId="20" type="noConversion"/>
  </si>
  <si>
    <t>单位自管</t>
    <phoneticPr fontId="20" type="noConversion"/>
  </si>
  <si>
    <t>七通</t>
    <phoneticPr fontId="20" type="noConversion"/>
  </si>
  <si>
    <t>平层</t>
  </si>
  <si>
    <t>平层</t>
    <phoneticPr fontId="20" type="noConversion"/>
  </si>
  <si>
    <t>普通装修</t>
  </si>
  <si>
    <t>普通装修</t>
    <phoneticPr fontId="20" type="noConversion"/>
  </si>
  <si>
    <t>高层</t>
    <phoneticPr fontId="20" type="noConversion"/>
  </si>
  <si>
    <t>钢混</t>
    <phoneticPr fontId="20" type="noConversion"/>
  </si>
  <si>
    <t>砖混</t>
  </si>
  <si>
    <t>砖混</t>
    <phoneticPr fontId="20" type="noConversion"/>
  </si>
  <si>
    <t>估价对象所在区域公共配套设施较齐备</t>
    <phoneticPr fontId="35"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</si>
  <si>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</si>
  <si>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</si>
  <si>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设备设施维护情况</t>
    <phoneticPr fontId="20" type="noConversion"/>
  </si>
  <si>
    <t>一般</t>
    <phoneticPr fontId="20" type="noConversion"/>
  </si>
  <si>
    <t>较好</t>
    <phoneticPr fontId="20" type="noConversion"/>
  </si>
  <si>
    <t>平米租金(元/㎡·月)</t>
  </si>
  <si>
    <t>六通</t>
    <phoneticPr fontId="20" type="noConversion"/>
  </si>
  <si>
    <t>简单装修</t>
  </si>
  <si>
    <t>简单装修</t>
    <phoneticPr fontId="20" type="noConversion"/>
  </si>
  <si>
    <t>二居室</t>
    <phoneticPr fontId="20" type="noConversion"/>
  </si>
  <si>
    <t>包含地租、房屋折旧、设备折旧、维修费、保险费、利息和利润等，不含物业费、供暖费、水电费、天然气费、通信费、有线电视费、上网宽带费、家具、家电租赁费及租赁税费等。</t>
    <phoneticPr fontId="20" type="noConversion"/>
  </si>
  <si>
    <t>建成年代</t>
    <phoneticPr fontId="20" type="noConversion"/>
  </si>
  <si>
    <t>车库</t>
  </si>
  <si>
    <t>车库</t>
    <phoneticPr fontId="26" type="noConversion"/>
  </si>
  <si>
    <t>芳古园二区</t>
    <phoneticPr fontId="4" type="noConversion"/>
  </si>
  <si>
    <t>否</t>
  </si>
  <si>
    <t>否</t>
    <phoneticPr fontId="26" type="noConversion"/>
  </si>
  <si>
    <t>地上</t>
    <phoneticPr fontId="26" type="noConversion"/>
  </si>
  <si>
    <t>地下</t>
  </si>
  <si>
    <t>地下</t>
    <phoneticPr fontId="26" type="noConversion"/>
  </si>
  <si>
    <r>
      <rPr>
        <sz val="11"/>
        <rFont val="宋体"/>
        <family val="3"/>
        <charset val="134"/>
      </rPr>
      <t>自动车位、车重不超</t>
    </r>
    <r>
      <rPr>
        <sz val="11"/>
        <rFont val="Arial"/>
        <family val="2"/>
      </rPr>
      <t>1.8t</t>
    </r>
    <phoneticPr fontId="26" type="noConversion"/>
  </si>
  <si>
    <t>无</t>
    <phoneticPr fontId="26" type="noConversion"/>
  </si>
  <si>
    <t>其他</t>
    <phoneticPr fontId="26" type="noConversion"/>
  </si>
  <si>
    <t>天天家园</t>
    <phoneticPr fontId="4" type="noConversion"/>
  </si>
  <si>
    <t>无</t>
    <phoneticPr fontId="26" type="noConversion"/>
  </si>
  <si>
    <t>华龙美晟</t>
    <phoneticPr fontId="4" type="noConversion"/>
  </si>
  <si>
    <t>首开龙湖天璞&lt;东坝&lt;朝阳区</t>
  </si>
  <si>
    <t>恒大华府&lt;东坝&lt;朝阳区</t>
  </si>
  <si>
    <t>富北嘉园&lt;东坝&lt;朝阳区</t>
  </si>
  <si>
    <t>中弘北京像素&lt;东坝&lt;朝阳区</t>
  </si>
  <si>
    <t>首开常青藤&lt;东坝&lt;朝阳区</t>
  </si>
  <si>
    <t>利锦府&lt;东坝&lt;朝阳区</t>
  </si>
  <si>
    <t>苹果派&lt;东坝&lt;朝阳区</t>
  </si>
  <si>
    <t>奥林匹克花园二期&lt;东坝&lt;朝阳区</t>
  </si>
  <si>
    <t>奥林匹克花园三期&lt;东坝&lt;朝阳区</t>
  </si>
  <si>
    <t>奥林匹克花园四期&lt;东坝&lt;朝阳区</t>
  </si>
  <si>
    <t>金隅丽景园&lt;东坝&lt;朝阳区</t>
  </si>
  <si>
    <t>恒大江湾&lt;东坝&lt;朝阳区</t>
  </si>
  <si>
    <t>北辰福第&lt;东坝&lt;朝阳区</t>
  </si>
  <si>
    <t>高杨树小区&lt;东坝&lt;朝阳区</t>
  </si>
  <si>
    <t>首开畅颐园&lt;东坝&lt;朝阳区</t>
  </si>
  <si>
    <t>万象新天&lt;东坝&lt;朝阳区</t>
  </si>
  <si>
    <t>首开畅心园&lt;东坝&lt;朝阳区</t>
  </si>
  <si>
    <t>富力阳光美园&lt;东坝&lt;朝阳区</t>
  </si>
  <si>
    <t>奥林匹克花园一期&lt;东坝&lt;朝阳区</t>
  </si>
  <si>
    <t>康静里小区&lt;东坝&lt;朝阳区</t>
  </si>
  <si>
    <t>常营民族家园&lt;东坝&lt;朝阳区</t>
  </si>
  <si>
    <t>保利嘉园&lt;东坝&lt;朝阳区</t>
  </si>
  <si>
    <t>红松园&lt;东坝&lt;朝阳区</t>
  </si>
  <si>
    <t>北京城建福润四季B区&lt;东坝&lt;朝阳区</t>
  </si>
  <si>
    <t>坝鑫家园&lt;东坝&lt;朝阳区</t>
  </si>
  <si>
    <t>优点社区&lt;东坝&lt;朝阳区</t>
  </si>
  <si>
    <t>华纺星海家园&lt;东坝&lt;朝阳区</t>
  </si>
  <si>
    <t>金隅悦和园&lt;东坝&lt;朝阳区</t>
  </si>
  <si>
    <t>金盏嘉园&lt;东坝&lt;朝阳区</t>
  </si>
  <si>
    <t>金泽家园&lt;东坝&lt;朝阳区</t>
  </si>
  <si>
    <t>上东上品&lt;东坝&lt;朝阳区</t>
  </si>
  <si>
    <t>丽湾家园&lt;东坝&lt;朝阳区</t>
  </si>
  <si>
    <t>朝阳新城&lt;东坝&lt;朝阳区</t>
  </si>
  <si>
    <t>东坝家园&lt;东坝&lt;朝阳区</t>
  </si>
  <si>
    <t>北京好漾&lt;东坝&lt;朝阳区</t>
  </si>
  <si>
    <t>金隅景和园&lt;东坝&lt;朝阳区</t>
    <phoneticPr fontId="146" type="noConversion"/>
  </si>
  <si>
    <t>北京城建福润四季A区&lt;东坝&lt;朝阳区</t>
    <phoneticPr fontId="146" type="noConversion"/>
  </si>
  <si>
    <t>东泽园&lt;东坝&lt;朝阳区</t>
    <phoneticPr fontId="146" type="noConversion"/>
  </si>
  <si>
    <t>高层</t>
  </si>
  <si>
    <t>估价对象周边有顺2路、顺27路、顺28路、顺38路等多条公交线路，地铁15号线南法信站，综合评价交通便捷度较好</t>
    <phoneticPr fontId="35" type="noConversion"/>
  </si>
  <si>
    <t>区域自然环境：小中河；综合评价环境状况一般</t>
    <phoneticPr fontId="35" type="noConversion"/>
  </si>
  <si>
    <t>城市次干道——顺于路</t>
    <phoneticPr fontId="20" type="noConversion"/>
  </si>
  <si>
    <t>估价对象周边有华英园、马可汇、石门苑、玉兰苑、牡丹苑等社区，综合评价居住社区成熟度较好</t>
    <phoneticPr fontId="35" type="noConversion"/>
  </si>
  <si>
    <t>榆垡镇</t>
    <phoneticPr fontId="20" type="noConversion"/>
  </si>
  <si>
    <t>天兴五街</t>
    <phoneticPr fontId="4" type="noConversion"/>
  </si>
  <si>
    <t>新航城</t>
    <phoneticPr fontId="4" type="noConversion"/>
  </si>
  <si>
    <r>
      <rPr>
        <sz val="11"/>
        <rFont val="宋体"/>
        <family val="3"/>
        <charset val="134"/>
      </rPr>
      <t>＞</t>
    </r>
    <r>
      <rPr>
        <sz val="11"/>
        <rFont val="Arial"/>
        <family val="2"/>
      </rPr>
      <t>100</t>
    </r>
    <phoneticPr fontId="25" type="noConversion"/>
  </si>
  <si>
    <t>50-100</t>
    <phoneticPr fontId="25" type="noConversion"/>
  </si>
  <si>
    <r>
      <rPr>
        <sz val="11"/>
        <color indexed="8"/>
        <rFont val="宋体"/>
        <family val="3"/>
        <charset val="134"/>
      </rPr>
      <t>＜</t>
    </r>
    <r>
      <rPr>
        <sz val="11"/>
        <color indexed="8"/>
        <rFont val="Arial"/>
        <family val="2"/>
      </rPr>
      <t>50</t>
    </r>
    <phoneticPr fontId="25" type="noConversion"/>
  </si>
  <si>
    <t>六通</t>
  </si>
  <si>
    <t>六通</t>
    <phoneticPr fontId="25" type="noConversion"/>
  </si>
  <si>
    <t>空港</t>
    <phoneticPr fontId="4" type="noConversion"/>
  </si>
  <si>
    <t>好</t>
    <phoneticPr fontId="25" type="noConversion"/>
  </si>
  <si>
    <t>较好</t>
    <phoneticPr fontId="25" type="noConversion"/>
  </si>
  <si>
    <t>空港新苑</t>
    <phoneticPr fontId="4" type="noConversion"/>
  </si>
  <si>
    <t>商业街商铺</t>
    <phoneticPr fontId="25" type="noConversion"/>
  </si>
  <si>
    <t>一般</t>
    <phoneticPr fontId="25" type="noConversion"/>
  </si>
  <si>
    <t>东亚五环国际车位</t>
    <phoneticPr fontId="20" type="noConversion"/>
  </si>
  <si>
    <t>鑫都汇车位</t>
    <phoneticPr fontId="20" type="noConversion"/>
  </si>
  <si>
    <t>首创美伦湾</t>
    <phoneticPr fontId="4" type="noConversion"/>
  </si>
  <si>
    <t>区县：大兴区；分析周期：2024年01月 至 2024年09月；物业类型：普通住宅,别墅</t>
  </si>
  <si>
    <t>项目名称</t>
  </si>
  <si>
    <t>区县</t>
  </si>
  <si>
    <t>板块</t>
  </si>
  <si>
    <t>成交套数</t>
  </si>
  <si>
    <t>成交面积(㎡)</t>
  </si>
  <si>
    <t>成交价格</t>
  </si>
  <si>
    <t>成交金额(万元)</t>
  </si>
  <si>
    <t>批准上市套数</t>
  </si>
  <si>
    <t>批准上市面积(㎡)</t>
  </si>
  <si>
    <t>可售套数</t>
  </si>
  <si>
    <t>可售面积(㎡)</t>
  </si>
  <si>
    <t>当页汇总</t>
  </si>
  <si>
    <t/>
  </si>
  <si>
    <t>星光都荟合苑</t>
  </si>
  <si>
    <t>大兴区</t>
  </si>
  <si>
    <t>黄村</t>
  </si>
  <si>
    <t>亦玺佳苑</t>
  </si>
  <si>
    <t>河西区南部</t>
  </si>
  <si>
    <t>兴城之星</t>
  </si>
  <si>
    <t>大兴新城物流基地</t>
  </si>
  <si>
    <t>德贤华府</t>
  </si>
  <si>
    <t>生物医药北区</t>
  </si>
  <si>
    <t>中骏金辉·未来云城</t>
  </si>
  <si>
    <t>壹品兴创颐和公馆</t>
  </si>
  <si>
    <t>团河</t>
  </si>
  <si>
    <t>保利绿城·和锦诚园</t>
  </si>
  <si>
    <t>德茂</t>
  </si>
  <si>
    <t>合生me悦</t>
  </si>
  <si>
    <t>熙悦雲上</t>
  </si>
  <si>
    <t>和成璟园</t>
  </si>
  <si>
    <t>路东区北部</t>
  </si>
  <si>
    <t>国锐·金嵿</t>
  </si>
  <si>
    <t>亦庄核心区北部</t>
  </si>
  <si>
    <t>大兴新城</t>
  </si>
  <si>
    <t>中海京叁號院</t>
  </si>
  <si>
    <t>晓月和风</t>
    <phoneticPr fontId="146" type="noConversion"/>
  </si>
  <si>
    <t>中铁兴创·逸境</t>
    <phoneticPr fontId="146" type="noConversion"/>
  </si>
  <si>
    <t>绿地·海珀云翡</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</si>
</sst>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
      <sz val="12"/>
      <color theme="1"/>
      <name val="宋体"/>
      <family val="2"/>
      <scheme val="minor"/>
    </font>
    <font>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xf numFmtId="0" fontId="257" fillId="0" borderId="0"/>
  </cellStyleXfs>
  <cellXfs count="360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254" fillId="0" borderId="0" xfId="14">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46" fillId="9"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14" fontId="257" fillId="0" borderId="0" xfId="16" applyNumberFormat="1"/>
    <xf numFmtId="0" fontId="241" fillId="0" borderId="43" xfId="0" applyFont="1" applyBorder="1" applyAlignment="1" applyProtection="1">
      <alignment horizontal="left" vertical="center"/>
      <protection locked="0"/>
    </xf>
    <xf numFmtId="0" fontId="135" fillId="0" borderId="19" xfId="0" applyNumberFormat="1" applyFont="1" applyFill="1" applyBorder="1" applyAlignment="1" applyProtection="1">
      <alignment horizontal="left" vertical="center" wrapText="1"/>
      <protection locked="0"/>
    </xf>
    <xf numFmtId="0" fontId="135" fillId="0" borderId="3" xfId="0" applyNumberFormat="1" applyFont="1" applyFill="1" applyBorder="1" applyAlignment="1" applyProtection="1">
      <alignment horizontal="left" vertical="center" wrapText="1"/>
      <protection locked="0"/>
    </xf>
    <xf numFmtId="0" fontId="135" fillId="0" borderId="7"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53" fillId="9" borderId="41" xfId="0" applyNumberFormat="1" applyFont="1" applyFill="1" applyBorder="1" applyAlignment="1" applyProtection="1">
      <alignment horizontal="left" vertical="center" wrapText="1"/>
      <protection locked="0"/>
    </xf>
    <xf numFmtId="0" fontId="39" fillId="8" borderId="64" xfId="0" applyNumberFormat="1" applyFont="1" applyFill="1" applyBorder="1" applyAlignment="1" applyProtection="1">
      <alignment horizontal="left" vertical="center" wrapText="1"/>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58" fillId="0" borderId="1"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257" fillId="0" borderId="0" xfId="16"/>
    <xf numFmtId="0" fontId="257" fillId="0" borderId="0" xfId="16" applyAlignment="1">
      <alignment horizontal="center" vertical="center"/>
    </xf>
    <xf numFmtId="0" fontId="257" fillId="15" borderId="0" xfId="16" applyFill="1"/>
    <xf numFmtId="0" fontId="257" fillId="15" borderId="0" xfId="16" applyFill="1" applyAlignment="1">
      <alignment horizontal="center" vertical="center"/>
    </xf>
    <xf numFmtId="0" fontId="257" fillId="8" borderId="0" xfId="16" applyFill="1"/>
    <xf numFmtId="0" fontId="257" fillId="8" borderId="0" xfId="16" applyFill="1" applyAlignment="1">
      <alignment horizontal="center" vertical="center"/>
    </xf>
    <xf numFmtId="0" fontId="135" fillId="0" borderId="24" xfId="0" applyNumberFormat="1" applyFont="1" applyFill="1" applyBorder="1" applyAlignment="1" applyProtection="1">
      <alignment horizontal="left" vertical="center" wrapText="1"/>
      <protection locked="0"/>
    </xf>
    <xf numFmtId="9" fontId="39" fillId="5" borderId="1" xfId="0" applyNumberFormat="1" applyFont="1" applyFill="1" applyBorder="1" applyAlignment="1" applyProtection="1">
      <alignment horizontal="left" vertical="center" wrapText="1"/>
    </xf>
    <xf numFmtId="2" fontId="46" fillId="0" borderId="0" xfId="0" applyNumberFormat="1" applyFont="1" applyFill="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218" fillId="0" borderId="0" xfId="0" applyFont="1" applyFill="1" applyAlignment="1" applyProtection="1">
      <alignment horizontal="left" vertical="center"/>
      <protection locked="0"/>
    </xf>
    <xf numFmtId="0" fontId="92" fillId="2" borderId="26"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257" fillId="6" borderId="0" xfId="16" applyNumberFormat="1" applyFill="1"/>
    <xf numFmtId="0" fontId="257" fillId="0" borderId="0" xfId="16" applyNumberFormat="1"/>
    <xf numFmtId="0" fontId="0" fillId="6" borderId="0" xfId="0" applyFill="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222"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57" fillId="0" borderId="0" xfId="16" applyNumberFormat="1"/>
    <xf numFmtId="0" fontId="177" fillId="0" borderId="7" xfId="0" applyFont="1" applyFill="1" applyBorder="1" applyAlignment="1" applyProtection="1">
      <alignment horizontal="left" vertical="center" wrapText="1"/>
      <protection locked="0"/>
    </xf>
    <xf numFmtId="0" fontId="257" fillId="0" borderId="0" xfId="16"/>
    <xf numFmtId="0" fontId="46" fillId="5" borderId="18" xfId="0" applyFont="1" applyFill="1" applyBorder="1" applyAlignment="1" applyProtection="1">
      <alignment horizontal="left" vertical="center" textRotation="255" wrapText="1"/>
    </xf>
    <xf numFmtId="0" fontId="177" fillId="0" borderId="3" xfId="0" applyFont="1" applyFill="1" applyBorder="1" applyAlignment="1" applyProtection="1">
      <alignment horizontal="left" vertical="center" wrapText="1"/>
      <protection locked="0"/>
    </xf>
    <xf numFmtId="0" fontId="222"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7">
    <cellStyle name="常规" xfId="0" builtinId="0"/>
    <cellStyle name="常规 10" xfId="15"/>
    <cellStyle name="常规 11" xfId="16"/>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5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_rels/drawing9.xml.rels><?xml version="1.0" encoding="UTF-8" standalone="yes"?>
<Relationships xmlns="http://schemas.openxmlformats.org/package/2006/relationships"><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194238</xdr:colOff>
      <xdr:row>80</xdr:row>
      <xdr:rowOff>150649</xdr:rowOff>
    </xdr:to>
    <xdr:pic>
      <xdr:nvPicPr>
        <xdr:cNvPr id="2" name="图片 1"/>
        <xdr:cNvPicPr>
          <a:picLocks noChangeAspect="1"/>
        </xdr:cNvPicPr>
      </xdr:nvPicPr>
      <xdr:blipFill>
        <a:blip xmlns:r="http://schemas.openxmlformats.org/officeDocument/2006/relationships" r:embed="rId1"/>
        <a:stretch>
          <a:fillRect/>
        </a:stretch>
      </xdr:blipFill>
      <xdr:spPr>
        <a:xfrm>
          <a:off x="16383000" y="11542059"/>
          <a:ext cx="5942857" cy="5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30480</xdr:rowOff>
    </xdr:from>
    <xdr:to>
      <xdr:col>7</xdr:col>
      <xdr:colOff>321332</xdr:colOff>
      <xdr:row>53</xdr:row>
      <xdr:rowOff>69317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779520"/>
          <a:ext cx="8992892" cy="6256757"/>
        </a:xfrm>
        <a:prstGeom prst="rect">
          <a:avLst/>
        </a:prstGeom>
      </xdr:spPr>
    </xdr:pic>
    <xdr:clientData/>
  </xdr:twoCellAnchor>
  <xdr:twoCellAnchor>
    <xdr:from>
      <xdr:col>39</xdr:col>
      <xdr:colOff>274320</xdr:colOff>
      <xdr:row>19</xdr:row>
      <xdr:rowOff>152400</xdr:rowOff>
    </xdr:from>
    <xdr:to>
      <xdr:col>48</xdr:col>
      <xdr:colOff>335280</xdr:colOff>
      <xdr:row>41</xdr:row>
      <xdr:rowOff>160020</xdr:rowOff>
    </xdr:to>
    <xdr:pic>
      <xdr:nvPicPr>
        <xdr:cNvPr id="4" name="图片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09040" y="3627120"/>
          <a:ext cx="5547360" cy="403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xdr:row>
      <xdr:rowOff>167640</xdr:rowOff>
    </xdr:from>
    <xdr:to>
      <xdr:col>9</xdr:col>
      <xdr:colOff>28884</xdr:colOff>
      <xdr:row>46</xdr:row>
      <xdr:rowOff>88803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3733800"/>
          <a:ext cx="9919644" cy="5041803"/>
        </a:xfrm>
        <a:prstGeom prst="rect">
          <a:avLst/>
        </a:prstGeom>
      </xdr:spPr>
    </xdr:pic>
    <xdr:clientData/>
  </xdr:twoCellAnchor>
  <xdr:twoCellAnchor editAs="oneCell">
    <xdr:from>
      <xdr:col>0</xdr:col>
      <xdr:colOff>0</xdr:colOff>
      <xdr:row>32</xdr:row>
      <xdr:rowOff>133548</xdr:rowOff>
    </xdr:from>
    <xdr:to>
      <xdr:col>4</xdr:col>
      <xdr:colOff>711101</xdr:colOff>
      <xdr:row>53</xdr:row>
      <xdr:rowOff>103951</xdr:rowOff>
    </xdr:to>
    <xdr:pic>
      <xdr:nvPicPr>
        <xdr:cNvPr id="7" name="图片 6"/>
        <xdr:cNvPicPr>
          <a:picLocks noChangeAspect="1"/>
        </xdr:cNvPicPr>
      </xdr:nvPicPr>
      <xdr:blipFill>
        <a:blip xmlns:r="http://schemas.openxmlformats.org/officeDocument/2006/relationships" r:embed="rId4"/>
        <a:stretch>
          <a:fillRect/>
        </a:stretch>
      </xdr:blipFill>
      <xdr:spPr>
        <a:xfrm>
          <a:off x="0" y="6298128"/>
          <a:ext cx="6342281" cy="3810883"/>
        </a:xfrm>
        <a:prstGeom prst="rect">
          <a:avLst/>
        </a:prstGeom>
      </xdr:spPr>
    </xdr:pic>
    <xdr:clientData/>
  </xdr:twoCellAnchor>
  <xdr:twoCellAnchor editAs="oneCell">
    <xdr:from>
      <xdr:col>0</xdr:col>
      <xdr:colOff>0</xdr:colOff>
      <xdr:row>56</xdr:row>
      <xdr:rowOff>0</xdr:rowOff>
    </xdr:from>
    <xdr:to>
      <xdr:col>20</xdr:col>
      <xdr:colOff>70306</xdr:colOff>
      <xdr:row>67</xdr:row>
      <xdr:rowOff>169272</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0553700"/>
          <a:ext cx="16666666" cy="2180952"/>
        </a:xfrm>
        <a:prstGeom prst="rect">
          <a:avLst/>
        </a:prstGeom>
      </xdr:spPr>
    </xdr:pic>
    <xdr:clientData/>
  </xdr:twoCellAnchor>
  <xdr:twoCellAnchor editAs="oneCell">
    <xdr:from>
      <xdr:col>0</xdr:col>
      <xdr:colOff>0</xdr:colOff>
      <xdr:row>68</xdr:row>
      <xdr:rowOff>0</xdr:rowOff>
    </xdr:from>
    <xdr:to>
      <xdr:col>20</xdr:col>
      <xdr:colOff>346497</xdr:colOff>
      <xdr:row>79</xdr:row>
      <xdr:rowOff>102606</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2748260"/>
          <a:ext cx="16942857" cy="2114286"/>
        </a:xfrm>
        <a:prstGeom prst="rect">
          <a:avLst/>
        </a:prstGeom>
      </xdr:spPr>
    </xdr:pic>
    <xdr:clientData/>
  </xdr:twoCellAnchor>
  <xdr:twoCellAnchor editAs="oneCell">
    <xdr:from>
      <xdr:col>0</xdr:col>
      <xdr:colOff>0</xdr:colOff>
      <xdr:row>80</xdr:row>
      <xdr:rowOff>0</xdr:rowOff>
    </xdr:from>
    <xdr:to>
      <xdr:col>19</xdr:col>
      <xdr:colOff>537049</xdr:colOff>
      <xdr:row>91</xdr:row>
      <xdr:rowOff>83558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4942820"/>
          <a:ext cx="16523809" cy="20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18019</xdr:colOff>
      <xdr:row>10</xdr:row>
      <xdr:rowOff>66452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19" cy="1780952"/>
        </a:xfrm>
        <a:prstGeom prst="rect">
          <a:avLst/>
        </a:prstGeom>
      </xdr:spPr>
    </xdr:pic>
    <xdr:clientData/>
  </xdr:twoCellAnchor>
  <xdr:twoCellAnchor editAs="oneCell">
    <xdr:from>
      <xdr:col>0</xdr:col>
      <xdr:colOff>9525</xdr:colOff>
      <xdr:row>9</xdr:row>
      <xdr:rowOff>161925</xdr:rowOff>
    </xdr:from>
    <xdr:to>
      <xdr:col>13</xdr:col>
      <xdr:colOff>227458</xdr:colOff>
      <xdr:row>18</xdr:row>
      <xdr:rowOff>66494</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1704975"/>
          <a:ext cx="9133333" cy="1447619"/>
        </a:xfrm>
        <a:prstGeom prst="rect">
          <a:avLst/>
        </a:prstGeom>
      </xdr:spPr>
    </xdr:pic>
    <xdr:clientData/>
  </xdr:twoCellAnchor>
  <xdr:twoCellAnchor editAs="oneCell">
    <xdr:from>
      <xdr:col>0</xdr:col>
      <xdr:colOff>0</xdr:colOff>
      <xdr:row>21</xdr:row>
      <xdr:rowOff>102220</xdr:rowOff>
    </xdr:from>
    <xdr:to>
      <xdr:col>10</xdr:col>
      <xdr:colOff>551261</xdr:colOff>
      <xdr:row>28</xdr:row>
      <xdr:rowOff>66488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02670"/>
          <a:ext cx="7409261" cy="1164418"/>
        </a:xfrm>
        <a:prstGeom prst="rect">
          <a:avLst/>
        </a:prstGeom>
      </xdr:spPr>
    </xdr:pic>
    <xdr:clientData/>
  </xdr:twoCellAnchor>
  <xdr:twoCellAnchor editAs="oneCell">
    <xdr:from>
      <xdr:col>0</xdr:col>
      <xdr:colOff>0</xdr:colOff>
      <xdr:row>30</xdr:row>
      <xdr:rowOff>0</xdr:rowOff>
    </xdr:from>
    <xdr:to>
      <xdr:col>13</xdr:col>
      <xdr:colOff>370314</xdr:colOff>
      <xdr:row>56</xdr:row>
      <xdr:rowOff>18490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0"/>
          <a:ext cx="9285714" cy="4476190"/>
        </a:xfrm>
        <a:prstGeom prst="rect">
          <a:avLst/>
        </a:prstGeom>
      </xdr:spPr>
    </xdr:pic>
    <xdr:clientData/>
  </xdr:twoCellAnchor>
  <xdr:twoCellAnchor editAs="oneCell">
    <xdr:from>
      <xdr:col>6</xdr:col>
      <xdr:colOff>295275</xdr:colOff>
      <xdr:row>9</xdr:row>
      <xdr:rowOff>142875</xdr:rowOff>
    </xdr:from>
    <xdr:to>
      <xdr:col>15</xdr:col>
      <xdr:colOff>275456</xdr:colOff>
      <xdr:row>26</xdr:row>
      <xdr:rowOff>152034</xdr:rowOff>
    </xdr:to>
    <xdr:pic>
      <xdr:nvPicPr>
        <xdr:cNvPr id="6" name="图片 5"/>
        <xdr:cNvPicPr>
          <a:picLocks noChangeAspect="1"/>
        </xdr:cNvPicPr>
      </xdr:nvPicPr>
      <xdr:blipFill>
        <a:blip xmlns:r="http://schemas.openxmlformats.org/officeDocument/2006/relationships" r:embed="rId5"/>
        <a:stretch>
          <a:fillRect/>
        </a:stretch>
      </xdr:blipFill>
      <xdr:spPr>
        <a:xfrm>
          <a:off x="4410075" y="1685925"/>
          <a:ext cx="6152381" cy="2923809"/>
        </a:xfrm>
        <a:prstGeom prst="rect">
          <a:avLst/>
        </a:prstGeom>
      </xdr:spPr>
    </xdr:pic>
    <xdr:clientData/>
  </xdr:twoCellAnchor>
  <xdr:twoCellAnchor editAs="oneCell">
    <xdr:from>
      <xdr:col>9</xdr:col>
      <xdr:colOff>85725</xdr:colOff>
      <xdr:row>18</xdr:row>
      <xdr:rowOff>161925</xdr:rowOff>
    </xdr:from>
    <xdr:to>
      <xdr:col>18</xdr:col>
      <xdr:colOff>265906</xdr:colOff>
      <xdr:row>42</xdr:row>
      <xdr:rowOff>132839</xdr:rowOff>
    </xdr:to>
    <xdr:pic>
      <xdr:nvPicPr>
        <xdr:cNvPr id="7" name="图片 6"/>
        <xdr:cNvPicPr>
          <a:picLocks noChangeAspect="1"/>
        </xdr:cNvPicPr>
      </xdr:nvPicPr>
      <xdr:blipFill>
        <a:blip xmlns:r="http://schemas.openxmlformats.org/officeDocument/2006/relationships" r:embed="rId6"/>
        <a:stretch>
          <a:fillRect/>
        </a:stretch>
      </xdr:blipFill>
      <xdr:spPr>
        <a:xfrm>
          <a:off x="6257925" y="3248025"/>
          <a:ext cx="6352381" cy="40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84514</xdr:colOff>
      <xdr:row>27</xdr:row>
      <xdr:rowOff>85136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714"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150648</xdr:rowOff>
    </xdr:to>
    <xdr:pic>
      <xdr:nvPicPr>
        <xdr:cNvPr id="2" name="图片 1"/>
        <xdr:cNvPicPr>
          <a:picLocks noChangeAspect="1"/>
        </xdr:cNvPicPr>
      </xdr:nvPicPr>
      <xdr:blipFill>
        <a:blip xmlns:r="http://schemas.openxmlformats.org/officeDocument/2006/relationships" r:embed="rId1"/>
        <a:stretch>
          <a:fillRect/>
        </a:stretch>
      </xdr:blipFill>
      <xdr:spPr>
        <a:xfrm>
          <a:off x="16427263" y="11565591"/>
          <a:ext cx="5922126" cy="50252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103562</xdr:colOff>
      <xdr:row>18</xdr:row>
      <xdr:rowOff>56757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04762" cy="3142857"/>
        </a:xfrm>
        <a:prstGeom prst="rect">
          <a:avLst/>
        </a:prstGeom>
      </xdr:spPr>
    </xdr:pic>
    <xdr:clientData/>
  </xdr:twoCellAnchor>
  <xdr:twoCellAnchor editAs="oneCell">
    <xdr:from>
      <xdr:col>0</xdr:col>
      <xdr:colOff>0</xdr:colOff>
      <xdr:row>19</xdr:row>
      <xdr:rowOff>66675</xdr:rowOff>
    </xdr:from>
    <xdr:to>
      <xdr:col>14</xdr:col>
      <xdr:colOff>194693</xdr:colOff>
      <xdr:row>38</xdr:row>
      <xdr:rowOff>9117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24225"/>
          <a:ext cx="9795893" cy="3199992"/>
        </a:xfrm>
        <a:prstGeom prst="rect">
          <a:avLst/>
        </a:prstGeom>
      </xdr:spPr>
    </xdr:pic>
    <xdr:clientData/>
  </xdr:twoCellAnchor>
  <xdr:twoCellAnchor editAs="oneCell">
    <xdr:from>
      <xdr:col>0</xdr:col>
      <xdr:colOff>0</xdr:colOff>
      <xdr:row>39</xdr:row>
      <xdr:rowOff>0</xdr:rowOff>
    </xdr:from>
    <xdr:to>
      <xdr:col>14</xdr:col>
      <xdr:colOff>36895</xdr:colOff>
      <xdr:row>48</xdr:row>
      <xdr:rowOff>66474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9638095" cy="1609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40</xdr:row>
      <xdr:rowOff>38100</xdr:rowOff>
    </xdr:from>
    <xdr:to>
      <xdr:col>5</xdr:col>
      <xdr:colOff>238126</xdr:colOff>
      <xdr:row>59</xdr:row>
      <xdr:rowOff>137942</xdr:rowOff>
    </xdr:to>
    <xdr:pic>
      <xdr:nvPicPr>
        <xdr:cNvPr id="2" name="图片 1">
          <a:extLst>
            <a:ext uri="{FF2B5EF4-FFF2-40B4-BE49-F238E27FC236}">
              <a16:creationId xmlns:a16="http://schemas.microsoft.com/office/drawing/2014/main" xmlns="" id="{CB57895E-4286-46A7-8C3B-D3DE7E24A03F}"/>
            </a:ext>
          </a:extLst>
        </xdr:cNvPr>
        <xdr:cNvPicPr>
          <a:picLocks noChangeAspect="1"/>
        </xdr:cNvPicPr>
      </xdr:nvPicPr>
      <xdr:blipFill>
        <a:blip xmlns:r="http://schemas.openxmlformats.org/officeDocument/2006/relationships" r:embed="rId1"/>
        <a:stretch>
          <a:fillRect/>
        </a:stretch>
      </xdr:blipFill>
      <xdr:spPr>
        <a:xfrm>
          <a:off x="1" y="7277100"/>
          <a:ext cx="5581650" cy="3538367"/>
        </a:xfrm>
        <a:prstGeom prst="rect">
          <a:avLst/>
        </a:prstGeom>
      </xdr:spPr>
    </xdr:pic>
    <xdr:clientData/>
  </xdr:twoCellAnchor>
  <xdr:twoCellAnchor editAs="oneCell">
    <xdr:from>
      <xdr:col>0</xdr:col>
      <xdr:colOff>0</xdr:colOff>
      <xdr:row>60</xdr:row>
      <xdr:rowOff>0</xdr:rowOff>
    </xdr:from>
    <xdr:to>
      <xdr:col>13</xdr:col>
      <xdr:colOff>350913</xdr:colOff>
      <xdr:row>80</xdr:row>
      <xdr:rowOff>75738</xdr:rowOff>
    </xdr:to>
    <xdr:pic>
      <xdr:nvPicPr>
        <xdr:cNvPr id="3" name="图片 2">
          <a:extLst>
            <a:ext uri="{FF2B5EF4-FFF2-40B4-BE49-F238E27FC236}">
              <a16:creationId xmlns:a16="http://schemas.microsoft.com/office/drawing/2014/main" xmlns="" id="{B10A7D39-4CDC-45EE-BC87-C947F48BAE5F}"/>
            </a:ext>
          </a:extLst>
        </xdr:cNvPr>
        <xdr:cNvPicPr>
          <a:picLocks noChangeAspect="1"/>
        </xdr:cNvPicPr>
      </xdr:nvPicPr>
      <xdr:blipFill>
        <a:blip xmlns:r="http://schemas.openxmlformats.org/officeDocument/2006/relationships" r:embed="rId2"/>
        <a:stretch>
          <a:fillRect/>
        </a:stretch>
      </xdr:blipFill>
      <xdr:spPr>
        <a:xfrm>
          <a:off x="0" y="10858500"/>
          <a:ext cx="12095238" cy="3695238"/>
        </a:xfrm>
        <a:prstGeom prst="rect">
          <a:avLst/>
        </a:prstGeom>
      </xdr:spPr>
    </xdr:pic>
    <xdr:clientData/>
  </xdr:twoCellAnchor>
  <xdr:twoCellAnchor editAs="oneCell">
    <xdr:from>
      <xdr:col>0</xdr:col>
      <xdr:colOff>0</xdr:colOff>
      <xdr:row>81</xdr:row>
      <xdr:rowOff>0</xdr:rowOff>
    </xdr:from>
    <xdr:to>
      <xdr:col>13</xdr:col>
      <xdr:colOff>160437</xdr:colOff>
      <xdr:row>112</xdr:row>
      <xdr:rowOff>56442</xdr:rowOff>
    </xdr:to>
    <xdr:pic>
      <xdr:nvPicPr>
        <xdr:cNvPr id="4" name="图片 3">
          <a:extLst>
            <a:ext uri="{FF2B5EF4-FFF2-40B4-BE49-F238E27FC236}">
              <a16:creationId xmlns:a16="http://schemas.microsoft.com/office/drawing/2014/main" xmlns="" id="{115272FF-B94E-4D0A-AEDF-6CCFA6228F1D}"/>
            </a:ext>
          </a:extLst>
        </xdr:cNvPr>
        <xdr:cNvPicPr>
          <a:picLocks noChangeAspect="1"/>
        </xdr:cNvPicPr>
      </xdr:nvPicPr>
      <xdr:blipFill>
        <a:blip xmlns:r="http://schemas.openxmlformats.org/officeDocument/2006/relationships" r:embed="rId3"/>
        <a:stretch>
          <a:fillRect/>
        </a:stretch>
      </xdr:blipFill>
      <xdr:spPr>
        <a:xfrm>
          <a:off x="0" y="14658975"/>
          <a:ext cx="11904762" cy="5666667"/>
        </a:xfrm>
        <a:prstGeom prst="rect">
          <a:avLst/>
        </a:prstGeom>
      </xdr:spPr>
    </xdr:pic>
    <xdr:clientData/>
  </xdr:twoCellAnchor>
  <xdr:twoCellAnchor editAs="oneCell">
    <xdr:from>
      <xdr:col>0</xdr:col>
      <xdr:colOff>0</xdr:colOff>
      <xdr:row>112</xdr:row>
      <xdr:rowOff>47625</xdr:rowOff>
    </xdr:from>
    <xdr:to>
      <xdr:col>13</xdr:col>
      <xdr:colOff>103294</xdr:colOff>
      <xdr:row>140</xdr:row>
      <xdr:rowOff>170801</xdr:rowOff>
    </xdr:to>
    <xdr:pic>
      <xdr:nvPicPr>
        <xdr:cNvPr id="5" name="图片 4">
          <a:extLst>
            <a:ext uri="{FF2B5EF4-FFF2-40B4-BE49-F238E27FC236}">
              <a16:creationId xmlns:a16="http://schemas.microsoft.com/office/drawing/2014/main" xmlns="" id="{5314771F-FA86-4F3D-A421-9093E56EFE00}"/>
            </a:ext>
          </a:extLst>
        </xdr:cNvPr>
        <xdr:cNvPicPr>
          <a:picLocks noChangeAspect="1"/>
        </xdr:cNvPicPr>
      </xdr:nvPicPr>
      <xdr:blipFill>
        <a:blip xmlns:r="http://schemas.openxmlformats.org/officeDocument/2006/relationships" r:embed="rId4"/>
        <a:stretch>
          <a:fillRect/>
        </a:stretch>
      </xdr:blipFill>
      <xdr:spPr>
        <a:xfrm>
          <a:off x="0" y="20316825"/>
          <a:ext cx="11847619" cy="51904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a16="http://schemas.microsoft.com/office/drawing/2014/main" xmlns="" id="{00000000-0008-0000-17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a16="http://schemas.microsoft.com/office/drawing/2014/main" xmlns="" id="{00000000-0008-0000-17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xml"/><Relationship Id="rId1" Type="http://schemas.openxmlformats.org/officeDocument/2006/relationships/printerSettings" Target="../printerSettings/printerSettings23.bin"/><Relationship Id="rId4"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2024年9月23日</v>
      </c>
    </row>
    <row r="10" spans="1:2">
      <c r="A10" s="1210" t="s">
        <v>1103</v>
      </c>
      <c r="B10" s="1197" t="str">
        <f>'预评函-1'!A13</f>
        <v>本次估价的“房地产价值”是指在正常市场情况下，在价值时点2024年9月23日，估价对象规划用途为，假定未设立法定优先受偿款下的房地产市场价值。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6.2" thickBot="1">
      <c r="A15" s="1211" t="s">
        <v>1108</v>
      </c>
      <c r="B15" s="1198" t="str">
        <f>'预评函-1'!A18</f>
        <v>本次评估采用的主估价方法为比较法和比较法。</v>
      </c>
    </row>
    <row r="16" spans="1:2" ht="16.2"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0</v>
      </c>
    </row>
    <row r="19" spans="1:2">
      <c r="A19" s="1210" t="s">
        <v>1112</v>
      </c>
      <c r="B19" s="1197" t="e">
        <f ca="1">'预评函-2（1）'!D7</f>
        <v>#REF!</v>
      </c>
    </row>
    <row r="20" spans="1:2">
      <c r="A20" s="1210" t="s">
        <v>1150</v>
      </c>
      <c r="B20" s="1197" t="str">
        <f>'预评函-2（1）'!C7</f>
        <v>总价（元）</v>
      </c>
    </row>
    <row r="21" spans="1:2">
      <c r="A21" s="1210" t="s">
        <v>1113</v>
      </c>
      <c r="B21" s="1197" t="e">
        <f ca="1">'预评函-2（1）'!D9</f>
        <v>#REF!</v>
      </c>
    </row>
    <row r="22" spans="1:2">
      <c r="A22" s="1210" t="s">
        <v>1114</v>
      </c>
      <c r="B22" s="1197" t="e">
        <f ca="1">'预评函-2（1）'!D8</f>
        <v>#REF!</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e">
        <f ca="1">'预评函-2（1）'!D15</f>
        <v>#REF!</v>
      </c>
    </row>
    <row r="30" spans="1:2">
      <c r="A30" s="1210" t="s">
        <v>1120</v>
      </c>
      <c r="B30" s="1197" t="e">
        <f ca="1">'预评函-2（1）'!D16</f>
        <v>#REF!</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e">
        <f ca="1">'预评函-2（1）'!D23</f>
        <v>#REF!</v>
      </c>
    </row>
    <row r="35" spans="1:2">
      <c r="A35" s="1210" t="s">
        <v>1125</v>
      </c>
      <c r="B35" s="1197" t="e">
        <f>'预评函-2（1）'!D22</f>
        <v>#VALUE!</v>
      </c>
    </row>
    <row r="36" spans="1:2">
      <c r="A36" s="1210" t="s">
        <v>1126</v>
      </c>
      <c r="B36" s="1197">
        <f>'预评函-2（2）'!C4</f>
        <v>0</v>
      </c>
    </row>
    <row r="37" spans="1:2">
      <c r="A37" s="1210" t="s">
        <v>1127</v>
      </c>
      <c r="B37" s="1197" t="e">
        <f ca="1">'预评函-2（2）'!D4</f>
        <v>#REF!</v>
      </c>
    </row>
    <row r="38" spans="1:2">
      <c r="A38" s="1210" t="s">
        <v>1128</v>
      </c>
      <c r="B38" s="1197" t="e">
        <f ca="1">'预评函-2（2）'!E4</f>
        <v>#REF!</v>
      </c>
    </row>
    <row r="39" spans="1:2">
      <c r="A39" s="1210" t="s">
        <v>1129</v>
      </c>
      <c r="B39" s="1197" t="e">
        <f ca="1">'预评函-2（2）'!D5</f>
        <v>#REF!</v>
      </c>
    </row>
    <row r="40" spans="1:2">
      <c r="A40" s="1210" t="s">
        <v>1130</v>
      </c>
      <c r="B40" s="1197" t="e">
        <f ca="1">'预评函-2（2）'!F4</f>
        <v>#REF!</v>
      </c>
    </row>
    <row r="41" spans="1:2">
      <c r="A41" s="1210" t="s">
        <v>1131</v>
      </c>
      <c r="B41" s="1197" t="e">
        <f ca="1">'预评函-2（2）'!G4</f>
        <v>#REF!</v>
      </c>
    </row>
    <row r="42" spans="1:2" s="1207" customFormat="1" ht="16.2" thickBot="1">
      <c r="A42" s="1211" t="s">
        <v>1132</v>
      </c>
      <c r="B42" s="1199" t="e">
        <f ca="1">'预评函-2（2）'!F5</f>
        <v>#REF!</v>
      </c>
    </row>
    <row r="43" spans="1:2" ht="16.2"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f>'预评函-3'!A4</f>
        <v>0</v>
      </c>
    </row>
    <row r="53" spans="1:2">
      <c r="A53" s="1210" t="s">
        <v>1142</v>
      </c>
      <c r="B53" s="1197">
        <f>'预评函-3'!B4</f>
        <v>0</v>
      </c>
    </row>
    <row r="54" spans="1:2">
      <c r="A54" s="1210" t="s">
        <v>1143</v>
      </c>
      <c r="B54" s="1201">
        <f>'预评函-3'!A5</f>
        <v>0</v>
      </c>
    </row>
    <row r="55" spans="1:2" s="1207" customFormat="1" ht="16.2" thickBot="1">
      <c r="A55" s="1211" t="s">
        <v>1144</v>
      </c>
      <c r="B55" s="1199">
        <f>'预评函-3'!B5</f>
        <v>0</v>
      </c>
    </row>
    <row r="56" spans="1:2" ht="16.2" thickTop="1">
      <c r="A56" s="1213" t="s">
        <v>1153</v>
      </c>
      <c r="B56" s="1197" t="str">
        <f>'预评函-2（1）'!B15</f>
        <v>3.房地产抵押价值</v>
      </c>
    </row>
    <row r="57" spans="1:2">
      <c r="A57" s="1213" t="s">
        <v>1154</v>
      </c>
      <c r="B57" s="1197" t="str">
        <f>'预评函-2（1）'!B18</f>
        <v>——</v>
      </c>
    </row>
    <row r="58" spans="1:2" s="1207" customFormat="1" ht="16.2" thickBot="1">
      <c r="A58" s="1214" t="s">
        <v>1155</v>
      </c>
      <c r="B58" s="1198" t="str">
        <f>'预评函-2（1）'!B21</f>
        <v>——</v>
      </c>
    </row>
    <row r="59" spans="1:2" ht="16.2"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31.2">
      <c r="A62" s="1213" t="s">
        <v>1243</v>
      </c>
      <c r="B62" s="1197" t="e">
        <f ca="1">'预评函-2（1）'!D38</f>
        <v>#REF!</v>
      </c>
    </row>
    <row r="63" spans="1:2" s="1209" customFormat="1" ht="31.2">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6.2" thickBot="1">
      <c r="A67" s="1214" t="s">
        <v>1170</v>
      </c>
      <c r="B67" s="1198" t="str">
        <f>'预评函-2（2）'!A12</f>
        <v>——</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14" sqref="D14"/>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10937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8"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8" thickTop="1">
      <c r="A2" s="1427" t="s">
        <v>1529</v>
      </c>
      <c r="B2" s="2594"/>
      <c r="C2" s="2893" t="s">
        <v>1530</v>
      </c>
      <c r="D2" s="2594">
        <v>45558</v>
      </c>
      <c r="E2" s="824"/>
      <c r="F2" s="824"/>
      <c r="G2" s="1192"/>
      <c r="H2" s="2905"/>
    </row>
    <row r="3" spans="1:17" ht="13.8" thickBot="1">
      <c r="A3" s="2595" t="s">
        <v>1531</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1532</v>
      </c>
      <c r="B4" s="1428" t="s">
        <v>2728</v>
      </c>
      <c r="C4" s="2894" t="s">
        <v>1533</v>
      </c>
      <c r="D4" s="1429" t="s">
        <v>2893</v>
      </c>
      <c r="E4" s="824"/>
      <c r="F4" s="824"/>
      <c r="G4" s="1192"/>
    </row>
    <row r="5" spans="1:17" ht="24">
      <c r="A5" s="1430" t="s">
        <v>1534</v>
      </c>
      <c r="B5" s="1431" t="s">
        <v>2729</v>
      </c>
      <c r="C5" s="2895" t="s">
        <v>1535</v>
      </c>
      <c r="D5" s="1433" t="s">
        <v>2894</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2895</v>
      </c>
      <c r="C6" s="2600" t="s">
        <v>2730</v>
      </c>
      <c r="D6" s="2601" t="s">
        <v>1538</v>
      </c>
      <c r="E6" s="811"/>
      <c r="F6" s="811"/>
      <c r="G6" s="830"/>
      <c r="I6" s="800" t="str">
        <f>IF(COUNTIF(B5,"*上海银行*"),"上海银行","")</f>
        <v/>
      </c>
      <c r="J6" s="800"/>
      <c r="K6" s="2923"/>
      <c r="L6" s="2923"/>
      <c r="M6" s="2923"/>
      <c r="N6" s="800"/>
      <c r="O6" s="800"/>
      <c r="P6" s="800"/>
      <c r="Q6" s="800"/>
    </row>
    <row r="7" spans="1:17" ht="13.8" thickBot="1">
      <c r="A7" s="2898" t="s">
        <v>1539</v>
      </c>
      <c r="B7" s="2602" t="s">
        <v>2896</v>
      </c>
      <c r="C7" s="1525" t="str">
        <f>IF(B7="自然人","姓名","名称")</f>
        <v>名称</v>
      </c>
      <c r="D7" s="1438" t="s">
        <v>2729</v>
      </c>
      <c r="E7" s="825"/>
      <c r="F7" s="825"/>
      <c r="G7" s="1193"/>
    </row>
    <row r="8" spans="1:17" ht="13.8" thickTop="1">
      <c r="A8" s="3265" t="s">
        <v>1540</v>
      </c>
      <c r="B8" s="1439" t="s">
        <v>1541</v>
      </c>
      <c r="C8" s="3277"/>
      <c r="D8" s="3278"/>
      <c r="E8" s="2603" t="s">
        <v>1542</v>
      </c>
      <c r="F8" s="2604" t="s">
        <v>1543</v>
      </c>
      <c r="G8" s="2605" t="str">
        <f>C6</f>
        <v>XX</v>
      </c>
    </row>
    <row r="9" spans="1:17">
      <c r="A9" s="3265"/>
      <c r="B9" s="259" t="s">
        <v>1544</v>
      </c>
      <c r="C9" s="1431"/>
      <c r="D9" s="1440"/>
      <c r="E9" s="2899" t="s">
        <v>1545</v>
      </c>
      <c r="F9" s="2606"/>
      <c r="G9" s="2607"/>
    </row>
    <row r="10" spans="1:17" ht="13.8" thickBot="1">
      <c r="A10" s="3265"/>
      <c r="B10" s="259" t="s">
        <v>1546</v>
      </c>
      <c r="C10" s="3279"/>
      <c r="D10" s="3280"/>
      <c r="E10" s="2900" t="s">
        <v>1547</v>
      </c>
      <c r="F10" s="2608"/>
      <c r="G10" s="2609"/>
    </row>
    <row r="11" spans="1:17" ht="13.8" thickBot="1">
      <c r="A11" s="3265"/>
      <c r="B11" s="1442" t="s">
        <v>1548</v>
      </c>
      <c r="C11" s="3281"/>
      <c r="D11" s="3282"/>
      <c r="E11" s="811"/>
      <c r="F11" s="811"/>
      <c r="G11" s="830"/>
    </row>
    <row r="12" spans="1:17" ht="24.6" thickBot="1">
      <c r="A12" s="3268" t="s">
        <v>2837</v>
      </c>
      <c r="B12" s="2901" t="s">
        <v>1549</v>
      </c>
      <c r="C12" s="808"/>
      <c r="D12" s="1443" t="s">
        <v>1550</v>
      </c>
      <c r="E12" s="1444" t="s">
        <v>1551</v>
      </c>
      <c r="F12" s="1445" t="s">
        <v>1552</v>
      </c>
      <c r="G12" s="830"/>
    </row>
    <row r="13" spans="1:17" ht="21" customHeight="1" thickBot="1">
      <c r="A13" s="3269"/>
      <c r="B13" s="2902" t="s">
        <v>1553</v>
      </c>
      <c r="C13" s="809"/>
      <c r="D13" s="1446" t="s">
        <v>1554</v>
      </c>
      <c r="E13" s="1447" t="s">
        <v>1551</v>
      </c>
      <c r="F13" s="811"/>
      <c r="G13" s="830"/>
      <c r="I13" s="3254"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8" thickBot="1">
      <c r="A14" s="2610"/>
      <c r="B14" s="2916" t="s">
        <v>2838</v>
      </c>
      <c r="C14" s="2611"/>
      <c r="D14" s="811"/>
      <c r="E14" s="811"/>
      <c r="F14" s="811"/>
      <c r="G14" s="830"/>
      <c r="I14" s="3254"/>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8" thickBot="1">
      <c r="A15" s="2612"/>
      <c r="B15" s="2903" t="s">
        <v>1556</v>
      </c>
      <c r="C15" s="826"/>
      <c r="D15" s="825"/>
      <c r="E15" s="825"/>
      <c r="F15" s="825"/>
      <c r="G15" s="1193"/>
      <c r="I15" s="3254"/>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2"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83" t="s">
        <v>1561</v>
      </c>
      <c r="C17" s="3284"/>
      <c r="D17" s="3285" t="s">
        <v>1562</v>
      </c>
      <c r="E17" s="3286"/>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2"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64" t="s">
        <v>2836</v>
      </c>
      <c r="B24" s="3264"/>
      <c r="C24" s="3264"/>
      <c r="D24" s="3264"/>
      <c r="E24" s="3264"/>
      <c r="F24" s="3264"/>
      <c r="G24" s="3264"/>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4" thickTop="1" thickBot="1">
      <c r="A25" s="828" t="s">
        <v>1574</v>
      </c>
      <c r="B25" s="811"/>
      <c r="C25" s="811"/>
      <c r="D25" s="811"/>
      <c r="E25" s="811"/>
      <c r="F25" s="811"/>
      <c r="G25" s="1318"/>
      <c r="K25" s="2906"/>
    </row>
    <row r="26" spans="1:66" s="836" customFormat="1" ht="13.8"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8"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71" t="s">
        <v>1578</v>
      </c>
      <c r="D28" s="3272"/>
      <c r="E28" s="801"/>
      <c r="F28" s="803" t="s">
        <v>1578</v>
      </c>
      <c r="G28" s="801"/>
      <c r="K28" s="2906"/>
    </row>
    <row r="29" spans="1:66">
      <c r="A29" s="804" t="s">
        <v>1579</v>
      </c>
      <c r="B29" s="798"/>
      <c r="C29" s="3273" t="s">
        <v>1580</v>
      </c>
      <c r="D29" s="3274"/>
      <c r="E29" s="798"/>
      <c r="F29" s="804" t="s">
        <v>1580</v>
      </c>
      <c r="G29" s="798"/>
      <c r="K29" s="2906"/>
    </row>
    <row r="30" spans="1:66">
      <c r="A30" s="804" t="s">
        <v>1581</v>
      </c>
      <c r="B30" s="798"/>
      <c r="C30" s="3273" t="s">
        <v>1581</v>
      </c>
      <c r="D30" s="3274"/>
      <c r="E30" s="798"/>
      <c r="F30" s="804" t="s">
        <v>1582</v>
      </c>
      <c r="G30" s="798"/>
      <c r="K30" s="2906"/>
    </row>
    <row r="31" spans="1:66">
      <c r="A31" s="804" t="s">
        <v>1583</v>
      </c>
      <c r="B31" s="798"/>
      <c r="C31" s="3261" t="s">
        <v>1584</v>
      </c>
      <c r="D31" s="811"/>
      <c r="E31" s="2629" t="str">
        <f>E32&amp;" "&amp;E33&amp;" "&amp;E34&amp;" "&amp;E35</f>
        <v xml:space="preserve">   </v>
      </c>
      <c r="F31" s="804" t="s">
        <v>1585</v>
      </c>
      <c r="G31" s="798"/>
    </row>
    <row r="32" spans="1:66">
      <c r="A32" s="804" t="s">
        <v>1586</v>
      </c>
      <c r="B32" s="798"/>
      <c r="C32" s="3262"/>
      <c r="D32" s="259" t="s">
        <v>1587</v>
      </c>
      <c r="E32" s="798"/>
      <c r="F32" s="804" t="s">
        <v>1588</v>
      </c>
      <c r="G32" s="798"/>
    </row>
    <row r="33" spans="1:7" ht="24.6" thickBot="1">
      <c r="A33" s="805" t="s">
        <v>1589</v>
      </c>
      <c r="B33" s="802"/>
      <c r="C33" s="3262"/>
      <c r="D33" s="259" t="s">
        <v>1590</v>
      </c>
      <c r="E33" s="798"/>
      <c r="F33" s="804" t="s">
        <v>1591</v>
      </c>
      <c r="G33" s="798"/>
    </row>
    <row r="34" spans="1:7">
      <c r="A34" s="803" t="s">
        <v>1592</v>
      </c>
      <c r="B34" s="801"/>
      <c r="C34" s="3262"/>
      <c r="D34" s="259" t="s">
        <v>1593</v>
      </c>
      <c r="E34" s="798"/>
      <c r="F34" s="804" t="s">
        <v>1594</v>
      </c>
      <c r="G34" s="798"/>
    </row>
    <row r="35" spans="1:7" ht="13.8" thickBot="1">
      <c r="A35" s="804" t="s">
        <v>1595</v>
      </c>
      <c r="B35" s="798"/>
      <c r="C35" s="3263"/>
      <c r="D35" s="259" t="s">
        <v>1596</v>
      </c>
      <c r="E35" s="798"/>
      <c r="F35" s="805" t="s">
        <v>1597</v>
      </c>
      <c r="G35" s="2630"/>
    </row>
    <row r="36" spans="1:7">
      <c r="A36" s="804" t="s">
        <v>1549</v>
      </c>
      <c r="B36" s="798"/>
      <c r="C36" s="3273" t="s">
        <v>1598</v>
      </c>
      <c r="D36" s="3274"/>
      <c r="E36" s="798"/>
      <c r="F36" s="2631" t="s">
        <v>1599</v>
      </c>
      <c r="G36" s="801"/>
    </row>
    <row r="37" spans="1:7" ht="24.6" thickBot="1">
      <c r="A37" s="804" t="s">
        <v>1600</v>
      </c>
      <c r="B37" s="798"/>
      <c r="C37" s="3275" t="s">
        <v>1601</v>
      </c>
      <c r="D37" s="3276"/>
      <c r="E37" s="802"/>
      <c r="F37" s="1463" t="s">
        <v>1602</v>
      </c>
      <c r="G37" s="798"/>
    </row>
    <row r="38" spans="1:7" ht="13.8" thickBot="1">
      <c r="A38" s="804" t="s">
        <v>1603</v>
      </c>
      <c r="B38" s="798"/>
      <c r="C38" s="3259" t="s">
        <v>1604</v>
      </c>
      <c r="D38" s="1443" t="s">
        <v>1588</v>
      </c>
      <c r="E38" s="801"/>
      <c r="F38" s="805" t="s">
        <v>1605</v>
      </c>
      <c r="G38" s="802"/>
    </row>
    <row r="39" spans="1:7">
      <c r="A39" s="804" t="s">
        <v>1606</v>
      </c>
      <c r="B39" s="798"/>
      <c r="C39" s="3266"/>
      <c r="D39" s="259" t="s">
        <v>1595</v>
      </c>
      <c r="E39" s="798"/>
      <c r="F39" s="803" t="s">
        <v>1607</v>
      </c>
      <c r="G39" s="801"/>
    </row>
    <row r="40" spans="1:7">
      <c r="A40" s="804" t="s">
        <v>1608</v>
      </c>
      <c r="B40" s="798"/>
      <c r="C40" s="3266" t="s">
        <v>1609</v>
      </c>
      <c r="D40" s="259" t="s">
        <v>1549</v>
      </c>
      <c r="E40" s="798"/>
      <c r="F40" s="804" t="s">
        <v>1610</v>
      </c>
      <c r="G40" s="798"/>
    </row>
    <row r="41" spans="1:7" ht="24.75" customHeight="1" thickBot="1">
      <c r="A41" s="805" t="s">
        <v>1611</v>
      </c>
      <c r="B41" s="802"/>
      <c r="C41" s="3267"/>
      <c r="D41" s="1446" t="s">
        <v>1553</v>
      </c>
      <c r="E41" s="802"/>
      <c r="F41" s="805" t="s">
        <v>1612</v>
      </c>
      <c r="G41" s="802"/>
    </row>
    <row r="42" spans="1:7" ht="24">
      <c r="A42" s="806" t="s">
        <v>1613</v>
      </c>
      <c r="B42" s="2632"/>
      <c r="C42" s="3255" t="s">
        <v>1613</v>
      </c>
      <c r="D42" s="3256"/>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8" thickBot="1">
      <c r="A49" s="805" t="s">
        <v>1616</v>
      </c>
      <c r="B49" s="802"/>
      <c r="C49" s="3257" t="s">
        <v>1616</v>
      </c>
      <c r="D49" s="3258"/>
      <c r="E49" s="820"/>
      <c r="F49" s="805" t="s">
        <v>1617</v>
      </c>
      <c r="G49" s="802"/>
    </row>
    <row r="50" spans="1:66">
      <c r="A50" s="804" t="s">
        <v>1618</v>
      </c>
      <c r="B50" s="819"/>
      <c r="C50" s="3259" t="s">
        <v>1619</v>
      </c>
      <c r="D50" s="3260"/>
      <c r="E50" s="2634"/>
      <c r="F50" s="837"/>
      <c r="G50" s="838"/>
    </row>
    <row r="51" spans="1:66" ht="13.8" thickBot="1">
      <c r="A51" s="804" t="s">
        <v>1620</v>
      </c>
      <c r="B51" s="819"/>
      <c r="C51" s="3267" t="s">
        <v>1621</v>
      </c>
      <c r="D51" s="3270"/>
      <c r="E51" s="802"/>
      <c r="F51" s="811"/>
      <c r="G51" s="830"/>
    </row>
    <row r="52" spans="1:66">
      <c r="A52" s="804" t="s">
        <v>1599</v>
      </c>
      <c r="B52" s="798"/>
      <c r="C52" s="811"/>
      <c r="D52" s="811"/>
      <c r="E52" s="811"/>
      <c r="F52" s="811"/>
      <c r="G52" s="830"/>
    </row>
    <row r="53" spans="1:66" ht="24.6"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6640625" style="1" customWidth="1"/>
    <col min="4" max="7" width="9.44140625" style="1" bestFit="1" customWidth="1"/>
    <col min="8" max="13" width="9.109375" style="1" bestFit="1" customWidth="1"/>
    <col min="14" max="16384" width="9" style="1"/>
  </cols>
  <sheetData>
    <row r="1" spans="1:13" ht="15.6">
      <c r="A1" s="3287" t="s">
        <v>0</v>
      </c>
      <c r="B1" s="3287" t="s">
        <v>2</v>
      </c>
      <c r="C1" s="3287" t="s">
        <v>3</v>
      </c>
      <c r="D1" s="3288" t="s">
        <v>67</v>
      </c>
      <c r="E1" s="3288" t="s">
        <v>68</v>
      </c>
      <c r="F1" s="3288"/>
      <c r="G1" s="3288"/>
      <c r="H1" s="3288"/>
      <c r="I1" s="3288"/>
      <c r="J1" s="3288"/>
      <c r="K1" s="3288"/>
      <c r="L1" s="3288"/>
      <c r="M1" s="3288"/>
    </row>
    <row r="2" spans="1:13" ht="27" customHeight="1">
      <c r="A2" s="3287"/>
      <c r="B2" s="3287"/>
      <c r="C2" s="3287"/>
      <c r="D2" s="3288"/>
      <c r="E2" s="3288" t="s">
        <v>51</v>
      </c>
      <c r="F2" s="3288" t="s">
        <v>52</v>
      </c>
      <c r="G2" s="3288"/>
      <c r="H2" s="3288"/>
      <c r="I2" s="3288"/>
      <c r="J2" s="3288" t="s">
        <v>53</v>
      </c>
      <c r="K2" s="3288"/>
      <c r="L2" s="3288"/>
      <c r="M2" s="3288"/>
    </row>
    <row r="3" spans="1:13" ht="46.8">
      <c r="A3" s="3287"/>
      <c r="B3" s="3287"/>
      <c r="C3" s="3287"/>
      <c r="D3" s="3288"/>
      <c r="E3" s="3288"/>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8" t="s">
        <v>69</v>
      </c>
      <c r="B9" s="3288"/>
      <c r="C9" s="328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 sqref="B1"/>
    </sheetView>
  </sheetViews>
  <sheetFormatPr defaultColWidth="13.6640625" defaultRowHeight="13.2"/>
  <cols>
    <col min="1" max="1" width="20.88671875" style="2691" customWidth="1"/>
    <col min="2" max="2" width="16.6640625" style="2636" customWidth="1"/>
    <col min="3" max="3" width="18.109375" style="2677" customWidth="1"/>
    <col min="4" max="4" width="34.109375" style="2692" customWidth="1"/>
    <col min="5" max="5" width="17.6640625" style="2692" customWidth="1"/>
    <col min="6" max="6" width="15.44140625" style="2635" customWidth="1"/>
    <col min="7" max="8" width="9.109375" style="2970" customWidth="1"/>
    <col min="9" max="9" width="15" style="2677" bestFit="1" customWidth="1"/>
    <col min="10" max="14" width="8.88671875" style="2677" customWidth="1"/>
    <col min="15" max="16" width="12.33203125" style="2677" customWidth="1"/>
    <col min="17" max="17" width="8.6640625" style="2677" customWidth="1"/>
    <col min="18" max="18" width="12.44140625" style="2677" customWidth="1"/>
    <col min="19" max="19" width="8.44140625" style="2677" customWidth="1"/>
    <col min="20" max="21" width="10.88671875" style="2677" customWidth="1"/>
    <col min="22" max="23" width="12.44140625" style="2677" customWidth="1"/>
    <col min="24" max="24" width="12.109375" style="2677" customWidth="1"/>
    <col min="25" max="25" width="7.44140625" style="2677" customWidth="1"/>
    <col min="26" max="26" width="6.33203125" style="2677" customWidth="1"/>
    <col min="27" max="32" width="6.6640625" style="2677" customWidth="1"/>
    <col min="33" max="33" width="6.44140625" style="2677" customWidth="1"/>
    <col min="34" max="36" width="7.109375" style="2677" customWidth="1"/>
    <col min="37" max="41" width="8" style="2677" customWidth="1"/>
    <col min="42" max="16384" width="13.6640625" style="2636"/>
  </cols>
  <sheetData>
    <row r="1" spans="1:41" ht="18" thickBot="1">
      <c r="A1" s="2924" t="s">
        <v>1623</v>
      </c>
      <c r="B1" s="947"/>
      <c r="D1" s="2635"/>
      <c r="E1" s="2635"/>
    </row>
    <row r="2" spans="1:41" s="2639" customFormat="1" ht="15" thickBot="1">
      <c r="A2" s="2925" t="s">
        <v>1624</v>
      </c>
      <c r="B2" s="2926">
        <f>项目基本情况!D2</f>
        <v>45558</v>
      </c>
      <c r="C2" s="1685"/>
      <c r="D2" s="3289"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c r="C3" s="1685"/>
      <c r="D3" s="3290"/>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c r="C4" s="1685"/>
      <c r="D4" s="3290"/>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 thickBot="1">
      <c r="A5" s="2642" t="s">
        <v>1629</v>
      </c>
      <c r="B5" s="2643">
        <f>项目基本情况!C12</f>
        <v>0</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4" thickBot="1">
      <c r="A7" s="2973"/>
      <c r="D7" s="2974"/>
      <c r="E7" s="2974"/>
      <c r="F7" s="2971"/>
      <c r="G7" s="2971"/>
      <c r="H7" s="2971"/>
    </row>
    <row r="8" spans="1:41" s="1685" customFormat="1" ht="13.8"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4">
      <c r="A11" s="2930" t="s">
        <v>1636</v>
      </c>
      <c r="B11" s="2650"/>
      <c r="C11" s="1685"/>
      <c r="D11" s="2931" t="s">
        <v>1637</v>
      </c>
      <c r="E11" s="2651"/>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-2024</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4">
      <c r="A14" s="2932" t="s">
        <v>1644</v>
      </c>
      <c r="B14" s="2936">
        <f>IF(ISERROR(ROUND(POWER(1+B15,B11-B13)*(POWER(1+B15,B13)-1)/(POWER(1+B15,B11)-1),3)),0,ROUND(POWER(1+B15,B11-B13)*(POWER(1+B15,B13)-1)/(POWER(1+B15,B11)-1),3))</f>
        <v>0</v>
      </c>
      <c r="C14" s="1685"/>
      <c r="D14" s="2937" t="s">
        <v>1645</v>
      </c>
      <c r="E14" s="2656"/>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4">
      <c r="A15" s="2932" t="s">
        <v>1646</v>
      </c>
      <c r="B15" s="2657"/>
      <c r="C15" s="2565" t="s">
        <v>2848</v>
      </c>
      <c r="D15" s="2932" t="s">
        <v>1647</v>
      </c>
      <c r="E15" s="2938">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c r="C16" s="2565" t="s">
        <v>2849</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c r="C17" s="2565" t="s">
        <v>2850</v>
      </c>
      <c r="D17" s="2928" t="s">
        <v>1651</v>
      </c>
      <c r="E17" s="2659"/>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-5.0000000000000001E-3</v>
      </c>
      <c r="C18" s="1685"/>
      <c r="D18" s="2941" t="str">
        <f>IF(B26=0,"建安总额","在建建安")</f>
        <v>建安总额</v>
      </c>
      <c r="E18" s="2942">
        <f>ROUND(B5*E17*IF(B26=0,1,E20),0)</f>
        <v>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4.4"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4">
      <c r="A21" s="2944" t="s">
        <v>1653</v>
      </c>
      <c r="B21" s="2661"/>
      <c r="C21" s="1685"/>
      <c r="D21" s="2932" t="s">
        <v>1655</v>
      </c>
      <c r="E21" s="2664"/>
      <c r="F21" s="2675"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4">
      <c r="A22" s="2946" t="s">
        <v>1654</v>
      </c>
      <c r="B22" s="2663"/>
      <c r="C22" s="1685"/>
      <c r="D22" s="2932" t="s">
        <v>1657</v>
      </c>
      <c r="E22" s="2667"/>
      <c r="F22" s="2675"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4">
      <c r="A23" s="2947" t="s">
        <v>1656</v>
      </c>
      <c r="B23" s="2666"/>
      <c r="C23" s="1685"/>
      <c r="D23" s="2932" t="s">
        <v>1659</v>
      </c>
      <c r="E23" s="2654"/>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0</v>
      </c>
      <c r="C24" s="1685"/>
      <c r="D24" s="2939" t="s">
        <v>1661</v>
      </c>
      <c r="E24" s="2668"/>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4">
      <c r="A25" s="2950" t="s">
        <v>1660</v>
      </c>
      <c r="B25" s="2951">
        <f>B21+B23</f>
        <v>0</v>
      </c>
      <c r="C25" s="1685"/>
      <c r="D25" s="2931" t="s">
        <v>1663</v>
      </c>
      <c r="E25" s="2664"/>
      <c r="F25" s="2675" t="s">
        <v>2855</v>
      </c>
      <c r="I25" s="2970"/>
    </row>
    <row r="26" spans="1:41" ht="15" thickBot="1">
      <c r="A26" s="2948" t="s">
        <v>1662</v>
      </c>
      <c r="B26" s="2952">
        <f>B22-B23</f>
        <v>0</v>
      </c>
      <c r="D26" s="2932" t="s">
        <v>1665</v>
      </c>
      <c r="E26" s="2667"/>
      <c r="F26" s="2675" t="s">
        <v>2855</v>
      </c>
      <c r="G26" s="2971"/>
      <c r="H26" s="2971"/>
      <c r="I26" s="1685"/>
      <c r="J26" s="1685"/>
      <c r="K26" s="1685"/>
      <c r="L26" s="1685"/>
      <c r="M26" s="1685"/>
      <c r="N26" s="1685"/>
    </row>
    <row r="27" spans="1:41" ht="15" thickBot="1">
      <c r="A27" s="2953" t="s">
        <v>1664</v>
      </c>
      <c r="B27" s="2669"/>
      <c r="C27" s="1685"/>
      <c r="D27" s="2932" t="s">
        <v>1666</v>
      </c>
      <c r="E27" s="2954" t="e">
        <f ca="1">存贷款利率!G1</f>
        <v>#VALUE!</v>
      </c>
      <c r="F27" s="2665" t="s">
        <v>1667</v>
      </c>
      <c r="G27" s="2971"/>
      <c r="H27" s="2971"/>
      <c r="K27" s="1685"/>
      <c r="N27" s="1685"/>
    </row>
    <row r="28" spans="1:41" ht="15" thickBot="1">
      <c r="A28" s="947"/>
      <c r="B28" s="947"/>
      <c r="D28" s="2935" t="s">
        <v>1669</v>
      </c>
      <c r="E28" s="2671"/>
      <c r="G28" s="2971"/>
      <c r="H28" s="2971"/>
      <c r="K28" s="1685"/>
      <c r="N28" s="1685"/>
    </row>
    <row r="29" spans="1:41" ht="14.4">
      <c r="A29" s="2955" t="s">
        <v>1668</v>
      </c>
      <c r="B29" s="2670"/>
      <c r="D29" s="2937" t="s">
        <v>1670</v>
      </c>
      <c r="E29" s="2956">
        <f>E30+E31</f>
        <v>0</v>
      </c>
      <c r="F29" s="1310"/>
      <c r="G29" s="2971"/>
      <c r="H29" s="2971"/>
      <c r="K29" s="1685"/>
      <c r="N29" s="1685"/>
    </row>
    <row r="30" spans="1:41" ht="14.4">
      <c r="A30" s="2932" t="str">
        <f>IF(B29="租赁期内按合同租金","合同租金","市场租金")</f>
        <v>市场租金</v>
      </c>
      <c r="B30" s="2672"/>
      <c r="D30" s="2939" t="s">
        <v>1672</v>
      </c>
      <c r="E30" s="2673"/>
      <c r="F30" s="2958">
        <f>IF(B2&lt;DATE(2016,5,1),0,E30)</f>
        <v>0</v>
      </c>
      <c r="G30" s="2971"/>
      <c r="H30" s="2971"/>
      <c r="K30" s="1685"/>
      <c r="N30" s="1685"/>
    </row>
    <row r="31" spans="1:41" ht="14.4">
      <c r="A31" s="2932" t="s">
        <v>1671</v>
      </c>
      <c r="B31" s="2957">
        <f ca="1">存贷款利率!I1</f>
        <v>1.4999999999999999E-2</v>
      </c>
      <c r="D31" s="2939" t="s">
        <v>1674</v>
      </c>
      <c r="E31" s="2959">
        <f>E30*(E32+E33+E34)+E35</f>
        <v>0</v>
      </c>
      <c r="F31" s="1310"/>
      <c r="G31" s="2971"/>
      <c r="H31" s="2971"/>
      <c r="K31" s="1685"/>
      <c r="N31" s="1685"/>
    </row>
    <row r="32" spans="1:41" ht="14.4">
      <c r="A32" s="2932" t="s">
        <v>1673</v>
      </c>
      <c r="B32" s="2657"/>
      <c r="D32" s="2939" t="s">
        <v>1676</v>
      </c>
      <c r="E32" s="2674"/>
      <c r="F32" s="2675" t="s">
        <v>2741</v>
      </c>
      <c r="G32" s="2971"/>
      <c r="H32" s="2971"/>
      <c r="K32" s="1685"/>
      <c r="L32" s="1685"/>
      <c r="M32" s="1685"/>
      <c r="N32" s="1685"/>
    </row>
    <row r="33" spans="1:14" ht="14.4">
      <c r="A33" s="2932" t="s">
        <v>1675</v>
      </c>
      <c r="B33" s="2657"/>
      <c r="D33" s="2939" t="s">
        <v>1678</v>
      </c>
      <c r="E33" s="2673"/>
      <c r="F33" s="1309" t="s">
        <v>1679</v>
      </c>
      <c r="G33" s="2971"/>
      <c r="H33" s="2971"/>
      <c r="K33" s="1685"/>
      <c r="L33" s="1685"/>
      <c r="M33" s="1685"/>
      <c r="N33" s="1685"/>
    </row>
    <row r="34" spans="1:14" s="2677" customFormat="1" ht="14.4">
      <c r="A34" s="2932" t="s">
        <v>1677</v>
      </c>
      <c r="B34" s="2960">
        <f>收益法!J54</f>
        <v>-2024</v>
      </c>
      <c r="D34" s="2939" t="s">
        <v>1680</v>
      </c>
      <c r="E34" s="2673"/>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4.4">
      <c r="A36" s="2961" t="s">
        <v>1682</v>
      </c>
      <c r="B36" s="2962"/>
      <c r="D36" s="2963" t="s">
        <v>1685</v>
      </c>
      <c r="E36" s="2681"/>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c r="F37" s="1311" t="s">
        <v>1688</v>
      </c>
      <c r="G37" s="2971"/>
      <c r="H37" s="2971"/>
      <c r="I37" s="1685"/>
      <c r="J37" s="1685"/>
      <c r="K37" s="1685"/>
      <c r="L37" s="1685"/>
      <c r="M37" s="1685"/>
      <c r="N37" s="1685"/>
    </row>
    <row r="38" spans="1:14" s="2677" customFormat="1" ht="14.4">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4">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1" t="s">
        <v>1695</v>
      </c>
      <c r="H41" s="2971"/>
      <c r="I41" s="1685"/>
      <c r="J41" s="1685"/>
      <c r="K41" s="1685"/>
      <c r="L41" s="1685"/>
      <c r="M41" s="1685"/>
      <c r="N41" s="1685"/>
    </row>
    <row r="42" spans="1:14" ht="14.4">
      <c r="A42" s="2931" t="s">
        <v>1692</v>
      </c>
      <c r="B42" s="2682"/>
      <c r="D42" s="2685" t="s">
        <v>1697</v>
      </c>
      <c r="E42" s="2672"/>
      <c r="F42" s="1311">
        <v>30</v>
      </c>
      <c r="G42" s="2971"/>
      <c r="H42" s="2971"/>
      <c r="I42" s="1685"/>
      <c r="J42" s="1685"/>
      <c r="K42" s="1685"/>
      <c r="L42" s="1685"/>
      <c r="M42" s="1685"/>
      <c r="N42" s="1685"/>
    </row>
    <row r="43" spans="1:14" ht="14.4">
      <c r="A43" s="2932" t="s">
        <v>1696</v>
      </c>
      <c r="B43" s="2684"/>
      <c r="D43" s="2685" t="s">
        <v>1699</v>
      </c>
      <c r="E43" s="2672"/>
      <c r="F43" s="1311">
        <v>24</v>
      </c>
      <c r="G43" s="2971"/>
      <c r="H43" s="2971"/>
      <c r="I43" s="1685"/>
      <c r="J43" s="1685"/>
      <c r="K43" s="1685"/>
      <c r="L43" s="1685"/>
      <c r="M43" s="1685"/>
      <c r="N43" s="1685"/>
    </row>
    <row r="44" spans="1:14" ht="14.4">
      <c r="A44" s="2932" t="s">
        <v>1698</v>
      </c>
      <c r="B44" s="2672"/>
      <c r="D44" s="2685" t="s">
        <v>1701</v>
      </c>
      <c r="E44" s="2672"/>
      <c r="F44" s="1311">
        <v>18</v>
      </c>
      <c r="G44" s="2677"/>
      <c r="H44" s="2677"/>
      <c r="I44" s="2971"/>
      <c r="J44" s="1685"/>
      <c r="K44" s="1685"/>
      <c r="L44" s="1685"/>
      <c r="M44" s="1685"/>
      <c r="N44" s="1685"/>
    </row>
    <row r="45" spans="1:14" ht="14.4">
      <c r="A45" s="2932" t="s">
        <v>1700</v>
      </c>
      <c r="B45" s="2686"/>
      <c r="C45" s="2565" t="s">
        <v>2853</v>
      </c>
      <c r="D45" s="2685" t="s">
        <v>1703</v>
      </c>
      <c r="E45" s="2672"/>
      <c r="F45" s="1311">
        <v>12</v>
      </c>
      <c r="G45" s="2677"/>
      <c r="H45" s="2677"/>
      <c r="M45" s="1685"/>
      <c r="N45" s="1685"/>
    </row>
    <row r="46" spans="1:14" ht="14.4">
      <c r="A46" s="2932" t="s">
        <v>1702</v>
      </c>
      <c r="B46" s="2687"/>
      <c r="C46" s="2565" t="s">
        <v>2851</v>
      </c>
      <c r="D46" s="2685" t="s">
        <v>1457</v>
      </c>
      <c r="E46" s="2672"/>
      <c r="F46" s="1311">
        <v>3</v>
      </c>
      <c r="G46" s="2677"/>
      <c r="H46" s="2677"/>
      <c r="M46" s="1685"/>
      <c r="N46" s="1685"/>
    </row>
    <row r="47" spans="1:14" ht="15" thickBot="1">
      <c r="A47" s="2935" t="s">
        <v>1704</v>
      </c>
      <c r="B47" s="2688"/>
      <c r="C47" s="2565" t="s">
        <v>2852</v>
      </c>
      <c r="D47" s="2685" t="s">
        <v>1705</v>
      </c>
      <c r="E47" s="2672"/>
      <c r="F47" s="1311">
        <v>1.5</v>
      </c>
      <c r="G47" s="2677"/>
      <c r="H47" s="2677"/>
      <c r="M47" s="1685"/>
      <c r="N47" s="1685"/>
    </row>
    <row r="48" spans="1:14" ht="14.4">
      <c r="A48" s="2677"/>
      <c r="B48" s="2677"/>
      <c r="D48" s="2685" t="s">
        <v>1706</v>
      </c>
      <c r="E48" s="2672"/>
      <c r="F48" s="1311"/>
      <c r="G48" s="2677"/>
      <c r="H48" s="2677"/>
      <c r="M48" s="1685"/>
      <c r="N48" s="1685"/>
    </row>
    <row r="49" spans="1:41" ht="14.4">
      <c r="A49" s="2677"/>
      <c r="B49" s="2677"/>
      <c r="D49" s="2685" t="s">
        <v>1707</v>
      </c>
      <c r="E49" s="2672"/>
      <c r="F49" s="1311"/>
      <c r="G49" s="2677"/>
      <c r="H49" s="2677"/>
      <c r="M49" s="1685"/>
      <c r="N49" s="1685"/>
    </row>
    <row r="50" spans="1:41" ht="14.4">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3.8">
      <c r="D52" s="2971"/>
      <c r="E52" s="2971"/>
      <c r="F52" s="2971"/>
      <c r="G52" s="2971"/>
      <c r="H52" s="2971"/>
      <c r="I52" s="1685"/>
      <c r="J52" s="1685"/>
      <c r="K52" s="1685"/>
      <c r="L52" s="1685"/>
      <c r="M52" s="1685"/>
      <c r="N52" s="1685"/>
    </row>
    <row r="53" spans="1:41" s="2677" customFormat="1" ht="13.8">
      <c r="D53" s="2971"/>
      <c r="E53" s="2971"/>
      <c r="F53" s="2971"/>
      <c r="G53" s="2971"/>
      <c r="H53" s="2971"/>
      <c r="I53" s="1685"/>
      <c r="J53" s="1685"/>
      <c r="K53" s="1685"/>
      <c r="L53" s="1685"/>
      <c r="M53" s="1685"/>
      <c r="N53" s="1685"/>
    </row>
    <row r="54" spans="1:41" s="2677" customFormat="1" ht="13.8">
      <c r="D54" s="2971"/>
      <c r="E54" s="2971"/>
      <c r="F54" s="2971"/>
      <c r="G54" s="2971"/>
      <c r="H54" s="2971"/>
      <c r="I54" s="1685"/>
      <c r="J54" s="1685"/>
      <c r="K54" s="1685"/>
      <c r="L54" s="1685"/>
      <c r="M54" s="1685"/>
      <c r="N54" s="1685"/>
    </row>
    <row r="55" spans="1:41" s="2677" customFormat="1" ht="13.8">
      <c r="D55" s="2971"/>
      <c r="E55" s="2971"/>
      <c r="F55" s="2971"/>
      <c r="G55" s="2971"/>
      <c r="H55" s="2971"/>
      <c r="I55" s="1685"/>
      <c r="J55" s="1685"/>
      <c r="K55" s="1685"/>
      <c r="L55" s="1685"/>
      <c r="M55" s="1685"/>
      <c r="N55" s="1685"/>
    </row>
    <row r="56" spans="1:41" s="2677" customFormat="1" ht="13.8">
      <c r="D56" s="2971"/>
      <c r="E56" s="2971"/>
      <c r="F56" s="2971"/>
      <c r="G56" s="2971"/>
      <c r="H56" s="2971"/>
      <c r="I56" s="1685"/>
      <c r="J56" s="1685"/>
      <c r="K56" s="1685"/>
      <c r="L56" s="1685"/>
      <c r="M56" s="1685"/>
      <c r="N56" s="1685"/>
    </row>
    <row r="57" spans="1:41" s="2677" customFormat="1" ht="13.8">
      <c r="D57" s="2971"/>
      <c r="E57" s="2971"/>
      <c r="F57" s="2971"/>
      <c r="G57" s="2971"/>
      <c r="H57" s="2971"/>
      <c r="I57" s="1685"/>
      <c r="J57" s="1685"/>
      <c r="K57" s="1685"/>
      <c r="L57" s="1685"/>
      <c r="M57" s="1685"/>
      <c r="N57" s="1685"/>
    </row>
    <row r="58" spans="1:41" s="2677" customFormat="1" ht="13.8">
      <c r="D58" s="2971"/>
      <c r="E58" s="2971"/>
      <c r="F58" s="2971"/>
      <c r="G58" s="2971"/>
      <c r="H58" s="2971"/>
      <c r="I58" s="1685"/>
      <c r="J58" s="1685"/>
      <c r="K58" s="1685"/>
      <c r="L58" s="1685"/>
      <c r="M58" s="1685"/>
      <c r="N58" s="1685"/>
    </row>
    <row r="59" spans="1:41" s="2677" customFormat="1" ht="13.8">
      <c r="D59" s="2971"/>
      <c r="E59" s="2971"/>
      <c r="F59" s="2971"/>
      <c r="G59" s="2971"/>
      <c r="H59" s="2971"/>
      <c r="I59" s="1685"/>
      <c r="J59" s="1685"/>
      <c r="K59" s="1685"/>
      <c r="L59" s="1685"/>
      <c r="M59" s="2972"/>
      <c r="N59" s="1685"/>
    </row>
    <row r="60" spans="1:41" s="2677" customFormat="1" ht="13.8">
      <c r="D60" s="2971"/>
      <c r="E60" s="2971"/>
      <c r="F60" s="2971"/>
      <c r="G60" s="2971"/>
      <c r="H60" s="2971"/>
      <c r="I60" s="1685"/>
      <c r="J60" s="1685"/>
      <c r="K60" s="1685"/>
      <c r="L60" s="1685"/>
      <c r="M60" s="1685"/>
      <c r="N60" s="1685"/>
    </row>
    <row r="61" spans="1:41" s="2677" customFormat="1" ht="13.8">
      <c r="D61" s="2971"/>
      <c r="E61" s="2971"/>
      <c r="F61" s="2971"/>
      <c r="G61" s="2971"/>
      <c r="H61" s="2971"/>
      <c r="I61" s="1685"/>
      <c r="J61" s="1685"/>
      <c r="K61" s="1685"/>
      <c r="L61" s="1685"/>
      <c r="M61" s="1685"/>
      <c r="N61" s="1685"/>
    </row>
    <row r="62" spans="1:41" s="2677" customFormat="1" ht="13.8">
      <c r="D62" s="2971"/>
      <c r="E62" s="2971"/>
      <c r="F62" s="2971"/>
      <c r="G62" s="2971"/>
      <c r="H62" s="2971"/>
      <c r="I62" s="1685"/>
      <c r="J62" s="1685"/>
      <c r="K62" s="1685"/>
      <c r="L62" s="1685"/>
      <c r="M62" s="1685"/>
      <c r="N62" s="1685"/>
    </row>
    <row r="63" spans="1:41" s="2677" customFormat="1" ht="13.8">
      <c r="D63" s="2971"/>
      <c r="E63" s="2971"/>
      <c r="F63" s="2971"/>
      <c r="G63" s="2971"/>
      <c r="H63" s="2971"/>
      <c r="I63" s="1685"/>
      <c r="J63" s="1685"/>
      <c r="K63" s="1685"/>
      <c r="L63" s="1685"/>
      <c r="M63" s="1685"/>
      <c r="N63" s="1685"/>
    </row>
    <row r="64" spans="1:41" s="2677" customFormat="1" ht="13.8">
      <c r="D64" s="2971"/>
      <c r="E64" s="2971"/>
      <c r="F64" s="2971"/>
      <c r="G64" s="2971"/>
      <c r="H64" s="2971"/>
      <c r="I64" s="1685"/>
      <c r="J64" s="1685"/>
      <c r="K64" s="1685"/>
      <c r="L64" s="1685"/>
      <c r="M64" s="1685"/>
      <c r="N64" s="1685"/>
    </row>
    <row r="65" spans="1:14" s="2677" customFormat="1" ht="13.8">
      <c r="D65" s="2971"/>
      <c r="E65" s="2971"/>
      <c r="F65" s="2971"/>
      <c r="G65" s="2971"/>
      <c r="H65" s="2971"/>
      <c r="I65" s="1685"/>
      <c r="J65" s="1685"/>
      <c r="K65" s="1685"/>
      <c r="L65" s="1685"/>
      <c r="M65" s="1685"/>
      <c r="N65" s="1685"/>
    </row>
    <row r="66" spans="1:14" s="2677" customFormat="1" ht="13.8">
      <c r="D66" s="2971"/>
      <c r="E66" s="2971"/>
      <c r="F66" s="2971"/>
      <c r="G66" s="2971"/>
      <c r="H66" s="2971"/>
      <c r="I66" s="1685"/>
      <c r="J66" s="1685"/>
      <c r="K66" s="1685"/>
      <c r="L66" s="1685"/>
      <c r="M66" s="1685"/>
      <c r="N66" s="1685"/>
    </row>
    <row r="67" spans="1:14" s="2677" customFormat="1" ht="13.8">
      <c r="A67" s="2975"/>
      <c r="D67" s="2971"/>
      <c r="E67" s="2971"/>
      <c r="F67" s="2971"/>
      <c r="G67" s="2971"/>
      <c r="H67" s="2971"/>
      <c r="I67" s="1685"/>
      <c r="J67" s="1685"/>
      <c r="K67" s="1685"/>
      <c r="L67" s="1685"/>
      <c r="M67" s="1685"/>
      <c r="N67" s="1685"/>
    </row>
    <row r="68" spans="1:14" s="2677" customFormat="1" ht="13.8">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9"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3.8"/>
  <cols>
    <col min="1" max="1" width="14.6640625" style="2639" customWidth="1"/>
    <col min="2" max="2" width="24.44140625" style="2652" customWidth="1"/>
    <col min="3" max="3" width="28.33203125" style="2713" customWidth="1"/>
    <col min="4" max="4" width="2.6640625" style="2713" customWidth="1"/>
    <col min="5" max="5" width="5.88671875" style="2713" customWidth="1"/>
    <col min="6" max="6" width="27" style="2652" customWidth="1"/>
    <col min="7" max="7" width="32.33203125" style="2714" customWidth="1"/>
    <col min="8" max="8" width="11.88671875" style="2710" customWidth="1"/>
    <col min="9" max="9" width="16.6640625" style="2711" customWidth="1"/>
    <col min="10" max="10" width="2.6640625" style="2710" customWidth="1"/>
    <col min="11" max="11" width="11.88671875" style="2710" customWidth="1"/>
    <col min="12" max="12" width="16.6640625" style="2711" customWidth="1"/>
    <col min="13" max="13" width="2.6640625" style="2710" customWidth="1"/>
    <col min="14" max="14" width="11.88671875" style="2710" customWidth="1"/>
    <col min="15" max="15" width="16.6640625" style="2711" customWidth="1"/>
    <col min="16" max="16" width="2.6640625" style="2710" customWidth="1"/>
    <col min="17" max="17" width="11.88671875" style="2710" customWidth="1"/>
    <col min="18" max="18" width="16.6640625" style="2712" customWidth="1"/>
    <col min="19" max="29" width="9" style="2700"/>
    <col min="30" max="16384" width="9" style="2639"/>
  </cols>
  <sheetData>
    <row r="1" spans="1:29" s="2698" customFormat="1" ht="18" thickBot="1">
      <c r="A1" s="3291" t="s">
        <v>1710</v>
      </c>
      <c r="B1" s="3292"/>
      <c r="C1" s="3292"/>
      <c r="D1" s="3292"/>
      <c r="E1" s="3292"/>
      <c r="F1" s="3292"/>
      <c r="G1" s="3292"/>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48">
      <c r="A3" s="3107" t="s">
        <v>2860</v>
      </c>
      <c r="B3" s="3108" t="s">
        <v>2861</v>
      </c>
      <c r="C3" s="3160" t="s">
        <v>3036</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37.200000000000003">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37.200000000000003">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2872</v>
      </c>
      <c r="C6" s="3161" t="s">
        <v>3033</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6" thickBot="1">
      <c r="A7" s="3110"/>
      <c r="B7" s="3095" t="s">
        <v>2870</v>
      </c>
      <c r="C7" s="3161" t="s">
        <v>2967</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3.2">
      <c r="A8" s="3110"/>
      <c r="B8" s="3095" t="s">
        <v>2873</v>
      </c>
      <c r="C8" s="3161" t="s">
        <v>2958</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0"/>
      <c r="B9" s="3095" t="s">
        <v>2877</v>
      </c>
      <c r="C9" s="3162" t="s">
        <v>3034</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thickBot="1">
      <c r="A10" s="3119"/>
      <c r="B10" s="3099" t="s">
        <v>2878</v>
      </c>
      <c r="C10" s="3166" t="s">
        <v>3035</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3.2">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7.399999999999999">
      <c r="A12" s="2647"/>
      <c r="B12" s="2702"/>
      <c r="C12" s="2701"/>
      <c r="D12" s="2703"/>
      <c r="E12" s="2701"/>
      <c r="F12" s="2702"/>
      <c r="G12" s="1842"/>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8" thickBot="1">
      <c r="A13" s="2709" t="s">
        <v>1716</v>
      </c>
      <c r="B13" s="2703"/>
      <c r="C13" s="2703"/>
      <c r="D13" s="2699"/>
      <c r="E13" s="2703"/>
      <c r="F13" s="2703"/>
      <c r="G13" s="2703"/>
    </row>
    <row r="14" spans="1:29" s="2636" customFormat="1" thickBot="1">
      <c r="A14" s="3124"/>
      <c r="B14" s="3124"/>
      <c r="C14" s="3125" t="s">
        <v>2879</v>
      </c>
      <c r="D14" s="3109"/>
      <c r="E14" s="3126"/>
      <c r="F14" s="3126"/>
      <c r="G14" s="3103" t="s">
        <v>2880</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52.8">
      <c r="A15" s="3130" t="s">
        <v>2881</v>
      </c>
      <c r="B15" s="3131" t="s">
        <v>2861</v>
      </c>
      <c r="C15" s="3132" t="str">
        <f>C3</f>
        <v>估价对象周边有华英园、马可汇、石门苑、玉兰苑、牡丹苑等社区，综合评价居住社区成熟度较好</v>
      </c>
      <c r="D15" s="3109"/>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39.6">
      <c r="A16" s="3135"/>
      <c r="B16" s="2576" t="s">
        <v>2864</v>
      </c>
      <c r="C16" s="3136" t="str">
        <f>C4</f>
        <v>估价对象位于XX商圈，周边商业氛围成熟，人流量大，商业繁华度好</v>
      </c>
      <c r="D16" s="3109"/>
      <c r="E16" s="3137"/>
      <c r="F16" s="3096" t="s">
        <v>2866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39.6">
      <c r="A17" s="3135"/>
      <c r="B17" s="2576" t="s">
        <v>2868</v>
      </c>
      <c r="C17" s="3136" t="str">
        <f>C5</f>
        <v>估价对象位于XX商圈，周边办公楼项目较多，入驻率高，办公集聚程度较好</v>
      </c>
      <c r="D17" s="2984"/>
      <c r="E17" s="3137"/>
      <c r="F17" s="3096" t="s">
        <v>2884</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2.8">
      <c r="A18" s="3135"/>
      <c r="B18" s="3096" t="s">
        <v>2872</v>
      </c>
      <c r="C18" s="3138" t="str">
        <f>C6</f>
        <v>估价对象周边有顺2路、顺27路、顺28路、顺38路等多条公交线路，地铁15号线南法信站，综合评价交通便捷度较好</v>
      </c>
      <c r="D18" s="2984"/>
      <c r="E18" s="3137"/>
      <c r="F18" s="3096" t="s">
        <v>2875</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26.4">
      <c r="A19" s="3135"/>
      <c r="B19" s="3096" t="s">
        <v>2885</v>
      </c>
      <c r="C19" s="3139"/>
      <c r="D19" s="3109"/>
      <c r="E19" s="3137"/>
      <c r="F19" s="3095" t="s">
        <v>2870</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26.4">
      <c r="A20" s="3135"/>
      <c r="B20" s="3096" t="s">
        <v>2886</v>
      </c>
      <c r="C20" s="3136" t="str">
        <f>C9</f>
        <v>区域自然环境：小中河；综合评价环境状况一般</v>
      </c>
      <c r="D20" s="2984"/>
      <c r="E20" s="3137"/>
      <c r="F20" s="3095" t="s">
        <v>2873</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26.4">
      <c r="A21" s="3135"/>
      <c r="B21" s="3095" t="s">
        <v>2870</v>
      </c>
      <c r="C21" s="3138" t="str">
        <f>C7</f>
        <v>估价对象所在区域公共配套设施较齐备</v>
      </c>
      <c r="D21" s="3109"/>
      <c r="E21" s="3137"/>
      <c r="F21" s="3096" t="s">
        <v>2887</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3.2">
      <c r="A22" s="3135"/>
      <c r="B22" s="3095" t="s">
        <v>2873</v>
      </c>
      <c r="C22" s="3138" t="str">
        <f>C8</f>
        <v>七通</v>
      </c>
      <c r="D22" s="3109"/>
      <c r="E22" s="3137"/>
      <c r="F22" s="3096" t="s">
        <v>2878</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thickBot="1">
      <c r="A23" s="3135"/>
      <c r="B23" s="3096" t="s">
        <v>2887</v>
      </c>
      <c r="C23" s="3140"/>
      <c r="D23" s="3127"/>
      <c r="E23" s="3142"/>
      <c r="F23" s="3098" t="s">
        <v>2888</v>
      </c>
      <c r="G23" s="3143"/>
      <c r="H23" s="3127"/>
      <c r="I23" s="3128"/>
      <c r="J23" s="3127"/>
      <c r="K23" s="3127"/>
      <c r="L23" s="3128"/>
      <c r="M23" s="3127"/>
      <c r="N23" s="3127"/>
      <c r="O23" s="3128"/>
      <c r="P23" s="3127"/>
      <c r="Q23" s="3127"/>
      <c r="R23" s="3129"/>
    </row>
    <row r="24" spans="1:29" s="3106" customFormat="1" thickBot="1">
      <c r="A24" s="3144"/>
      <c r="B24" s="3098" t="s">
        <v>2889</v>
      </c>
      <c r="C24" s="3145" t="str">
        <f>C10</f>
        <v>城市次干道——顺于路</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B11" sqref="B11"/>
    </sheetView>
  </sheetViews>
  <sheetFormatPr defaultColWidth="14.6640625" defaultRowHeight="14.4"/>
  <cols>
    <col min="1" max="1" width="24.33203125" style="2585" customWidth="1"/>
    <col min="2" max="16384" width="14.6640625" style="2585"/>
  </cols>
  <sheetData>
    <row r="1" spans="1:9" ht="15.6">
      <c r="A1" s="2583" t="s">
        <v>1212</v>
      </c>
      <c r="B1" s="2583">
        <f>SUM(B14:B23)</f>
        <v>0</v>
      </c>
      <c r="C1" s="1634"/>
      <c r="D1" s="1634"/>
      <c r="E1" s="1634"/>
      <c r="F1" s="1634"/>
      <c r="G1" s="2584"/>
    </row>
    <row r="2" spans="1:9" ht="15.6">
      <c r="A2" s="2583" t="s">
        <v>1213</v>
      </c>
      <c r="B2" s="2583">
        <f>SUM(C14:C23)</f>
        <v>76</v>
      </c>
      <c r="C2" s="1634"/>
      <c r="D2" s="1634"/>
      <c r="E2" s="1634"/>
      <c r="F2" s="1634"/>
      <c r="G2" s="2584"/>
    </row>
    <row r="3" spans="1:9" ht="15.6">
      <c r="A3" s="2583" t="s">
        <v>1214</v>
      </c>
      <c r="B3" s="2586">
        <f>项目基本情况!D2</f>
        <v>45558</v>
      </c>
      <c r="C3" s="1634"/>
      <c r="D3" s="1634"/>
      <c r="E3" s="1634"/>
      <c r="F3" s="1634"/>
      <c r="G3" s="2584"/>
    </row>
    <row r="4" spans="1:9" ht="31.2">
      <c r="A4" s="2583" t="s">
        <v>1215</v>
      </c>
      <c r="B4" s="2583" t="s">
        <v>1216</v>
      </c>
      <c r="C4" s="2583" t="s">
        <v>1217</v>
      </c>
      <c r="D4" s="2583" t="s">
        <v>1218</v>
      </c>
      <c r="E4" s="1634"/>
      <c r="F4" s="2584"/>
      <c r="G4" s="2584"/>
    </row>
    <row r="5" spans="1:9" ht="15.6">
      <c r="A5" s="2583" t="s">
        <v>1219</v>
      </c>
      <c r="B5" s="2583">
        <f>SUM(D14:D23)</f>
        <v>0</v>
      </c>
      <c r="C5" s="2583" t="e">
        <f>ROUND(B5*10000/$B$1,0)</f>
        <v>#DIV/0!</v>
      </c>
      <c r="D5" s="2583">
        <f>ROUND(B5*10000/$B$2,0)</f>
        <v>0</v>
      </c>
      <c r="E5" s="1634"/>
      <c r="F5" s="2584"/>
      <c r="G5" s="2584"/>
    </row>
    <row r="6" spans="1:9" ht="15.6">
      <c r="A6" s="2583" t="s">
        <v>1220</v>
      </c>
      <c r="B6" s="2583">
        <f ca="1">SUM(G14:G23)</f>
        <v>0</v>
      </c>
      <c r="C6" s="2583" t="e">
        <f t="shared" ref="C6:C8" ca="1" si="0">ROUND(B6*10000/$B$1,0)</f>
        <v>#DIV/0!</v>
      </c>
      <c r="D6" s="2583" t="e">
        <f t="shared" ref="D6:D8" ca="1" si="1">ROUND(B6*10000/$B$2,0)</f>
        <v>#DIV/0!</v>
      </c>
      <c r="E6" s="1634"/>
      <c r="F6" s="2584"/>
      <c r="G6" s="2584"/>
    </row>
    <row r="7" spans="1:9" ht="15.6">
      <c r="A7" s="2583" t="s">
        <v>1221</v>
      </c>
      <c r="B7" s="2583" t="e">
        <f>SUM(H14:H23)</f>
        <v>#VALUE!</v>
      </c>
      <c r="C7" s="2583" t="e">
        <f>ROUND(B7*10000/$B$1,0)</f>
        <v>#VALUE!</v>
      </c>
      <c r="D7" s="2583" t="e">
        <f t="shared" si="1"/>
        <v>#VALUE!</v>
      </c>
      <c r="E7" s="1634"/>
      <c r="F7" s="2584"/>
      <c r="G7" s="2584"/>
    </row>
    <row r="8" spans="1:9" ht="15.6">
      <c r="A8" s="2583" t="s">
        <v>1222</v>
      </c>
      <c r="B8" s="2583" t="e">
        <f>SUM(I14:I23)</f>
        <v>#VALUE!</v>
      </c>
      <c r="C8" s="2583" t="e">
        <f t="shared" si="0"/>
        <v>#VALUE!</v>
      </c>
      <c r="D8" s="2583" t="e">
        <f t="shared" si="1"/>
        <v>#VALUE!</v>
      </c>
      <c r="E8" s="1634"/>
      <c r="F8" s="2584"/>
      <c r="G8" s="2584"/>
    </row>
    <row r="9" spans="1:9" ht="15.6">
      <c r="A9" s="2583" t="s">
        <v>1223</v>
      </c>
      <c r="B9" s="2587"/>
      <c r="C9" s="1634"/>
      <c r="D9" s="1634"/>
      <c r="E9" s="1634"/>
      <c r="F9" s="2584"/>
      <c r="G9" s="2584"/>
    </row>
    <row r="10" spans="1:9" ht="15.6">
      <c r="A10" s="2583" t="s">
        <v>1224</v>
      </c>
      <c r="B10" s="2587">
        <f>'比较法-住宅'!C49</f>
        <v>52695.22</v>
      </c>
      <c r="C10" s="1634"/>
      <c r="D10" s="1634"/>
      <c r="E10" s="1634"/>
      <c r="F10" s="2584"/>
      <c r="G10" s="2584"/>
    </row>
    <row r="11" spans="1:9" ht="15.6">
      <c r="A11" s="2583" t="s">
        <v>1239</v>
      </c>
      <c r="B11" s="2587"/>
      <c r="C11" s="1634"/>
      <c r="D11" s="1634"/>
      <c r="E11" s="1634"/>
      <c r="F11" s="2584"/>
      <c r="G11" s="2584"/>
    </row>
    <row r="12" spans="1:9" ht="15.6">
      <c r="A12" s="1634"/>
      <c r="B12" s="1634"/>
      <c r="C12" s="1634"/>
      <c r="D12" s="1634"/>
      <c r="E12" s="1634"/>
      <c r="F12" s="2584"/>
      <c r="G12" s="2584"/>
    </row>
    <row r="13" spans="1:9" ht="31.2">
      <c r="A13" s="2588" t="s">
        <v>1238</v>
      </c>
      <c r="B13" s="2589" t="s">
        <v>1212</v>
      </c>
      <c r="C13" s="2589" t="s">
        <v>1213</v>
      </c>
      <c r="D13" s="2589" t="s">
        <v>1225</v>
      </c>
      <c r="E13" s="2583" t="s">
        <v>1217</v>
      </c>
      <c r="F13" s="2583" t="s">
        <v>1218</v>
      </c>
      <c r="G13" s="2589" t="s">
        <v>1226</v>
      </c>
      <c r="H13" s="2589" t="s">
        <v>1227</v>
      </c>
      <c r="I13" s="2589" t="s">
        <v>1228</v>
      </c>
    </row>
    <row r="14" spans="1:9" ht="15.6">
      <c r="A14" s="2889" t="s">
        <v>2950</v>
      </c>
      <c r="B14" s="2919">
        <f>项目基本情况!C12</f>
        <v>0</v>
      </c>
      <c r="C14" s="2919">
        <v>76</v>
      </c>
      <c r="D14" s="2919">
        <f>B14*3</f>
        <v>0</v>
      </c>
      <c r="E14" s="2919" t="e">
        <f>ROUND(D14*10000/B14,0)</f>
        <v>#DIV/0!</v>
      </c>
      <c r="F14" s="2919">
        <f>ROUND(D14*10000/C14,0)</f>
        <v>0</v>
      </c>
      <c r="G14" s="2919">
        <f ca="1">IF('数据-取费表'!B3="万元",IF(A14="估价对象1（结果表）",结果表!D125,'结果表 (1修多)'!D129),IF(A14="估价对象1（结果表）",结果表!D125,'结果表 (1修多)'!D129)/10000)</f>
        <v>0</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5.6">
      <c r="A15" s="2590" t="s">
        <v>1229</v>
      </c>
      <c r="B15" s="2591"/>
      <c r="C15" s="2591"/>
      <c r="D15" s="2591"/>
      <c r="E15" s="2919" t="e">
        <f t="shared" ref="E15:E23" si="2">ROUND(D15*10000/B15,0)</f>
        <v>#DIV/0!</v>
      </c>
      <c r="F15" s="2919" t="e">
        <f t="shared" ref="F15:F23" si="3">ROUND(D15*10000/C15,0)</f>
        <v>#DIV/0!</v>
      </c>
      <c r="G15" s="1305"/>
      <c r="H15" s="1305"/>
      <c r="I15" s="2591"/>
    </row>
    <row r="16" spans="1:9" ht="15.6">
      <c r="A16" s="2590" t="s">
        <v>1230</v>
      </c>
      <c r="B16" s="2591"/>
      <c r="C16" s="2591"/>
      <c r="D16" s="2591"/>
      <c r="E16" s="2919" t="e">
        <f t="shared" si="2"/>
        <v>#DIV/0!</v>
      </c>
      <c r="F16" s="2919" t="e">
        <f t="shared" si="3"/>
        <v>#DIV/0!</v>
      </c>
      <c r="G16" s="1305"/>
      <c r="H16" s="1305"/>
      <c r="I16" s="2591"/>
    </row>
    <row r="17" spans="1:9" ht="15.6">
      <c r="A17" s="2590" t="s">
        <v>1231</v>
      </c>
      <c r="B17" s="2591"/>
      <c r="C17" s="2591"/>
      <c r="D17" s="2591"/>
      <c r="E17" s="2919" t="e">
        <f t="shared" si="2"/>
        <v>#DIV/0!</v>
      </c>
      <c r="F17" s="2919" t="e">
        <f t="shared" si="3"/>
        <v>#DIV/0!</v>
      </c>
      <c r="G17" s="1305"/>
      <c r="H17" s="1305"/>
      <c r="I17" s="2591"/>
    </row>
    <row r="18" spans="1:9" ht="15.6">
      <c r="A18" s="2590" t="s">
        <v>1232</v>
      </c>
      <c r="B18" s="2591"/>
      <c r="C18" s="2591"/>
      <c r="D18" s="2591"/>
      <c r="E18" s="2919" t="e">
        <f t="shared" si="2"/>
        <v>#DIV/0!</v>
      </c>
      <c r="F18" s="2919" t="e">
        <f t="shared" si="3"/>
        <v>#DIV/0!</v>
      </c>
      <c r="G18" s="2591"/>
      <c r="H18" s="2591"/>
      <c r="I18" s="2591"/>
    </row>
    <row r="19" spans="1:9" ht="15.6">
      <c r="A19" s="2590" t="s">
        <v>1233</v>
      </c>
      <c r="B19" s="2591"/>
      <c r="C19" s="2591"/>
      <c r="D19" s="2591"/>
      <c r="E19" s="2919" t="e">
        <f t="shared" si="2"/>
        <v>#DIV/0!</v>
      </c>
      <c r="F19" s="2919" t="e">
        <f t="shared" si="3"/>
        <v>#DIV/0!</v>
      </c>
      <c r="G19" s="2591"/>
      <c r="H19" s="2591"/>
      <c r="I19" s="2591"/>
    </row>
    <row r="20" spans="1:9" ht="15.6">
      <c r="A20" s="2590" t="s">
        <v>1234</v>
      </c>
      <c r="B20" s="2591"/>
      <c r="C20" s="2591"/>
      <c r="D20" s="2591"/>
      <c r="E20" s="2919" t="e">
        <f t="shared" si="2"/>
        <v>#DIV/0!</v>
      </c>
      <c r="F20" s="2919" t="e">
        <f t="shared" si="3"/>
        <v>#DIV/0!</v>
      </c>
      <c r="G20" s="2591"/>
      <c r="H20" s="2591"/>
      <c r="I20" s="2591"/>
    </row>
    <row r="21" spans="1:9" ht="15.6">
      <c r="A21" s="2590" t="s">
        <v>1235</v>
      </c>
      <c r="B21" s="2591"/>
      <c r="C21" s="2591"/>
      <c r="D21" s="2591"/>
      <c r="E21" s="2919" t="e">
        <f t="shared" si="2"/>
        <v>#DIV/0!</v>
      </c>
      <c r="F21" s="2919" t="e">
        <f t="shared" si="3"/>
        <v>#DIV/0!</v>
      </c>
      <c r="G21" s="2591"/>
      <c r="H21" s="2591"/>
      <c r="I21" s="2591"/>
    </row>
    <row r="22" spans="1:9" ht="15.6">
      <c r="A22" s="2590" t="s">
        <v>1236</v>
      </c>
      <c r="B22" s="2591"/>
      <c r="C22" s="2591"/>
      <c r="D22" s="2591"/>
      <c r="E22" s="2919" t="e">
        <f t="shared" si="2"/>
        <v>#DIV/0!</v>
      </c>
      <c r="F22" s="2919" t="e">
        <f t="shared" si="3"/>
        <v>#DIV/0!</v>
      </c>
      <c r="G22" s="2591"/>
      <c r="H22" s="2591"/>
      <c r="I22" s="2591"/>
    </row>
    <row r="23" spans="1:9" ht="15.6">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I16" sqref="I16"/>
    </sheetView>
  </sheetViews>
  <sheetFormatPr defaultColWidth="12.6640625" defaultRowHeight="21.75" customHeight="1"/>
  <cols>
    <col min="1" max="2" width="12.6640625" style="1462"/>
    <col min="3" max="4" width="12.6640625" style="1462" customWidth="1"/>
    <col min="5" max="9" width="12.6640625" style="1462"/>
    <col min="10" max="10" width="3.6640625" style="2845"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1717</v>
      </c>
      <c r="B1" s="1461"/>
      <c r="C1" s="1461"/>
      <c r="D1" s="1461"/>
      <c r="E1" s="1461"/>
      <c r="F1" s="1461"/>
      <c r="G1" s="1461"/>
      <c r="H1" s="1461"/>
      <c r="I1" s="1461"/>
    </row>
    <row r="2" spans="1:15" ht="21.75" customHeight="1">
      <c r="A2" s="3348" t="str">
        <f>项目基本情况!B1</f>
        <v>北京市房地产市场价值预评估</v>
      </c>
      <c r="B2" s="3348"/>
      <c r="C2" s="3348"/>
      <c r="D2" s="3348"/>
      <c r="E2" s="3348"/>
      <c r="F2" s="3348"/>
      <c r="G2" s="3348"/>
      <c r="H2" s="3348"/>
      <c r="I2" s="3348"/>
      <c r="J2" s="2846"/>
    </row>
    <row r="3" spans="1:15" ht="13.2">
      <c r="A3" s="3351" t="s">
        <v>1718</v>
      </c>
      <c r="B3" s="3352"/>
      <c r="C3" s="3352"/>
      <c r="D3" s="3352"/>
      <c r="E3" s="3352"/>
      <c r="F3" s="3352"/>
      <c r="G3" s="3352"/>
      <c r="H3" s="3352"/>
      <c r="I3" s="3352"/>
      <c r="J3" s="2847"/>
    </row>
    <row r="4" spans="1:15" ht="14.4">
      <c r="A4" s="2715" t="s">
        <v>1719</v>
      </c>
      <c r="B4" s="2715" t="s">
        <v>1720</v>
      </c>
      <c r="C4" s="2716" t="s">
        <v>2951</v>
      </c>
      <c r="D4" s="2716" t="s">
        <v>2951</v>
      </c>
      <c r="E4" s="3297" t="s">
        <v>1721</v>
      </c>
      <c r="F4" s="3335"/>
      <c r="G4" s="3335"/>
      <c r="H4" s="3335"/>
      <c r="I4" s="3336"/>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3.2">
      <c r="A5" s="3328" t="s">
        <v>1722</v>
      </c>
      <c r="B5" s="3328">
        <v>25</v>
      </c>
      <c r="C5" s="3337"/>
      <c r="D5" s="3350"/>
      <c r="E5" s="12" t="s">
        <v>1723</v>
      </c>
      <c r="F5" s="2088"/>
      <c r="G5" s="2088"/>
      <c r="H5" s="2088"/>
      <c r="I5" s="2083"/>
      <c r="J5" s="2848"/>
    </row>
    <row r="6" spans="1:15" ht="13.2">
      <c r="A6" s="3328"/>
      <c r="B6" s="3328"/>
      <c r="C6" s="3353"/>
      <c r="D6" s="3350"/>
      <c r="E6" s="12" t="s">
        <v>1724</v>
      </c>
      <c r="F6" s="2088"/>
      <c r="G6" s="2088"/>
      <c r="H6" s="2088"/>
      <c r="I6" s="2083"/>
      <c r="J6" s="2848"/>
    </row>
    <row r="7" spans="1:15" ht="13.2">
      <c r="A7" s="3328"/>
      <c r="B7" s="3328"/>
      <c r="C7" s="3338"/>
      <c r="D7" s="3350"/>
      <c r="E7" s="12" t="s">
        <v>1725</v>
      </c>
      <c r="F7" s="2088"/>
      <c r="G7" s="2088"/>
      <c r="H7" s="2088"/>
      <c r="I7" s="2083"/>
      <c r="J7" s="2848"/>
    </row>
    <row r="8" spans="1:15" ht="13.2">
      <c r="A8" s="3328" t="s">
        <v>1726</v>
      </c>
      <c r="B8" s="3328">
        <v>15</v>
      </c>
      <c r="C8" s="3337"/>
      <c r="D8" s="3350"/>
      <c r="E8" s="12" t="s">
        <v>1727</v>
      </c>
      <c r="F8" s="2088"/>
      <c r="G8" s="2088"/>
      <c r="H8" s="2088"/>
      <c r="I8" s="2083"/>
      <c r="J8" s="2848"/>
    </row>
    <row r="9" spans="1:15" ht="13.2">
      <c r="A9" s="3328"/>
      <c r="B9" s="3328"/>
      <c r="C9" s="3338"/>
      <c r="D9" s="3350"/>
      <c r="E9" s="12" t="s">
        <v>1728</v>
      </c>
      <c r="F9" s="2088"/>
      <c r="G9" s="2088"/>
      <c r="H9" s="2088"/>
      <c r="I9" s="2083"/>
      <c r="J9" s="2848"/>
    </row>
    <row r="10" spans="1:15" ht="13.2">
      <c r="A10" s="3328" t="s">
        <v>1729</v>
      </c>
      <c r="B10" s="3328">
        <v>15</v>
      </c>
      <c r="C10" s="3337"/>
      <c r="D10" s="3350"/>
      <c r="E10" s="12" t="s">
        <v>1730</v>
      </c>
      <c r="F10" s="2088"/>
      <c r="G10" s="2088"/>
      <c r="H10" s="2088"/>
      <c r="I10" s="2083"/>
      <c r="J10" s="2848"/>
    </row>
    <row r="11" spans="1:15" ht="13.2">
      <c r="A11" s="3328"/>
      <c r="B11" s="3328"/>
      <c r="C11" s="3338"/>
      <c r="D11" s="3350"/>
      <c r="E11" s="12" t="s">
        <v>1731</v>
      </c>
      <c r="F11" s="2088"/>
      <c r="G11" s="2088"/>
      <c r="H11" s="2088"/>
      <c r="I11" s="2083"/>
      <c r="J11" s="2848"/>
    </row>
    <row r="12" spans="1:15" ht="13.2">
      <c r="A12" s="3328" t="s">
        <v>1732</v>
      </c>
      <c r="B12" s="3328">
        <v>15</v>
      </c>
      <c r="C12" s="3337"/>
      <c r="D12" s="3350"/>
      <c r="E12" s="12" t="s">
        <v>1733</v>
      </c>
      <c r="F12" s="2088"/>
      <c r="G12" s="2088"/>
      <c r="H12" s="2088"/>
      <c r="I12" s="2083"/>
      <c r="J12" s="2848"/>
    </row>
    <row r="13" spans="1:15" ht="13.2">
      <c r="A13" s="3328"/>
      <c r="B13" s="3328"/>
      <c r="C13" s="3338"/>
      <c r="D13" s="3350"/>
      <c r="E13" s="12" t="s">
        <v>1734</v>
      </c>
      <c r="F13" s="2088"/>
      <c r="G13" s="2088"/>
      <c r="H13" s="2088"/>
      <c r="I13" s="2083"/>
      <c r="J13" s="2848"/>
    </row>
    <row r="14" spans="1:15" ht="13.2">
      <c r="A14" s="3328" t="s">
        <v>1735</v>
      </c>
      <c r="B14" s="3328">
        <v>30</v>
      </c>
      <c r="C14" s="3337">
        <v>1</v>
      </c>
      <c r="D14" s="3350">
        <v>1</v>
      </c>
      <c r="E14" s="12" t="s">
        <v>1736</v>
      </c>
      <c r="F14" s="2088"/>
      <c r="G14" s="2088"/>
      <c r="H14" s="2088"/>
      <c r="I14" s="2083"/>
      <c r="J14" s="2848"/>
    </row>
    <row r="15" spans="1:15" ht="13.2">
      <c r="A15" s="3328"/>
      <c r="B15" s="3328"/>
      <c r="C15" s="3353"/>
      <c r="D15" s="3350"/>
      <c r="E15" s="12" t="s">
        <v>1737</v>
      </c>
      <c r="F15" s="2088"/>
      <c r="G15" s="2088"/>
      <c r="H15" s="2088"/>
      <c r="I15" s="2083"/>
      <c r="J15" s="2848"/>
    </row>
    <row r="16" spans="1:15" ht="13.2">
      <c r="A16" s="3328"/>
      <c r="B16" s="3328"/>
      <c r="C16" s="3338"/>
      <c r="D16" s="3350"/>
      <c r="E16" s="12" t="s">
        <v>1738</v>
      </c>
      <c r="F16" s="2088"/>
      <c r="G16" s="2088"/>
      <c r="H16" s="2088"/>
      <c r="I16" s="2083"/>
      <c r="J16" s="2848"/>
    </row>
    <row r="17" spans="1:36" ht="14.4">
      <c r="A17" s="2717" t="s">
        <v>1739</v>
      </c>
      <c r="B17" s="2093"/>
      <c r="C17" s="2718">
        <f>SUM(C5:C16)</f>
        <v>1</v>
      </c>
      <c r="D17" s="2718">
        <f>SUM(D5:D16)</f>
        <v>1</v>
      </c>
      <c r="E17" s="2565"/>
      <c r="F17" s="2565"/>
      <c r="G17" s="2565"/>
      <c r="H17" s="2565"/>
      <c r="I17" s="2565"/>
      <c r="J17" s="2849"/>
    </row>
    <row r="18" spans="1:36" ht="30" customHeight="1" thickBot="1">
      <c r="A18" s="2719" t="s">
        <v>1740</v>
      </c>
      <c r="B18" s="2720"/>
      <c r="C18" s="2721">
        <f>ROUND(C17/SUM(C17:D17),2)</f>
        <v>0.5</v>
      </c>
      <c r="D18" s="2721">
        <f>1-C18</f>
        <v>0.5</v>
      </c>
      <c r="E18" s="3346" t="s">
        <v>2826</v>
      </c>
      <c r="F18" s="3347"/>
      <c r="G18" s="3347"/>
      <c r="H18" s="3347"/>
      <c r="I18" s="3347"/>
      <c r="J18" s="2849"/>
    </row>
    <row r="19" spans="1:36" ht="14.4">
      <c r="A19" s="2722" t="s">
        <v>1741</v>
      </c>
      <c r="B19" s="2723" t="s">
        <v>1742</v>
      </c>
      <c r="C19" s="2724">
        <f ca="1">SUMIF(INDIRECT("'"&amp;C4&amp;"'"&amp;"!A:A"),结果表!B19,INDIRECT("'"&amp;C4&amp;"'"&amp;"!B:B"))</f>
        <v>0</v>
      </c>
      <c r="D19" s="2725">
        <f ca="1">SUMIF(INDIRECT("'"&amp;D4&amp;"'"&amp;"!A:A"),结果表!B19,INDIRECT("'"&amp;D4&amp;"'"&amp;"!B:B"))</f>
        <v>0</v>
      </c>
      <c r="E19" s="2722" t="s">
        <v>1743</v>
      </c>
      <c r="F19" s="2723" t="s">
        <v>1742</v>
      </c>
      <c r="G19" s="2726">
        <f ca="1">ROUND(C19*$C$18+D19*$D$18,0)</f>
        <v>0</v>
      </c>
      <c r="H19" s="2727">
        <f>'数据-取费表'!B3</f>
        <v>0</v>
      </c>
      <c r="I19" s="2775"/>
      <c r="J19" s="2850"/>
    </row>
    <row r="20" spans="1:36" ht="14.4">
      <c r="A20" s="2728"/>
      <c r="B20" s="1693" t="s">
        <v>1744</v>
      </c>
      <c r="C20" s="1918">
        <f ca="1">SUMIF(INDIRECT("'"&amp;C4&amp;"'"&amp;"!A:A"),结果表!B20,INDIRECT("'"&amp;C4&amp;"'"&amp;"!B:B"))</f>
        <v>52695</v>
      </c>
      <c r="D20" s="1921">
        <f ca="1">SUMIF(INDIRECT("'"&amp;D4&amp;"'"&amp;"!A:A"),结果表!B20,INDIRECT("'"&amp;D4&amp;"'"&amp;"!B:B"))</f>
        <v>52695</v>
      </c>
      <c r="E20" s="2728"/>
      <c r="F20" s="1693" t="s">
        <v>1744</v>
      </c>
      <c r="G20" s="2092">
        <f ca="1">ROUND(C20*$C$18+D20*$D$18,0)</f>
        <v>52695</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#DIV/0!</v>
      </c>
      <c r="E22" s="947"/>
      <c r="F22" s="947"/>
      <c r="G22" s="947"/>
      <c r="H22" s="947"/>
      <c r="I22" s="947"/>
      <c r="J22" s="2849"/>
    </row>
    <row r="23" spans="1:36" ht="13.8" thickBot="1">
      <c r="A23" s="2565"/>
      <c r="B23" s="2565"/>
      <c r="C23" s="2565"/>
      <c r="D23" s="2565"/>
      <c r="E23" s="947"/>
      <c r="F23" s="947"/>
      <c r="G23" s="947"/>
      <c r="H23" s="947"/>
      <c r="I23" s="947"/>
      <c r="J23" s="2849"/>
    </row>
    <row r="24" spans="1:36" ht="21.75" customHeight="1">
      <c r="A24" s="3339" t="s">
        <v>1747</v>
      </c>
      <c r="B24" s="2723" t="s">
        <v>1742</v>
      </c>
      <c r="C24" s="2726">
        <f>D30</f>
        <v>0</v>
      </c>
      <c r="D24" s="2678"/>
      <c r="E24" s="947"/>
      <c r="F24" s="947"/>
      <c r="G24" s="947"/>
      <c r="H24" s="947"/>
      <c r="I24" s="947"/>
      <c r="J24" s="2849"/>
    </row>
    <row r="25" spans="1:36" ht="21.75" customHeight="1">
      <c r="A25" s="3356"/>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3.8">
      <c r="A27" s="2743"/>
      <c r="B27" s="2741">
        <v>0</v>
      </c>
      <c r="C27" s="2741">
        <v>0</v>
      </c>
      <c r="D27" s="2742">
        <f>ROUND(C27*B27/10000,0)</f>
        <v>0</v>
      </c>
      <c r="E27" s="947"/>
      <c r="F27" s="947"/>
      <c r="G27" s="947"/>
      <c r="H27" s="947"/>
      <c r="I27" s="947"/>
      <c r="J27" s="2849"/>
    </row>
    <row r="28" spans="1:36" ht="13.8">
      <c r="A28" s="2740"/>
      <c r="B28" s="2741"/>
      <c r="C28" s="2741"/>
      <c r="D28" s="2742">
        <f t="shared" ref="D28:D29" si="0">ROUND(C28*B28/10000,0)</f>
        <v>0</v>
      </c>
      <c r="E28" s="947"/>
      <c r="F28" s="947"/>
      <c r="G28" s="947"/>
      <c r="H28" s="947"/>
      <c r="I28" s="947"/>
      <c r="J28" s="2849"/>
    </row>
    <row r="29" spans="1:36" ht="13.8">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5.6" thickTop="1" thickBot="1">
      <c r="A32" s="2830" t="s">
        <v>1753</v>
      </c>
      <c r="B32" s="2831">
        <f>'数据-取费表'!B4</f>
        <v>0</v>
      </c>
      <c r="C32" s="2832">
        <f ca="1">IF(B32="总价",G19-C24,G20-C25)</f>
        <v>52695</v>
      </c>
      <c r="D32" s="2833">
        <f>IF(B32="楼面单价","元/平方米",H19)</f>
        <v>0</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4.4">
      <c r="A33" s="2745" t="s">
        <v>1754</v>
      </c>
      <c r="B33" s="255"/>
      <c r="C33" s="2746"/>
      <c r="D33" s="2747"/>
      <c r="E33" s="2748" t="s">
        <v>1755</v>
      </c>
      <c r="F33" s="2749" t="str">
        <f>IF(B32="楼面单价","取值（单价）","取值（总价）")</f>
        <v>取值（总价）</v>
      </c>
      <c r="G33" s="947"/>
      <c r="H33" s="947"/>
      <c r="I33" s="947"/>
      <c r="J33" s="2849"/>
    </row>
    <row r="34" spans="1:17" ht="14.4">
      <c r="A34" s="1466"/>
      <c r="B34" s="2750" t="s">
        <v>1756</v>
      </c>
      <c r="C34" s="2751" t="e">
        <f ca="1">IF(D33="自定义",F34,C32-C35)</f>
        <v>#VALUE!</v>
      </c>
      <c r="D34" s="2752" t="e">
        <f ca="1">IF(D33="自定义",ROUND(C34/C32,3),1-D35)</f>
        <v>#VALUE!</v>
      </c>
      <c r="E34" s="1435" t="s">
        <v>1757</v>
      </c>
      <c r="F34" s="2753">
        <v>2000</v>
      </c>
      <c r="G34" s="947"/>
      <c r="H34" s="947"/>
      <c r="I34" s="947"/>
      <c r="J34" s="2849"/>
    </row>
    <row r="35" spans="1:17" ht="15" thickBot="1">
      <c r="A35" s="1467"/>
      <c r="B35" s="2754" t="s">
        <v>1758</v>
      </c>
      <c r="C35" s="2755" t="e">
        <f ca="1">IF(D33="自定义",F35,ROUND(C32*D35,0))</f>
        <v>#VALUE!</v>
      </c>
      <c r="D35" s="2756" t="e">
        <f ca="1">IF(D33="自定义",ROUND(C35/C32,3),IF(D33="成本法成本比率",成本法!C56,IF(D33="收益法收益比率",收益法!J38,收益法!J41)))</f>
        <v>#VALUE!</v>
      </c>
      <c r="E35" s="2757" t="s">
        <v>1759</v>
      </c>
      <c r="F35" s="2758">
        <v>4460</v>
      </c>
      <c r="G35" s="947"/>
      <c r="H35" s="947"/>
      <c r="I35" s="947"/>
      <c r="J35" s="2849"/>
    </row>
    <row r="36" spans="1:17" ht="15" thickBot="1">
      <c r="A36" s="3339" t="s">
        <v>1760</v>
      </c>
      <c r="B36" s="1468" t="s">
        <v>1761</v>
      </c>
      <c r="C36" s="2759">
        <v>0</v>
      </c>
      <c r="D36" s="2760"/>
      <c r="E36" s="1680"/>
      <c r="F36" s="1680"/>
      <c r="G36" s="947"/>
      <c r="H36" s="947"/>
      <c r="I36" s="947"/>
      <c r="J36" s="2849"/>
    </row>
    <row r="37" spans="1:17" ht="15" thickBot="1">
      <c r="A37" s="3340"/>
      <c r="B37" s="2093" t="s">
        <v>1762</v>
      </c>
      <c r="C37" s="2761">
        <v>0</v>
      </c>
      <c r="D37" s="1311"/>
      <c r="E37" s="1311"/>
      <c r="F37" s="1680"/>
      <c r="G37" s="1311"/>
      <c r="H37" s="1311"/>
      <c r="I37" s="1311"/>
      <c r="J37" s="2853"/>
    </row>
    <row r="38" spans="1:17" ht="15" thickBot="1">
      <c r="A38" s="3341"/>
      <c r="B38" s="1469" t="s">
        <v>1763</v>
      </c>
      <c r="C38" s="2762">
        <v>0</v>
      </c>
      <c r="D38" s="2763" t="s">
        <v>1764</v>
      </c>
      <c r="E38" s="1311"/>
      <c r="F38" s="1680"/>
      <c r="G38" s="1311"/>
      <c r="H38" s="1311"/>
      <c r="I38" s="1311"/>
      <c r="J38" s="2853"/>
    </row>
    <row r="39" spans="1:17" ht="14.4">
      <c r="A39" s="2728" t="s">
        <v>1765</v>
      </c>
      <c r="B39" s="2764" t="s">
        <v>1749</v>
      </c>
      <c r="C39" s="2765" t="s">
        <v>1750</v>
      </c>
      <c r="D39" s="2765" t="s">
        <v>1766</v>
      </c>
      <c r="E39" s="2766" t="s">
        <v>1751</v>
      </c>
      <c r="F39" s="1680"/>
      <c r="G39" s="1311"/>
      <c r="H39" s="1311"/>
      <c r="I39" s="1311"/>
      <c r="J39" s="2853"/>
    </row>
    <row r="40" spans="1:17" ht="13.8">
      <c r="A40" s="2767" t="s">
        <v>1767</v>
      </c>
      <c r="B40" s="2768"/>
      <c r="C40" s="2769"/>
      <c r="D40" s="2769"/>
      <c r="E40" s="2770"/>
      <c r="F40" s="1680"/>
      <c r="G40" s="1311"/>
      <c r="H40" s="1311"/>
      <c r="I40" s="1311"/>
      <c r="J40" s="2853"/>
    </row>
    <row r="41" spans="1:17" ht="13.8">
      <c r="A41" s="2767" t="s">
        <v>1768</v>
      </c>
      <c r="B41" s="2768"/>
      <c r="C41" s="2769"/>
      <c r="D41" s="2769"/>
      <c r="E41" s="2770"/>
      <c r="F41" s="1680"/>
      <c r="G41" s="1311"/>
      <c r="H41" s="1311"/>
      <c r="I41" s="1311"/>
      <c r="J41" s="2853"/>
    </row>
    <row r="42" spans="1:17" ht="14.4" thickBot="1">
      <c r="A42" s="2771"/>
      <c r="B42" s="2772"/>
      <c r="C42" s="2773"/>
      <c r="D42" s="2773"/>
      <c r="E42" s="2758"/>
      <c r="F42" s="1680"/>
      <c r="G42" s="1311"/>
      <c r="H42" s="1311"/>
      <c r="I42" s="1311"/>
      <c r="J42" s="2853"/>
    </row>
    <row r="43" spans="1:17" ht="13.2">
      <c r="A43" s="2979"/>
      <c r="B43" s="2979"/>
      <c r="C43" s="2979"/>
      <c r="D43" s="2979"/>
      <c r="E43" s="2979"/>
      <c r="F43" s="2978"/>
      <c r="G43" s="2978"/>
      <c r="H43" s="2978"/>
      <c r="I43" s="2665"/>
      <c r="J43" s="2854"/>
    </row>
    <row r="44" spans="1:17" ht="17.399999999999999">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343" t="s">
        <v>1771</v>
      </c>
      <c r="B45" s="3344"/>
      <c r="C45" s="3303"/>
      <c r="D45" s="246" t="e">
        <f ca="1">ROUND(I102*F45,0)</f>
        <v>#REF!</v>
      </c>
      <c r="E45" s="1542" t="s">
        <v>1772</v>
      </c>
      <c r="F45" s="2563">
        <v>1</v>
      </c>
      <c r="G45" s="2564" t="s">
        <v>1773</v>
      </c>
      <c r="H45" s="947"/>
      <c r="I45" s="947"/>
      <c r="J45" s="2849"/>
      <c r="K45" s="3397" t="s">
        <v>2755</v>
      </c>
      <c r="L45" s="3397"/>
      <c r="M45" s="3397"/>
      <c r="N45" s="3397"/>
      <c r="O45" s="3397"/>
      <c r="P45" s="3397"/>
      <c r="Q45" s="1308"/>
    </row>
    <row r="46" spans="1:17" ht="14.25" customHeight="1">
      <c r="A46" s="3332" t="s">
        <v>1775</v>
      </c>
      <c r="B46" s="3333"/>
      <c r="C46" s="3333"/>
      <c r="D46" s="3333"/>
      <c r="E46" s="3333"/>
      <c r="F46" s="3333"/>
      <c r="G46" s="3334"/>
      <c r="H46" s="2981"/>
      <c r="I46" s="947"/>
      <c r="J46" s="2849"/>
      <c r="K46" s="2538">
        <v>1</v>
      </c>
      <c r="L46" s="3398" t="s">
        <v>2756</v>
      </c>
      <c r="M46" s="3398"/>
      <c r="N46" s="3399" t="str">
        <f>项目基本情况!B1</f>
        <v>北京市房地产市场价值预评估</v>
      </c>
      <c r="O46" s="3399"/>
      <c r="P46" s="3399"/>
      <c r="Q46" s="1308"/>
    </row>
    <row r="47" spans="1:17" ht="12" customHeight="1">
      <c r="A47" s="38" t="s">
        <v>1777</v>
      </c>
      <c r="B47" s="39"/>
      <c r="C47" s="40"/>
      <c r="D47" s="1099" t="s">
        <v>1778</v>
      </c>
      <c r="E47" s="235" t="s">
        <v>1779</v>
      </c>
      <c r="F47" s="41" t="s">
        <v>1780</v>
      </c>
      <c r="G47" s="2566" t="s">
        <v>1781</v>
      </c>
      <c r="H47" s="2981"/>
      <c r="I47" s="947"/>
      <c r="J47" s="2849"/>
      <c r="K47" s="2538">
        <v>2</v>
      </c>
      <c r="L47" s="3398" t="s">
        <v>2757</v>
      </c>
      <c r="M47" s="3398"/>
      <c r="N47" s="3400">
        <f>'数据-取费表'!B2</f>
        <v>45558</v>
      </c>
      <c r="O47" s="3400"/>
      <c r="P47" s="3400"/>
      <c r="Q47" s="1308"/>
    </row>
    <row r="48" spans="1:17" ht="26.4">
      <c r="A48" s="3342" t="s">
        <v>1783</v>
      </c>
      <c r="B48" s="3296"/>
      <c r="C48" s="3296"/>
      <c r="D48" s="12" t="e">
        <f ca="1">IF(H48="情况1",0,IF(H48="情况2",D52,IF(H48="情况3",D53,IF(H48="情况4",D54))))</f>
        <v>#REF!</v>
      </c>
      <c r="E48" s="2091" t="str">
        <f>IF(H48="情况4","(销售额-原购置价)×税（费）率","销售额×税（费）率")</f>
        <v>销售额×税（费）率</v>
      </c>
      <c r="F48" s="2567">
        <f>IF(H48="情况1","免征",'数据-取费表'!E29)</f>
        <v>0</v>
      </c>
      <c r="G48" s="2568" t="s">
        <v>1784</v>
      </c>
      <c r="H48" s="2569" t="s">
        <v>1785</v>
      </c>
      <c r="I48" s="2981"/>
      <c r="J48" s="2856"/>
      <c r="K48" s="2538">
        <v>3</v>
      </c>
      <c r="L48" s="3398" t="s">
        <v>2758</v>
      </c>
      <c r="M48" s="3398"/>
      <c r="N48" s="3399" t="e">
        <f ca="1">I102</f>
        <v>#REF!</v>
      </c>
      <c r="O48" s="3399"/>
      <c r="P48" s="3399"/>
      <c r="Q48" s="1308"/>
    </row>
    <row r="49" spans="1:17" ht="25.5" customHeight="1">
      <c r="A49" s="2090" t="s">
        <v>1787</v>
      </c>
      <c r="B49" s="3335" t="s">
        <v>1788</v>
      </c>
      <c r="C49" s="3335"/>
      <c r="D49" s="2570">
        <v>0</v>
      </c>
      <c r="E49" s="261" t="s">
        <v>1789</v>
      </c>
      <c r="F49" s="2571" t="s">
        <v>48</v>
      </c>
      <c r="G49" s="3392"/>
      <c r="H49" s="2572" t="s">
        <v>2832</v>
      </c>
      <c r="I49" s="2573"/>
      <c r="J49" s="2857"/>
      <c r="K49" s="2538">
        <v>4</v>
      </c>
      <c r="L49" s="3398" t="str">
        <f>IF(项目基本情况!F5="房地产抵押价值","房地产抵押价值","抵押担保权已注销时的房地产抵押价值")</f>
        <v>抵押担保权已注销时的房地产抵押价值</v>
      </c>
      <c r="M49" s="3398"/>
      <c r="N49" s="3399" t="str">
        <f>IF(项目基本情况!F5="房地产抵押价值",I110,I112)</f>
        <v>——</v>
      </c>
      <c r="O49" s="3399"/>
      <c r="P49" s="3399"/>
      <c r="Q49" s="1308"/>
    </row>
    <row r="50" spans="1:17" ht="25.5" customHeight="1">
      <c r="A50" s="2080"/>
      <c r="B50" s="3335" t="s">
        <v>1790</v>
      </c>
      <c r="C50" s="3335"/>
      <c r="D50" s="2574"/>
      <c r="E50" s="269"/>
      <c r="F50" s="2571"/>
      <c r="G50" s="3393"/>
      <c r="H50" s="2575" t="s">
        <v>2751</v>
      </c>
      <c r="I50" s="2573"/>
      <c r="J50" s="2857"/>
      <c r="K50" s="3398" t="s">
        <v>2759</v>
      </c>
      <c r="L50" s="3398"/>
      <c r="M50" s="3398"/>
      <c r="N50" s="3398"/>
      <c r="O50" s="3398"/>
      <c r="P50" s="3398"/>
      <c r="Q50" s="1308"/>
    </row>
    <row r="51" spans="1:17" ht="20.399999999999999" customHeight="1">
      <c r="A51" s="2576"/>
      <c r="B51" s="3335" t="s">
        <v>1792</v>
      </c>
      <c r="C51" s="3335"/>
      <c r="D51" s="1099"/>
      <c r="E51" s="264"/>
      <c r="F51" s="2571"/>
      <c r="G51" s="3394"/>
      <c r="H51" s="2575" t="s">
        <v>2752</v>
      </c>
      <c r="I51" s="2573"/>
      <c r="J51" s="2857"/>
      <c r="K51" s="2539" t="s">
        <v>2760</v>
      </c>
      <c r="L51" s="3398" t="s">
        <v>2761</v>
      </c>
      <c r="M51" s="3398"/>
      <c r="N51" s="2539" t="s">
        <v>2762</v>
      </c>
      <c r="O51" s="2539" t="s">
        <v>2763</v>
      </c>
      <c r="P51" s="2539" t="s">
        <v>2764</v>
      </c>
      <c r="Q51" s="1308"/>
    </row>
    <row r="52" spans="1:17" ht="24" customHeight="1">
      <c r="A52" s="2081" t="s">
        <v>1798</v>
      </c>
      <c r="B52" s="3335" t="s">
        <v>1799</v>
      </c>
      <c r="C52" s="3335"/>
      <c r="D52" s="1099" t="e">
        <f ca="1">ROUND(D45*'数据-取费表'!E29/(1+'数据-取费表'!F30),0)</f>
        <v>#REF!</v>
      </c>
      <c r="E52" s="2091" t="s">
        <v>1800</v>
      </c>
      <c r="F52" s="2577">
        <f>'数据-取费表'!E29</f>
        <v>0</v>
      </c>
      <c r="G52" s="2578"/>
      <c r="H52" s="947"/>
      <c r="I52" s="2982"/>
      <c r="J52" s="2857"/>
      <c r="K52" s="2538">
        <v>1</v>
      </c>
      <c r="L52" s="3365" t="s">
        <v>2765</v>
      </c>
      <c r="M52" s="3365"/>
      <c r="N52" s="2540" t="e">
        <f ca="1">D48</f>
        <v>#REF!</v>
      </c>
      <c r="O52" s="2538" t="str">
        <f>E48</f>
        <v>销售额×税（费）率</v>
      </c>
      <c r="P52" s="2541">
        <f>F48</f>
        <v>0</v>
      </c>
      <c r="Q52" s="1308"/>
    </row>
    <row r="53" spans="1:17" ht="12" customHeight="1">
      <c r="A53" s="2081" t="s">
        <v>1802</v>
      </c>
      <c r="B53" s="3297" t="s">
        <v>2844</v>
      </c>
      <c r="C53" s="3336"/>
      <c r="D53" s="1099" t="e">
        <f ca="1">ROUND(D45*'数据-取费表'!E29/(1+'数据-取费表'!F30),0)</f>
        <v>#REF!</v>
      </c>
      <c r="E53" s="2091" t="s">
        <v>1800</v>
      </c>
      <c r="F53" s="2577">
        <f>'数据-取费表'!E29</f>
        <v>0</v>
      </c>
      <c r="G53" s="2578"/>
      <c r="H53" s="947"/>
      <c r="I53" s="2982"/>
      <c r="J53" s="2857"/>
      <c r="K53" s="2538">
        <v>2</v>
      </c>
      <c r="L53" s="3365" t="s">
        <v>2766</v>
      </c>
      <c r="M53" s="3365"/>
      <c r="N53" s="2540">
        <f t="shared" ref="N53:P54" si="1">D55</f>
        <v>0</v>
      </c>
      <c r="O53" s="2538" t="str">
        <f t="shared" si="1"/>
        <v>销售额×税（费）率</v>
      </c>
      <c r="P53" s="2541" t="str">
        <f t="shared" si="1"/>
        <v>免征</v>
      </c>
      <c r="Q53" s="1308"/>
    </row>
    <row r="54" spans="1:17" ht="12" customHeight="1">
      <c r="A54" s="2081" t="s">
        <v>1804</v>
      </c>
      <c r="B54" s="3297" t="s">
        <v>2845</v>
      </c>
      <c r="C54" s="3336"/>
      <c r="D54" s="1099" t="e">
        <f ca="1">C68</f>
        <v>#REF!</v>
      </c>
      <c r="E54" s="264" t="s">
        <v>1805</v>
      </c>
      <c r="F54" s="2577">
        <f>'数据-取费表'!E29</f>
        <v>0</v>
      </c>
      <c r="G54" s="2578"/>
      <c r="H54" s="2983"/>
      <c r="I54" s="2982"/>
      <c r="J54" s="2857"/>
      <c r="K54" s="2538">
        <v>3</v>
      </c>
      <c r="L54" s="3365" t="s">
        <v>2767</v>
      </c>
      <c r="M54" s="3365"/>
      <c r="N54" s="2540">
        <f t="shared" si="1"/>
        <v>0</v>
      </c>
      <c r="O54" s="2538" t="str">
        <f t="shared" si="1"/>
        <v>增值额×税（费）率</v>
      </c>
      <c r="P54" s="2542" t="str">
        <f t="shared" si="1"/>
        <v>免征</v>
      </c>
      <c r="Q54" s="1308"/>
    </row>
    <row r="55" spans="1:17" ht="24" customHeight="1">
      <c r="A55" s="3295" t="s">
        <v>1807</v>
      </c>
      <c r="B55" s="3296"/>
      <c r="C55" s="3296"/>
      <c r="D55" s="12">
        <f>IF(H55="个人住宅",0,ROUND(D45*I55,0))</f>
        <v>0</v>
      </c>
      <c r="E55" s="2091" t="s">
        <v>1808</v>
      </c>
      <c r="F55" s="2577" t="str">
        <f>IF(H55="正常",I55,"免征")</f>
        <v>免征</v>
      </c>
      <c r="G55" s="2578"/>
      <c r="H55" s="2569" t="s">
        <v>2748</v>
      </c>
      <c r="I55" s="74">
        <f>'数据-取费表'!E37</f>
        <v>0</v>
      </c>
      <c r="J55" s="2857"/>
      <c r="K55" s="2538" t="str">
        <f>IF(H59="非个人房产","",4)</f>
        <v/>
      </c>
      <c r="L55" s="3365" t="str">
        <f>IF(H59="非个人房产","——","个人所得税")</f>
        <v>——</v>
      </c>
      <c r="M55" s="3365"/>
      <c r="N55" s="2543" t="str">
        <f>D59</f>
        <v>——</v>
      </c>
      <c r="O55" s="2544" t="str">
        <f>E59</f>
        <v>——</v>
      </c>
      <c r="P55" s="2545" t="str">
        <f>F59</f>
        <v>——</v>
      </c>
      <c r="Q55" s="1308"/>
    </row>
    <row r="56" spans="1:17" ht="25.2">
      <c r="A56" s="3295" t="s">
        <v>1810</v>
      </c>
      <c r="B56" s="3296"/>
      <c r="C56" s="3296"/>
      <c r="D56" s="12">
        <f>IF(H56="个人住宅",D57,D58)</f>
        <v>0</v>
      </c>
      <c r="E56" s="2091" t="s">
        <v>1811</v>
      </c>
      <c r="F56" s="2577" t="str">
        <f>IF(H56="正常",F58,"免征")</f>
        <v>免征</v>
      </c>
      <c r="G56" s="2579" t="s">
        <v>1812</v>
      </c>
      <c r="H56" s="2580" t="s">
        <v>2748</v>
      </c>
      <c r="I56" s="2984"/>
      <c r="J56" s="2857"/>
      <c r="K56" s="2538" t="str">
        <f>IF(项目基本情况!I6="上海银行",IF(K55="",4,K55+1),"")</f>
        <v/>
      </c>
      <c r="L56" s="3379" t="str">
        <f>IF(项目基本情况!I6="上海银行","其他处置费用","")</f>
        <v/>
      </c>
      <c r="M56" s="3380"/>
      <c r="N56" s="2540" t="str">
        <f>IF(项目基本情况!I6="上海银行",N69,"")</f>
        <v/>
      </c>
      <c r="O56" s="3379" t="str">
        <f>IF(项目基本情况!I6="上海银行","包含处置中涉及的律师、诉讼、拍卖、评估等费用","")</f>
        <v/>
      </c>
      <c r="P56" s="3391"/>
      <c r="Q56" s="1308"/>
    </row>
    <row r="57" spans="1:17" ht="13.2">
      <c r="A57" s="2081" t="s">
        <v>1787</v>
      </c>
      <c r="B57" s="3297" t="s">
        <v>1813</v>
      </c>
      <c r="C57" s="3336"/>
      <c r="D57" s="2570">
        <v>0</v>
      </c>
      <c r="E57" s="261" t="s">
        <v>1789</v>
      </c>
      <c r="F57" s="235"/>
      <c r="G57" s="2578"/>
      <c r="H57" s="2984"/>
      <c r="I57" s="2984"/>
      <c r="J57" s="2857"/>
      <c r="K57" s="3365">
        <f>IF(AND(K55="",K56=""),4,IF(项目基本情况!I6="上海银行",K56+1,K55+1))</f>
        <v>4</v>
      </c>
      <c r="L57" s="3365" t="s">
        <v>2768</v>
      </c>
      <c r="M57" s="2546" t="s">
        <v>2769</v>
      </c>
      <c r="N57" s="2547"/>
      <c r="O57" s="2548">
        <f ca="1">SUMIF(N52:N56,"&lt;9e307")</f>
        <v>0</v>
      </c>
      <c r="P57" s="2549"/>
      <c r="Q57" s="1306" t="e">
        <f ca="1">O57/N49</f>
        <v>#VALUE!</v>
      </c>
    </row>
    <row r="58" spans="1:17" ht="25.2">
      <c r="A58" s="2081" t="s">
        <v>1798</v>
      </c>
      <c r="B58" s="3297" t="s">
        <v>1816</v>
      </c>
      <c r="C58" s="3335"/>
      <c r="D58" s="12" t="e">
        <f ca="1">IF(H58="转让取得",C81,C97)</f>
        <v>#REF!</v>
      </c>
      <c r="E58" s="2091" t="s">
        <v>1811</v>
      </c>
      <c r="F58" s="235" t="s">
        <v>48</v>
      </c>
      <c r="G58" s="2578"/>
      <c r="H58" s="2580" t="s">
        <v>1817</v>
      </c>
      <c r="I58" s="2984"/>
      <c r="J58" s="2857"/>
      <c r="K58" s="3365"/>
      <c r="L58" s="3365"/>
      <c r="M58" s="2546" t="s">
        <v>2770</v>
      </c>
      <c r="N58" s="2550"/>
      <c r="O58" s="2551" t="str">
        <f ca="1">IF(H19="元",NUMBERSTRING(INT(O57),2)&amp;"元整",NUMBERSTRING(INT(O57*10000),2)&amp;"元整")</f>
        <v>零元整</v>
      </c>
      <c r="P58" s="2552"/>
      <c r="Q58" s="1308"/>
    </row>
    <row r="59" spans="1:17" ht="24.6" thickBot="1">
      <c r="A59" s="3319" t="s">
        <v>1819</v>
      </c>
      <c r="B59" s="3320"/>
      <c r="C59" s="3320"/>
      <c r="D59" s="2581"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5" t="s">
        <v>2833</v>
      </c>
      <c r="I59" s="2886" t="s">
        <v>2834</v>
      </c>
      <c r="J59" s="2857"/>
      <c r="K59" s="3363">
        <f>K57+1</f>
        <v>5</v>
      </c>
      <c r="L59" s="3365"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64"/>
      <c r="L60" s="3365"/>
      <c r="M60" s="2546" t="s">
        <v>2770</v>
      </c>
      <c r="N60" s="2550"/>
      <c r="O60" s="2551" t="e">
        <f ca="1">IF(H19="元",NUMBERSTRING(INT(O59),2)&amp;"元整",NUMBERSTRING(INT(O59*10000),2)&amp;"元整")</f>
        <v>#VALUE!</v>
      </c>
      <c r="P60" s="2552"/>
      <c r="Q60" s="1308"/>
    </row>
    <row r="61" spans="1:17" ht="13.8" thickBot="1">
      <c r="A61" s="3345" t="s">
        <v>1821</v>
      </c>
      <c r="B61" s="3345"/>
      <c r="C61" s="3345"/>
      <c r="D61" s="3345"/>
      <c r="E61" s="3345"/>
      <c r="F61" s="2985"/>
      <c r="G61" s="2985"/>
      <c r="H61" s="2987"/>
      <c r="I61" s="31"/>
      <c r="K61" s="2538">
        <f>K59+1</f>
        <v>6</v>
      </c>
      <c r="L61" s="3365" t="s">
        <v>2772</v>
      </c>
      <c r="M61" s="3365"/>
      <c r="N61" s="2556"/>
      <c r="O61" s="2557" t="e">
        <f ca="1">IF(H19="元",ROUND(O59/项目基本情况!C12,0),ROUND(O59*10000/项目基本情况!C12,0))</f>
        <v>#VALUE!</v>
      </c>
      <c r="P61" s="2558"/>
      <c r="Q61" s="1308"/>
    </row>
    <row r="62" spans="1:17" ht="13.2">
      <c r="A62" s="3354" t="s">
        <v>1823</v>
      </c>
      <c r="B62" s="3355"/>
      <c r="C62" s="1607"/>
      <c r="D62" s="1607" t="s">
        <v>1824</v>
      </c>
      <c r="E62" s="45" t="s">
        <v>1825</v>
      </c>
      <c r="F62" s="2985"/>
      <c r="G62" s="2985"/>
      <c r="H62" s="2987"/>
      <c r="I62" s="31"/>
      <c r="K62" s="2559"/>
      <c r="L62" s="2559"/>
      <c r="M62" s="2559"/>
      <c r="N62" s="2559"/>
      <c r="O62" s="2559"/>
      <c r="P62" s="2559"/>
      <c r="Q62" s="1308"/>
    </row>
    <row r="63" spans="1:17" ht="13.2">
      <c r="A63" s="46">
        <v>1</v>
      </c>
      <c r="B63" s="47" t="s">
        <v>1826</v>
      </c>
      <c r="C63" s="2788" t="e">
        <f ca="1">ROUND((C64+C65)/(1+'数据-取费表'!F30),0)</f>
        <v>#REF!</v>
      </c>
      <c r="D63" s="47"/>
      <c r="E63" s="48"/>
      <c r="F63" s="2985"/>
      <c r="G63" s="2985"/>
      <c r="H63" s="2987"/>
      <c r="I63" s="31"/>
      <c r="K63" s="3381" t="s">
        <v>2773</v>
      </c>
      <c r="L63" s="2560" t="s">
        <v>2774</v>
      </c>
      <c r="M63" s="2560" t="e">
        <f>IF(N49&gt;10000,N49*0.5%,IF(AND(N49&gt;1000,N49&lt;=10000),N49*1%,IF(AND(N49&gt;100,N49&lt;=1000),N49*3%,IF(AND(N49&gt;10,N49&lt;=100),N49*5%,N49*8%))))</f>
        <v>#VALUE!</v>
      </c>
      <c r="N63" s="2561" t="e">
        <f>ROUND(M63,1)</f>
        <v>#VALUE!</v>
      </c>
      <c r="O63" s="2559"/>
      <c r="P63" s="2559"/>
      <c r="Q63" s="1308"/>
    </row>
    <row r="64" spans="1:17" ht="13.2">
      <c r="A64" s="49" t="s">
        <v>71</v>
      </c>
      <c r="B64" s="50" t="s">
        <v>1829</v>
      </c>
      <c r="C64" s="2789" t="e">
        <f ca="1">D45</f>
        <v>#REF!</v>
      </c>
      <c r="D64" s="50" t="s">
        <v>41</v>
      </c>
      <c r="E64" s="52"/>
      <c r="F64" s="2985"/>
      <c r="G64" s="2985"/>
      <c r="H64" s="2987"/>
      <c r="I64" s="31"/>
      <c r="K64" s="3381"/>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3.2">
      <c r="A65" s="49" t="s">
        <v>72</v>
      </c>
      <c r="B65" s="50" t="s">
        <v>1832</v>
      </c>
      <c r="C65" s="2790"/>
      <c r="D65" s="50"/>
      <c r="E65" s="52"/>
      <c r="F65" s="2985"/>
      <c r="G65" s="2985"/>
      <c r="H65" s="2987"/>
      <c r="I65" s="31"/>
      <c r="K65" s="3381"/>
      <c r="L65" s="2560" t="s">
        <v>2777</v>
      </c>
      <c r="M65" s="2560" t="e">
        <f>IF(N49&gt;1000,N49*0.1%,IF(AND(N49&gt;500,N49&lt;=1000),N49*0.5%,IF(AND(N49&gt;50,N49&lt;=500),N49*1%,IF(AND(N49&gt;1,N49&lt;=50),N49*1.5%))))</f>
        <v>#VALUE!</v>
      </c>
      <c r="N65" s="2561" t="e">
        <f t="shared" si="2"/>
        <v>#VALUE!</v>
      </c>
      <c r="O65" s="2559" t="s">
        <v>2776</v>
      </c>
      <c r="P65" s="2559"/>
      <c r="Q65" s="1308"/>
    </row>
    <row r="66" spans="1:36" ht="25.2">
      <c r="A66" s="53" t="s">
        <v>47</v>
      </c>
      <c r="B66" s="54" t="s">
        <v>1834</v>
      </c>
      <c r="C66" s="2791"/>
      <c r="D66" s="54" t="s">
        <v>41</v>
      </c>
      <c r="E66" s="1316" t="s">
        <v>1835</v>
      </c>
      <c r="F66" s="2985"/>
      <c r="G66" s="2985"/>
      <c r="H66" s="2987"/>
      <c r="I66" s="31"/>
      <c r="K66" s="3381"/>
      <c r="L66" s="2560" t="s">
        <v>2778</v>
      </c>
      <c r="M66" s="2560" t="e">
        <f>N49*0.5%</f>
        <v>#VALUE!</v>
      </c>
      <c r="N66" s="2561" t="e">
        <f>IF(M66&gt;0.5,0.5,ROUND(M66,0))</f>
        <v>#VALUE!</v>
      </c>
      <c r="O66" s="2559" t="s">
        <v>2779</v>
      </c>
      <c r="P66" s="2559"/>
      <c r="Q66" s="1308"/>
    </row>
    <row r="67" spans="1:36" ht="13.2">
      <c r="A67" s="53" t="s">
        <v>42</v>
      </c>
      <c r="B67" s="54" t="s">
        <v>1838</v>
      </c>
      <c r="C67" s="2792" t="e">
        <f ca="1">C63-C66</f>
        <v>#REF!</v>
      </c>
      <c r="D67" s="50" t="s">
        <v>41</v>
      </c>
      <c r="E67" s="52"/>
      <c r="F67" s="2985"/>
      <c r="G67" s="2985"/>
      <c r="H67" s="2987"/>
      <c r="I67" s="31"/>
      <c r="K67" s="3381"/>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8" thickBot="1">
      <c r="A68" s="55" t="s">
        <v>46</v>
      </c>
      <c r="B68" s="56" t="s">
        <v>1840</v>
      </c>
      <c r="C68" s="2793" t="e">
        <f ca="1">IF(C67&lt;=0,0,ROUND(C67*D68,0))</f>
        <v>#REF!</v>
      </c>
      <c r="D68" s="2243">
        <f>'数据-取费表'!E29</f>
        <v>0</v>
      </c>
      <c r="E68" s="57"/>
      <c r="F68" s="2985"/>
      <c r="G68" s="2985"/>
      <c r="H68" s="2987"/>
      <c r="I68" s="31"/>
      <c r="K68" s="3381"/>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81"/>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4" thickBot="1">
      <c r="A70" s="3357" t="s">
        <v>1843</v>
      </c>
      <c r="B70" s="3358"/>
      <c r="C70" s="3358"/>
      <c r="D70" s="3358"/>
      <c r="E70" s="3358"/>
      <c r="F70" s="3358"/>
      <c r="G70" s="3358"/>
      <c r="H70" s="3358"/>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3.8">
      <c r="A71" s="3354" t="s">
        <v>1823</v>
      </c>
      <c r="B71" s="3355"/>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3.8">
      <c r="A72" s="61">
        <v>1</v>
      </c>
      <c r="B72" s="54" t="s">
        <v>1844</v>
      </c>
      <c r="C72" s="2792" t="e">
        <f ca="1">ROUND(D45/(1+'数据-取费表'!F30),0)</f>
        <v>#REF!</v>
      </c>
      <c r="D72" s="50" t="s">
        <v>41</v>
      </c>
      <c r="E72" s="12" t="s">
        <v>1845</v>
      </c>
      <c r="F72" s="2088"/>
      <c r="G72" s="2088"/>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63">
        <v>2</v>
      </c>
      <c r="B73" s="41" t="s">
        <v>1846</v>
      </c>
      <c r="C73" s="2792" t="e">
        <f ca="1">C74+C78</f>
        <v>#REF!</v>
      </c>
      <c r="D73" s="50" t="s">
        <v>41</v>
      </c>
      <c r="E73" s="2087"/>
      <c r="F73" s="2088"/>
      <c r="G73" s="2088"/>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7"/>
      <c r="F74" s="2088"/>
      <c r="G74" s="2088"/>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28.8">
      <c r="A75" s="49" t="s">
        <v>74</v>
      </c>
      <c r="B75" s="50" t="s">
        <v>1848</v>
      </c>
      <c r="C75" s="2269"/>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297" t="s">
        <v>1853</v>
      </c>
      <c r="F76" s="3335"/>
      <c r="G76" s="3335"/>
      <c r="H76" s="3349"/>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0</v>
      </c>
      <c r="E77" s="12" t="s">
        <v>1855</v>
      </c>
      <c r="F77" s="2094"/>
      <c r="G77" s="1486" t="s">
        <v>1856</v>
      </c>
      <c r="H77" s="2089"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t="e">
        <f ca="1">ROUND(D45*D78/(1+'数据-取费表'!F30),0)</f>
        <v>#REF!</v>
      </c>
      <c r="D78" s="2801">
        <f>'数据-取费表'!E31</f>
        <v>0</v>
      </c>
      <c r="E78" s="3329" t="s">
        <v>1858</v>
      </c>
      <c r="F78" s="3330"/>
      <c r="G78" s="3330"/>
      <c r="H78" s="3331"/>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3.8">
      <c r="A79" s="53" t="s">
        <v>42</v>
      </c>
      <c r="B79" s="54" t="s">
        <v>1859</v>
      </c>
      <c r="C79" s="2792" t="e">
        <f ca="1">C72-C73</f>
        <v>#REF!</v>
      </c>
      <c r="D79" s="50" t="s">
        <v>41</v>
      </c>
      <c r="E79" s="2087"/>
      <c r="F79" s="2088"/>
      <c r="G79" s="2088"/>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8"/>
      <c r="G80" s="2088"/>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6" thickBot="1">
      <c r="A81" s="55" t="s">
        <v>44</v>
      </c>
      <c r="B81" s="56" t="s">
        <v>1861</v>
      </c>
      <c r="C81" s="2803" t="e">
        <f ca="1">ROUND(IF(C79&lt;=0,0,IF(C80&gt;=200%,C79*60%-C73*35%,IF(C80&gt;=100%,C79*50%-C73*15%,IF(C80&gt;=50%,C79*40%-C73*5%,IF(C80&lt;50%,C79*30%,0))))),0)</f>
        <v>#REF!</v>
      </c>
      <c r="D81" s="217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3357" t="s">
        <v>1862</v>
      </c>
      <c r="B83" s="3358"/>
      <c r="C83" s="3358"/>
      <c r="D83" s="3358"/>
      <c r="E83" s="3358"/>
      <c r="F83" s="3358"/>
      <c r="G83" s="3358"/>
      <c r="H83" s="3358"/>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3.8">
      <c r="A84" s="3354" t="s">
        <v>1823</v>
      </c>
      <c r="B84" s="3355"/>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t="e">
        <f ca="1">ROUND(D45/(1+'数据-取费表'!F30),0)</f>
        <v>#REF!</v>
      </c>
      <c r="D85" s="50" t="s">
        <v>41</v>
      </c>
      <c r="E85" s="2087" t="s">
        <v>1845</v>
      </c>
      <c r="F85" s="2088"/>
      <c r="G85" s="2088"/>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63">
        <v>2</v>
      </c>
      <c r="B86" s="41" t="s">
        <v>1846</v>
      </c>
      <c r="C86" s="2792" t="e">
        <f ca="1">IF(H88="仅含出让金",C87+C90+C91+C92+C93+C94,C87+C91+C92+C93+C94)</f>
        <v>#REF!</v>
      </c>
      <c r="D86" s="2804"/>
      <c r="E86" s="2087"/>
      <c r="F86" s="2088"/>
      <c r="G86" s="2088"/>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49" t="s">
        <v>73</v>
      </c>
      <c r="B87" s="50" t="s">
        <v>1863</v>
      </c>
      <c r="C87" s="2800">
        <f>C88+C89</f>
        <v>0</v>
      </c>
      <c r="D87" s="2801"/>
      <c r="E87" s="2084"/>
      <c r="F87" s="2085"/>
      <c r="G87" s="2085"/>
      <c r="H87" s="2086"/>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4">
      <c r="A88" s="49" t="s">
        <v>74</v>
      </c>
      <c r="B88" s="50" t="s">
        <v>1864</v>
      </c>
      <c r="C88" s="2805"/>
      <c r="D88" s="2801"/>
      <c r="E88" s="74" t="s">
        <v>1865</v>
      </c>
      <c r="F88" s="2085"/>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75</v>
      </c>
      <c r="B89" s="50" t="s">
        <v>1854</v>
      </c>
      <c r="C89" s="2800">
        <f>ROUND(C88*D89,0)</f>
        <v>0</v>
      </c>
      <c r="D89" s="2801">
        <f>'数据-取费表'!E36+'数据-取费表'!E37</f>
        <v>0</v>
      </c>
      <c r="E89" s="74" t="s">
        <v>1867</v>
      </c>
      <c r="F89" s="2085"/>
      <c r="G89" s="2085"/>
      <c r="H89" s="2086"/>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5"/>
      <c r="G90" s="3390" t="s">
        <v>2743</v>
      </c>
      <c r="H90" s="3390"/>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329" t="s">
        <v>1870</v>
      </c>
      <c r="F91" s="3330"/>
      <c r="G91" s="3330"/>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329" t="s">
        <v>1873</v>
      </c>
      <c r="F92" s="3330"/>
      <c r="G92" s="3330"/>
      <c r="H92" s="3331"/>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t="e">
        <f ca="1">ROUND(D45*D93/(1+'数据-取费表'!F30),0)</f>
        <v>#REF!</v>
      </c>
      <c r="D93" s="2801">
        <f>'数据-取费表'!E31</f>
        <v>0</v>
      </c>
      <c r="E93" s="3329" t="s">
        <v>1858</v>
      </c>
      <c r="F93" s="3330"/>
      <c r="G93" s="3330"/>
      <c r="H93" s="3331"/>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329" t="s">
        <v>1875</v>
      </c>
      <c r="F94" s="3330"/>
      <c r="G94" s="3330"/>
      <c r="H94" s="3331"/>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3.8">
      <c r="A95" s="53" t="s">
        <v>42</v>
      </c>
      <c r="B95" s="54" t="s">
        <v>1859</v>
      </c>
      <c r="C95" s="2792" t="e">
        <f ca="1">ROUND(C85-C86,0)</f>
        <v>#REF!</v>
      </c>
      <c r="D95" s="50" t="s">
        <v>41</v>
      </c>
      <c r="E95" s="2087"/>
      <c r="F95" s="2088"/>
      <c r="G95" s="2088"/>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8"/>
      <c r="G96" s="2088"/>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6" thickBot="1">
      <c r="A97" s="55" t="s">
        <v>44</v>
      </c>
      <c r="B97" s="56" t="s">
        <v>1861</v>
      </c>
      <c r="C97" s="2803" t="e">
        <f ca="1">ROUND(IF(C95&lt;=0,0,IF(C96&gt;=200%,C95*60%-C86*35%,IF(C96&gt;=100%,C95*50%-C86*15%,IF(C96&gt;=50%,C95*40%-C86*5%,IF(C96&lt;50%,C95*30%,0))))),0)</f>
        <v>#REF!</v>
      </c>
      <c r="D97" s="217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6">
      <c r="A99" s="3376" t="s">
        <v>1877</v>
      </c>
      <c r="B99" s="3377"/>
      <c r="C99" s="3377"/>
      <c r="D99" s="3378"/>
      <c r="E99" s="1461"/>
      <c r="F99" s="3385" t="s">
        <v>1878</v>
      </c>
      <c r="G99" s="3386"/>
      <c r="H99" s="3386"/>
      <c r="I99" s="3387"/>
      <c r="J99" s="2863"/>
    </row>
    <row r="100" spans="1:36" ht="15">
      <c r="A100" s="3388" t="s">
        <v>1879</v>
      </c>
      <c r="B100" s="3389"/>
      <c r="C100" s="1307" t="str">
        <f>C4</f>
        <v>比较法-住宅</v>
      </c>
      <c r="D100" s="2811" t="str">
        <f>D4</f>
        <v>比较法-住宅</v>
      </c>
      <c r="E100" s="1461"/>
      <c r="F100" s="3300" t="s">
        <v>2787</v>
      </c>
      <c r="G100" s="3301"/>
      <c r="H100" s="3300" t="s">
        <v>2788</v>
      </c>
      <c r="I100" s="3299"/>
      <c r="J100" s="2864"/>
    </row>
    <row r="101" spans="1:36" ht="13.2">
      <c r="A101" s="3368" t="s">
        <v>2820</v>
      </c>
      <c r="B101" s="2308" t="str">
        <f>IF(H19="元","总价（元）","总价（万元）")</f>
        <v>总价（万元）</v>
      </c>
      <c r="C101" s="1307">
        <f ca="1">C19</f>
        <v>0</v>
      </c>
      <c r="D101" s="2811">
        <f ca="1">D19</f>
        <v>0</v>
      </c>
      <c r="E101" s="1461"/>
      <c r="F101" s="3300" t="str">
        <f>项目基本情况!I1</f>
        <v>北京市房地产</v>
      </c>
      <c r="G101" s="3301"/>
      <c r="H101" s="3298">
        <f>项目基本情况!C12</f>
        <v>0</v>
      </c>
      <c r="I101" s="3299"/>
      <c r="J101" s="2864"/>
    </row>
    <row r="102" spans="1:36" ht="13.2">
      <c r="A102" s="3368"/>
      <c r="B102" s="2308" t="s">
        <v>2821</v>
      </c>
      <c r="C102" s="2812">
        <f ca="1">C20</f>
        <v>52695</v>
      </c>
      <c r="D102" s="2813">
        <f ca="1">D20</f>
        <v>52695</v>
      </c>
      <c r="E102" s="1461"/>
      <c r="F102" s="3310" t="s">
        <v>2817</v>
      </c>
      <c r="G102" s="3311"/>
      <c r="H102" s="2821" t="str">
        <f>C106</f>
        <v>总价（万元）</v>
      </c>
      <c r="I102" s="2822" t="e">
        <f ca="1">H121</f>
        <v>#REF!</v>
      </c>
      <c r="J102" s="2864"/>
    </row>
    <row r="103" spans="1:36" ht="13.2">
      <c r="A103" s="3368" t="s">
        <v>2822</v>
      </c>
      <c r="B103" s="2246" t="str">
        <f>B101</f>
        <v>总价（万元）</v>
      </c>
      <c r="C103" s="2816" t="e">
        <f ca="1">H121</f>
        <v>#REF!</v>
      </c>
      <c r="D103" s="2814"/>
      <c r="E103" s="1461"/>
      <c r="F103" s="3310"/>
      <c r="G103" s="3311"/>
      <c r="H103" s="2821" t="s">
        <v>2790</v>
      </c>
      <c r="I103" s="52" t="e">
        <f ca="1">I121</f>
        <v>#REF!</v>
      </c>
      <c r="J103" s="2848"/>
    </row>
    <row r="104" spans="1:36" ht="13.8" thickBot="1">
      <c r="A104" s="3369"/>
      <c r="B104" s="2818" t="s">
        <v>2821</v>
      </c>
      <c r="C104" s="2819" t="e">
        <f ca="1">I121</f>
        <v>#REF!</v>
      </c>
      <c r="D104" s="2820"/>
      <c r="E104" s="1461"/>
      <c r="F104" s="3310"/>
      <c r="G104" s="3311"/>
      <c r="H104" s="3370"/>
      <c r="I104" s="3371"/>
      <c r="J104" s="2865"/>
    </row>
    <row r="105" spans="1:36" ht="13.8">
      <c r="A105" s="3376" t="s">
        <v>1880</v>
      </c>
      <c r="B105" s="3377"/>
      <c r="C105" s="3377"/>
      <c r="D105" s="3378"/>
      <c r="E105" s="1461"/>
      <c r="F105" s="3374" t="s">
        <v>2791</v>
      </c>
      <c r="G105" s="3375"/>
      <c r="H105" s="2823" t="str">
        <f>C108</f>
        <v>总额（万元）</v>
      </c>
      <c r="I105" s="2822">
        <f>SUMIF(I106:I108,"&lt;9E307")</f>
        <v>0</v>
      </c>
      <c r="J105" s="2864"/>
    </row>
    <row r="106" spans="1:36" ht="13.8">
      <c r="A106" s="3310" t="s">
        <v>2814</v>
      </c>
      <c r="B106" s="3311"/>
      <c r="C106" s="2821" t="str">
        <f>B101</f>
        <v>总价（万元）</v>
      </c>
      <c r="D106" s="2822" t="e">
        <f ca="1">H121</f>
        <v>#REF!</v>
      </c>
      <c r="E106" s="1461"/>
      <c r="F106" s="3312" t="s">
        <v>2792</v>
      </c>
      <c r="G106" s="3313"/>
      <c r="H106" s="2823" t="str">
        <f>C109</f>
        <v>总额（万元）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3.2">
      <c r="A107" s="3310"/>
      <c r="B107" s="3311"/>
      <c r="C107" s="2821" t="s">
        <v>2815</v>
      </c>
      <c r="D107" s="52" t="e">
        <f ca="1">I121</f>
        <v>#REF!</v>
      </c>
      <c r="E107" s="1461"/>
      <c r="F107" s="3312" t="s">
        <v>2793</v>
      </c>
      <c r="G107" s="3313"/>
      <c r="H107" s="2823" t="str">
        <f>C110</f>
        <v>总额（万元）</v>
      </c>
      <c r="I107" s="52">
        <f>C37</f>
        <v>0</v>
      </c>
      <c r="J107" s="2848"/>
    </row>
    <row r="108" spans="1:36" ht="13.2">
      <c r="A108" s="3317" t="s">
        <v>2791</v>
      </c>
      <c r="B108" s="3318"/>
      <c r="C108" s="2823" t="str">
        <f>IF(H19="元","总额（元）","总额（万元）")</f>
        <v>总额（万元）</v>
      </c>
      <c r="D108" s="2822">
        <f>IF(D36="正常操作",I106+I107+I108,I107+I108)</f>
        <v>0</v>
      </c>
      <c r="E108" s="1461"/>
      <c r="F108" s="3312" t="s">
        <v>2818</v>
      </c>
      <c r="G108" s="3313"/>
      <c r="H108" s="2823" t="str">
        <f>C111</f>
        <v>总额（万元）</v>
      </c>
      <c r="I108" s="52">
        <f>C38</f>
        <v>0</v>
      </c>
      <c r="J108" s="2848"/>
    </row>
    <row r="109" spans="1:36" ht="13.2">
      <c r="A109" s="3312" t="s">
        <v>2792</v>
      </c>
      <c r="B109" s="3313"/>
      <c r="C109" s="2823" t="str">
        <f>C108</f>
        <v>总额（万元）</v>
      </c>
      <c r="D109" s="52">
        <f>IF(D36="同一抵押权人同一抵押物续贷",C36&amp;"（未扣减，详见特别提示）",C36)</f>
        <v>0</v>
      </c>
      <c r="E109" s="1461"/>
      <c r="F109" s="3310"/>
      <c r="G109" s="3311"/>
      <c r="H109" s="3372"/>
      <c r="I109" s="3373"/>
      <c r="J109" s="2866"/>
    </row>
    <row r="110" spans="1:36" ht="28.5" customHeight="1">
      <c r="A110" s="3312" t="s">
        <v>2816</v>
      </c>
      <c r="B110" s="3313"/>
      <c r="C110" s="2823" t="str">
        <f>C108</f>
        <v>总额（万元）</v>
      </c>
      <c r="D110" s="52">
        <f>C37</f>
        <v>0</v>
      </c>
      <c r="E110" s="1461"/>
      <c r="F110" s="3302" t="str">
        <f>IF(项目基本情况!F5="已注销","——","3.房地产抵押价值")</f>
        <v>3.房地产抵押价值</v>
      </c>
      <c r="G110" s="3303"/>
      <c r="H110" s="2809" t="str">
        <f>C112</f>
        <v>总价（万元）</v>
      </c>
      <c r="I110" s="2822" t="e">
        <f ca="1">IF(F110="——","——",I102-I105)</f>
        <v>#REF!</v>
      </c>
      <c r="J110" s="2864"/>
    </row>
    <row r="111" spans="1:36" ht="13.2">
      <c r="A111" s="3312" t="s">
        <v>2795</v>
      </c>
      <c r="B111" s="3313"/>
      <c r="C111" s="2823" t="str">
        <f>C108</f>
        <v>总额（万元）</v>
      </c>
      <c r="D111" s="52">
        <f>C38</f>
        <v>0</v>
      </c>
      <c r="E111" s="1461"/>
      <c r="F111" s="3401"/>
      <c r="G111" s="3402"/>
      <c r="H111" s="2821" t="s">
        <v>2790</v>
      </c>
      <c r="I111" s="2825" t="e">
        <f ca="1">D113</f>
        <v>#REF!</v>
      </c>
      <c r="J111" s="2867"/>
    </row>
    <row r="112" spans="1:36" ht="26.25" customHeight="1">
      <c r="A112" s="3310" t="str">
        <f>IF(项目基本情况!F5="已注销","——","3.房地产抵押价值")</f>
        <v>3.房地产抵押价值</v>
      </c>
      <c r="B112" s="3311"/>
      <c r="C112" s="2821" t="str">
        <f>B101</f>
        <v>总价（万元）</v>
      </c>
      <c r="D112" s="2822" t="e">
        <f ca="1">IF(A112="——","——",D106-D108)</f>
        <v>#REF!</v>
      </c>
      <c r="E112" s="1461"/>
      <c r="F112" s="3302" t="str">
        <f>IF(项目基本情况!F5="已注销及未注销","4.抵押担保权已注销时的房地产抵押价值",IF(项目基本情况!F5="已注销","3.抵押担保权已注销时的房地产抵押价值","——"))</f>
        <v>——</v>
      </c>
      <c r="G112" s="3303"/>
      <c r="H112" s="2809" t="str">
        <f>C114</f>
        <v>总价（万元）</v>
      </c>
      <c r="I112" s="2822" t="str">
        <f>IF(F112="——","——",I102-I107-I108)</f>
        <v>——</v>
      </c>
      <c r="J112" s="2864"/>
    </row>
    <row r="113" spans="1:16" ht="13.2">
      <c r="A113" s="3310"/>
      <c r="B113" s="3311"/>
      <c r="C113" s="2821" t="s">
        <v>2783</v>
      </c>
      <c r="D113" s="52" t="e">
        <f ca="1">ROUND(IF(D112=D106,D107,IF(H19="元",D112/项目基本情况!C12,D112*10000/项目基本情况!C12)),0)</f>
        <v>#REF!</v>
      </c>
      <c r="E113" s="1461"/>
      <c r="F113" s="3401"/>
      <c r="G113" s="3402"/>
      <c r="H113" s="2821" t="s">
        <v>2819</v>
      </c>
      <c r="I113" s="52" t="str">
        <f>D115</f>
        <v>——</v>
      </c>
      <c r="J113" s="2848"/>
    </row>
    <row r="114" spans="1:16" ht="13.2">
      <c r="A114" s="3310" t="str">
        <f>IF(项目基本情况!F5="已注销及未注销","4.抵押担保权已注销时的房地产抵押价值",IF(项目基本情况!F5="已注销","3.抵押担保权已注销时的房地产抵押价值","——"))</f>
        <v>——</v>
      </c>
      <c r="B114" s="3311"/>
      <c r="C114" s="2821" t="str">
        <f>B101</f>
        <v>总价（万元）</v>
      </c>
      <c r="D114" s="2822" t="str">
        <f>IF(A114="——","——",D106-D110-D111)</f>
        <v>——</v>
      </c>
      <c r="E114" s="1461"/>
      <c r="F114" s="3302" t="str">
        <f>IF(项目基本情况!G5="抵押净值",IF(OR(项目基本情况!F5="已注销",项目基本情况!F5="房地产抵押价值"),"4.抵押净值","5.抵押净值"),"——")</f>
        <v>——</v>
      </c>
      <c r="G114" s="3303"/>
      <c r="H114" s="2821" t="str">
        <f>C116</f>
        <v>总价（万元）</v>
      </c>
      <c r="I114" s="2822" t="str">
        <f>IF(F114="——","——",O59)</f>
        <v>——</v>
      </c>
      <c r="J114" s="2864"/>
    </row>
    <row r="115" spans="1:16" ht="13.8" thickBot="1">
      <c r="A115" s="3310"/>
      <c r="B115" s="3311"/>
      <c r="C115" s="2821" t="s">
        <v>2783</v>
      </c>
      <c r="D115" s="52" t="str">
        <f>IF(A114="——","——",ROUND(IF(D114=D106,D107,IF(H19="元",D114/项目基本情况!C12,D114*10000/项目基本情况!C12)),0))</f>
        <v>——</v>
      </c>
      <c r="E115" s="1461"/>
      <c r="F115" s="3304"/>
      <c r="G115" s="3305"/>
      <c r="H115" s="2826" t="s">
        <v>2783</v>
      </c>
      <c r="I115" s="2810" t="e">
        <f ca="1">D117</f>
        <v>#REF!</v>
      </c>
      <c r="J115" s="2848"/>
    </row>
    <row r="116" spans="1:16" ht="15.6">
      <c r="A116" s="3310" t="str">
        <f>IF(项目基本情况!G5="抵押净值",IF(OR(项目基本情况!F5="已注销",项目基本情况!F5="房地产抵押价值"),"4.抵押净值","5.抵押净值"),"——")</f>
        <v>——</v>
      </c>
      <c r="B116" s="3311"/>
      <c r="C116" s="2821" t="str">
        <f>B101</f>
        <v>总价（万元）</v>
      </c>
      <c r="D116" s="2822" t="str">
        <f>IF(A116="——","——",O59)</f>
        <v>——</v>
      </c>
      <c r="E116" s="1461"/>
      <c r="F116" s="3396"/>
      <c r="G116" s="3396"/>
      <c r="H116" s="3360"/>
      <c r="I116" s="3360"/>
      <c r="J116" s="2868"/>
      <c r="O116" s="32"/>
      <c r="P116" s="32"/>
    </row>
    <row r="117" spans="1:16" ht="13.8" thickBot="1">
      <c r="A117" s="3315"/>
      <c r="B117" s="3316"/>
      <c r="C117" s="2826" t="s">
        <v>2783</v>
      </c>
      <c r="D117" s="2810" t="e">
        <f ca="1">IF(D116=D112,D113,IF(A116="——","——",O61))</f>
        <v>#REF!</v>
      </c>
      <c r="E117" s="1461"/>
      <c r="F117" s="3294" t="str">
        <f>IF(B32="总价","（以上估价结果中单价为总价除以建筑面积得出）","（以上估价结果中总价为楼面单价乘以建筑面积得出）")</f>
        <v>（以上估价结果中总价为楼面单价乘以建筑面积得出）</v>
      </c>
      <c r="G117" s="3294"/>
      <c r="H117" s="3294"/>
      <c r="I117" s="3294"/>
      <c r="J117" s="2869"/>
      <c r="O117" s="32"/>
      <c r="P117" s="32"/>
    </row>
    <row r="118" spans="1:16" ht="14.4">
      <c r="A118" s="3361" t="s">
        <v>1881</v>
      </c>
      <c r="B118" s="3362"/>
      <c r="C118" s="3362"/>
      <c r="D118" s="3362"/>
      <c r="E118" s="3362"/>
      <c r="F118" s="3362"/>
      <c r="G118" s="3362"/>
      <c r="H118" s="3362"/>
      <c r="I118" s="3362"/>
      <c r="J118" s="2870"/>
    </row>
    <row r="119" spans="1:16" ht="13.2">
      <c r="A119" s="3295" t="s">
        <v>2801</v>
      </c>
      <c r="B119" s="3321" t="s">
        <v>2811</v>
      </c>
      <c r="C119" s="3321" t="s">
        <v>2812</v>
      </c>
      <c r="D119" s="3383" t="s">
        <v>2803</v>
      </c>
      <c r="E119" s="3384"/>
      <c r="F119" s="3296" t="s">
        <v>2813</v>
      </c>
      <c r="G119" s="3296"/>
      <c r="H119" s="3296" t="s">
        <v>2804</v>
      </c>
      <c r="I119" s="3382"/>
      <c r="J119" s="2848"/>
    </row>
    <row r="120" spans="1:16" ht="13.2">
      <c r="A120" s="3295"/>
      <c r="B120" s="3322"/>
      <c r="C120" s="3322"/>
      <c r="D120" s="2091" t="s">
        <v>2805</v>
      </c>
      <c r="E120" s="2091" t="s">
        <v>2810</v>
      </c>
      <c r="F120" s="2091" t="s">
        <v>2805</v>
      </c>
      <c r="G120" s="2091" t="s">
        <v>2806</v>
      </c>
      <c r="H120" s="2091" t="s">
        <v>2805</v>
      </c>
      <c r="I120" s="52" t="s">
        <v>2806</v>
      </c>
      <c r="J120" s="2848"/>
    </row>
    <row r="121" spans="1:16" ht="13.2">
      <c r="A121" s="2081" t="str">
        <f>项目基本情况!I1</f>
        <v>北京市房地产</v>
      </c>
      <c r="B121" s="2091">
        <f>项目基本情况!C12</f>
        <v>0</v>
      </c>
      <c r="C121" s="2091">
        <f>项目基本情况!C13</f>
        <v>0</v>
      </c>
      <c r="D121" s="2091" t="e">
        <f ca="1">ROUND(IF(B32="总价",C34,IF('数据-取费表'!B3="万元",E121*B121/10000,E121*B121)),0)</f>
        <v>#REF!</v>
      </c>
      <c r="E121" s="2091" t="e">
        <f ca="1">ROUND(IF(B32="楼面单价",C34,IF(H19="元",D121/B121,D121*10000/B121)),0)</f>
        <v>#REF!</v>
      </c>
      <c r="F121" s="2091" t="e">
        <f ca="1">ROUND(IF(B32="总价",C35,IF('数据-取费表'!B3="万元",G121*B121/10000,G121*B121)),0)</f>
        <v>#REF!</v>
      </c>
      <c r="G121" s="2091" t="e">
        <f ca="1">ROUND(IF(B32="楼面单价",C35,IF(H19="元",F121/B121,F121*10000/B121)),0)</f>
        <v>#REF!</v>
      </c>
      <c r="H121" s="2091" t="e">
        <f ca="1">ROUND(IF(B32="总价",C32,IF('数据-取费表'!B3="万元",I121*B121/10000,I121*B121)),0)</f>
        <v>#REF!</v>
      </c>
      <c r="I121" s="52" t="e">
        <f ca="1">ROUND(IF(B32="楼面单价",C32,IF(H19="元",H121/B121,H121*10000/B121)),0)</f>
        <v>#REF!</v>
      </c>
      <c r="J121" s="2848"/>
    </row>
    <row r="122" spans="1:16" ht="13.2">
      <c r="A122" s="3295" t="s">
        <v>2807</v>
      </c>
      <c r="B122" s="3296"/>
      <c r="C122" s="3296"/>
      <c r="D122" s="3323" t="e">
        <f ca="1">IF(H19="元",NUMBERSTRING(INT(D121),2)&amp;"元整",NUMBERSTRING(INT(D121*10000),2)&amp;"元整")</f>
        <v>#REF!</v>
      </c>
      <c r="E122" s="3366"/>
      <c r="F122" s="3323" t="e">
        <f ca="1">IF(H19="元",NUMBERSTRING(INT(F121),2)&amp;"元整",NUMBERSTRING(INT(F121*10000),2)&amp;"元整")</f>
        <v>#REF!</v>
      </c>
      <c r="G122" s="3366"/>
      <c r="H122" s="3323" t="e">
        <f ca="1">IF(H19="元",NUMBERSTRING(INT(H121),2)&amp;"元整",NUMBERSTRING(INT(H121*10000),2)&amp;"元整")</f>
        <v>#REF!</v>
      </c>
      <c r="I122" s="3324"/>
      <c r="J122" s="2871"/>
    </row>
    <row r="123" spans="1:16" ht="13.2">
      <c r="A123" s="3300" t="str">
        <f>IF(项目基本情况!D5="房地产市场价值","——",MID(A108,3,LEN(A108)-2))</f>
        <v>——</v>
      </c>
      <c r="B123" s="3306"/>
      <c r="C123" s="3301"/>
      <c r="D123" s="3298">
        <f>I105</f>
        <v>0</v>
      </c>
      <c r="E123" s="3306"/>
      <c r="F123" s="3306"/>
      <c r="G123" s="3306"/>
      <c r="H123" s="3306"/>
      <c r="I123" s="3299"/>
      <c r="J123" s="2864"/>
    </row>
    <row r="124" spans="1:16" ht="13.2">
      <c r="A124" s="3367" t="s">
        <v>2807</v>
      </c>
      <c r="B124" s="3335"/>
      <c r="C124" s="3336"/>
      <c r="D124" s="3307">
        <f>H109</f>
        <v>0</v>
      </c>
      <c r="E124" s="3308"/>
      <c r="F124" s="3308"/>
      <c r="G124" s="3308"/>
      <c r="H124" s="3308"/>
      <c r="I124" s="3309"/>
      <c r="J124" s="2872"/>
    </row>
    <row r="125" spans="1:16" ht="13.2">
      <c r="A125" s="3310" t="str">
        <f>IF(项目基本情况!D5="房地产市场价值","——",MID(A112,3,LEN(A112)-2))</f>
        <v>——</v>
      </c>
      <c r="B125" s="3311"/>
      <c r="C125" s="3311"/>
      <c r="D125" s="3298" t="e">
        <f ca="1">I110</f>
        <v>#REF!</v>
      </c>
      <c r="E125" s="3306"/>
      <c r="F125" s="3306"/>
      <c r="G125" s="3306"/>
      <c r="H125" s="3306"/>
      <c r="I125" s="3299"/>
      <c r="J125" s="2864"/>
    </row>
    <row r="126" spans="1:16" ht="13.2">
      <c r="A126" s="3295" t="s">
        <v>2807</v>
      </c>
      <c r="B126" s="3296"/>
      <c r="C126" s="3296"/>
      <c r="D126" s="3307" t="e">
        <f ca="1">I111</f>
        <v>#REF!</v>
      </c>
      <c r="E126" s="3308"/>
      <c r="F126" s="3308"/>
      <c r="G126" s="3308"/>
      <c r="H126" s="3308"/>
      <c r="I126" s="3309"/>
      <c r="J126" s="2872"/>
    </row>
    <row r="127" spans="1:16" ht="13.8" thickBot="1">
      <c r="A127" s="3310" t="str">
        <f>IF(项目基本情况!D5="房地产市场价值","——",MID(A114,3,LEN(A114)-2))</f>
        <v>——</v>
      </c>
      <c r="B127" s="3311"/>
      <c r="C127" s="3311"/>
      <c r="D127" s="3343" t="str">
        <f>I112</f>
        <v>——</v>
      </c>
      <c r="E127" s="3344"/>
      <c r="F127" s="3344"/>
      <c r="G127" s="3344"/>
      <c r="H127" s="3344"/>
      <c r="I127" s="3395"/>
      <c r="J127" s="2864"/>
    </row>
    <row r="128" spans="1:16" ht="14.4" thickTop="1" thickBot="1">
      <c r="A128" s="3295" t="s">
        <v>2807</v>
      </c>
      <c r="B128" s="3296"/>
      <c r="C128" s="3297"/>
      <c r="D128" s="3359" t="str">
        <f>I113</f>
        <v>——</v>
      </c>
      <c r="E128" s="3359"/>
      <c r="F128" s="3359"/>
      <c r="G128" s="3359"/>
      <c r="H128" s="3359"/>
      <c r="I128" s="3359"/>
      <c r="J128" s="2872"/>
    </row>
    <row r="129" spans="1:10" ht="14.4" thickTop="1" thickBot="1">
      <c r="A129" s="3310" t="str">
        <f>IF(项目基本情况!D5="房地产市场价值","——",MID(F114,3,LEN(F114)-2))</f>
        <v>——</v>
      </c>
      <c r="B129" s="3311"/>
      <c r="C129" s="3298"/>
      <c r="D129" s="3314" t="str">
        <f>I114</f>
        <v>——</v>
      </c>
      <c r="E129" s="3314"/>
      <c r="F129" s="3314"/>
      <c r="G129" s="3314"/>
      <c r="H129" s="3314"/>
      <c r="I129" s="3314"/>
      <c r="J129" s="2864"/>
    </row>
    <row r="130" spans="1:10" ht="14.4" thickTop="1" thickBot="1">
      <c r="A130" s="3319" t="s">
        <v>2807</v>
      </c>
      <c r="B130" s="3320"/>
      <c r="C130" s="3320"/>
      <c r="D130" s="3325">
        <f>H116</f>
        <v>0</v>
      </c>
      <c r="E130" s="3326"/>
      <c r="F130" s="3326"/>
      <c r="G130" s="3326"/>
      <c r="H130" s="3326"/>
      <c r="I130" s="3327"/>
      <c r="J130" s="2872"/>
    </row>
    <row r="131" spans="1:10" ht="13.2">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3"/>
    </row>
    <row r="132" spans="1:10" ht="13.8" thickBot="1">
      <c r="A132" s="3293" t="str">
        <f>IF(B32="总价","（以上估价结果中楼面单价为总价除以建筑面积得出）","（以上估价结果中总价为楼面单价乘以建筑面积得出）")</f>
        <v>（以上估价结果中总价为楼面单价乘以建筑面积得出）</v>
      </c>
      <c r="B132" s="3293"/>
      <c r="C132" s="3293"/>
      <c r="D132" s="3293"/>
      <c r="E132" s="3293"/>
      <c r="F132" s="3293"/>
      <c r="G132" s="3293"/>
      <c r="H132" s="3293"/>
      <c r="I132" s="3293"/>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2"/>
    <col min="2" max="2" width="17.6640625" style="1462" customWidth="1"/>
    <col min="3" max="4" width="12.6640625" style="1462" customWidth="1"/>
    <col min="5" max="9" width="12.6640625" style="1462"/>
    <col min="10" max="10" width="4.109375" style="2845"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1889</v>
      </c>
      <c r="B1" s="1461"/>
      <c r="C1" s="1461"/>
      <c r="D1" s="1461"/>
      <c r="E1" s="1461"/>
      <c r="F1" s="1461"/>
      <c r="G1" s="1461"/>
      <c r="H1" s="1461"/>
      <c r="I1" s="1461"/>
    </row>
    <row r="2" spans="1:15" ht="21.75" customHeight="1">
      <c r="A2" s="3427" t="s">
        <v>1890</v>
      </c>
      <c r="B2" s="3427"/>
      <c r="C2" s="3427"/>
      <c r="D2" s="3427"/>
      <c r="E2" s="3427"/>
      <c r="F2" s="3427"/>
      <c r="G2" s="3427"/>
      <c r="H2" s="3427"/>
      <c r="I2" s="3427"/>
      <c r="J2" s="2877"/>
    </row>
    <row r="3" spans="1:15" ht="13.2">
      <c r="A3" s="3351" t="s">
        <v>1718</v>
      </c>
      <c r="B3" s="3352"/>
      <c r="C3" s="3352"/>
      <c r="D3" s="3352"/>
      <c r="E3" s="3352"/>
      <c r="F3" s="3352"/>
      <c r="G3" s="3352"/>
      <c r="H3" s="3352"/>
      <c r="I3" s="3352"/>
      <c r="J3" s="2847"/>
    </row>
    <row r="4" spans="1:15" ht="14.4">
      <c r="A4" s="2715" t="s">
        <v>1719</v>
      </c>
      <c r="B4" s="2715" t="s">
        <v>1720</v>
      </c>
      <c r="C4" s="2716"/>
      <c r="D4" s="2716"/>
      <c r="E4" s="3297" t="s">
        <v>1891</v>
      </c>
      <c r="F4" s="3335"/>
      <c r="G4" s="3335"/>
      <c r="H4" s="3335"/>
      <c r="I4" s="3336"/>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2">
      <c r="A5" s="3328" t="s">
        <v>1722</v>
      </c>
      <c r="B5" s="3328">
        <v>25</v>
      </c>
      <c r="C5" s="3337"/>
      <c r="D5" s="3350"/>
      <c r="E5" s="12" t="s">
        <v>1723</v>
      </c>
      <c r="F5" s="2088"/>
      <c r="G5" s="2088"/>
      <c r="H5" s="2088"/>
      <c r="I5" s="2083"/>
      <c r="J5" s="2848"/>
    </row>
    <row r="6" spans="1:15" ht="13.2">
      <c r="A6" s="3328"/>
      <c r="B6" s="3328"/>
      <c r="C6" s="3353"/>
      <c r="D6" s="3350"/>
      <c r="E6" s="12" t="s">
        <v>1724</v>
      </c>
      <c r="F6" s="2088"/>
      <c r="G6" s="2088"/>
      <c r="H6" s="2088"/>
      <c r="I6" s="2083"/>
      <c r="J6" s="2848"/>
    </row>
    <row r="7" spans="1:15" ht="13.2">
      <c r="A7" s="3328"/>
      <c r="B7" s="3328"/>
      <c r="C7" s="3338"/>
      <c r="D7" s="3350"/>
      <c r="E7" s="12" t="s">
        <v>1725</v>
      </c>
      <c r="F7" s="2088"/>
      <c r="G7" s="2088"/>
      <c r="H7" s="2088"/>
      <c r="I7" s="2083"/>
      <c r="J7" s="2848"/>
    </row>
    <row r="8" spans="1:15" ht="13.2">
      <c r="A8" s="3328" t="s">
        <v>1726</v>
      </c>
      <c r="B8" s="3328">
        <v>15</v>
      </c>
      <c r="C8" s="3337"/>
      <c r="D8" s="3350"/>
      <c r="E8" s="12" t="s">
        <v>1727</v>
      </c>
      <c r="F8" s="2088"/>
      <c r="G8" s="2088"/>
      <c r="H8" s="2088"/>
      <c r="I8" s="2083"/>
      <c r="J8" s="2848"/>
    </row>
    <row r="9" spans="1:15" ht="13.2">
      <c r="A9" s="3328"/>
      <c r="B9" s="3328"/>
      <c r="C9" s="3338"/>
      <c r="D9" s="3350"/>
      <c r="E9" s="12" t="s">
        <v>1728</v>
      </c>
      <c r="F9" s="2088"/>
      <c r="G9" s="2088"/>
      <c r="H9" s="2088"/>
      <c r="I9" s="2083"/>
      <c r="J9" s="2848"/>
    </row>
    <row r="10" spans="1:15" ht="13.2">
      <c r="A10" s="3328" t="s">
        <v>1729</v>
      </c>
      <c r="B10" s="3328">
        <v>15</v>
      </c>
      <c r="C10" s="3337"/>
      <c r="D10" s="3350"/>
      <c r="E10" s="12" t="s">
        <v>1730</v>
      </c>
      <c r="F10" s="2088"/>
      <c r="G10" s="2088"/>
      <c r="H10" s="2088"/>
      <c r="I10" s="2083"/>
      <c r="J10" s="2848"/>
    </row>
    <row r="11" spans="1:15" ht="13.2">
      <c r="A11" s="3328"/>
      <c r="B11" s="3328"/>
      <c r="C11" s="3338"/>
      <c r="D11" s="3350"/>
      <c r="E11" s="12" t="s">
        <v>1731</v>
      </c>
      <c r="F11" s="2088"/>
      <c r="G11" s="2088"/>
      <c r="H11" s="2088"/>
      <c r="I11" s="2083"/>
      <c r="J11" s="2848"/>
    </row>
    <row r="12" spans="1:15" ht="13.2">
      <c r="A12" s="3328" t="s">
        <v>1732</v>
      </c>
      <c r="B12" s="3328">
        <v>15</v>
      </c>
      <c r="C12" s="3337"/>
      <c r="D12" s="3350"/>
      <c r="E12" s="12" t="s">
        <v>1733</v>
      </c>
      <c r="F12" s="2088"/>
      <c r="G12" s="2088"/>
      <c r="H12" s="2088"/>
      <c r="I12" s="2083"/>
      <c r="J12" s="2848"/>
    </row>
    <row r="13" spans="1:15" ht="13.2">
      <c r="A13" s="3328"/>
      <c r="B13" s="3328"/>
      <c r="C13" s="3338"/>
      <c r="D13" s="3350"/>
      <c r="E13" s="12" t="s">
        <v>1734</v>
      </c>
      <c r="F13" s="2088"/>
      <c r="G13" s="2088"/>
      <c r="H13" s="2088"/>
      <c r="I13" s="2083"/>
      <c r="J13" s="2848"/>
    </row>
    <row r="14" spans="1:15" ht="13.2">
      <c r="A14" s="3328" t="s">
        <v>1735</v>
      </c>
      <c r="B14" s="3328">
        <v>30</v>
      </c>
      <c r="C14" s="3337"/>
      <c r="D14" s="3350"/>
      <c r="E14" s="12" t="s">
        <v>1736</v>
      </c>
      <c r="F14" s="2088"/>
      <c r="G14" s="2088"/>
      <c r="H14" s="2088"/>
      <c r="I14" s="2083"/>
      <c r="J14" s="2848"/>
    </row>
    <row r="15" spans="1:15" ht="13.2">
      <c r="A15" s="3328"/>
      <c r="B15" s="3328"/>
      <c r="C15" s="3353"/>
      <c r="D15" s="3350"/>
      <c r="E15" s="12" t="s">
        <v>1737</v>
      </c>
      <c r="F15" s="2088"/>
      <c r="G15" s="2088"/>
      <c r="H15" s="2088"/>
      <c r="I15" s="2083"/>
      <c r="J15" s="2848"/>
    </row>
    <row r="16" spans="1:15" ht="13.2">
      <c r="A16" s="3328"/>
      <c r="B16" s="3328"/>
      <c r="C16" s="3338"/>
      <c r="D16" s="3350"/>
      <c r="E16" s="12" t="s">
        <v>1738</v>
      </c>
      <c r="F16" s="2088"/>
      <c r="G16" s="2088"/>
      <c r="H16" s="2088"/>
      <c r="I16" s="2083"/>
      <c r="J16" s="2848"/>
    </row>
    <row r="17" spans="1:36" ht="14.4">
      <c r="A17" s="2717" t="s">
        <v>1739</v>
      </c>
      <c r="B17" s="2093"/>
      <c r="C17" s="2718">
        <f>SUM(C5:C16)</f>
        <v>0</v>
      </c>
      <c r="D17" s="2718">
        <f>SUM(D5:D16)</f>
        <v>0</v>
      </c>
      <c r="E17" s="2565"/>
      <c r="F17" s="2565"/>
      <c r="G17" s="2565"/>
      <c r="H17" s="2565"/>
      <c r="I17" s="2565"/>
      <c r="J17" s="2849"/>
    </row>
    <row r="18" spans="1:36" ht="32.4" customHeight="1" thickBot="1">
      <c r="A18" s="2719" t="s">
        <v>1740</v>
      </c>
      <c r="B18" s="2720"/>
      <c r="C18" s="2721" t="e">
        <f>ROUND(C17/SUM(C17:D17),2)</f>
        <v>#DIV/0!</v>
      </c>
      <c r="D18" s="2721" t="e">
        <f>1-C18</f>
        <v>#DIV/0!</v>
      </c>
      <c r="E18" s="3346" t="s">
        <v>2826</v>
      </c>
      <c r="F18" s="3347"/>
      <c r="G18" s="3347"/>
      <c r="H18" s="3347"/>
      <c r="I18" s="3347"/>
      <c r="J18" s="2849"/>
    </row>
    <row r="19" spans="1:36" ht="14.4">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f>'数据-取费表'!B3</f>
        <v>0</v>
      </c>
      <c r="I19" s="2565"/>
      <c r="J19" s="2849"/>
    </row>
    <row r="20" spans="1:36" ht="14.4">
      <c r="A20" s="2728"/>
      <c r="B20" s="1693" t="s">
        <v>1744</v>
      </c>
      <c r="C20" s="1918" t="e">
        <f ca="1">SUMIF(INDIRECT("'"&amp;C4&amp;"'"&amp;"!A:A"),'结果表 (1修多)'!B20,INDIRECT("'"&amp;C4&amp;"'"&amp;"!B:B"))</f>
        <v>#REF!</v>
      </c>
      <c r="D20" s="1921" t="e">
        <f ca="1">SUMIF(INDIRECT("'"&amp;D4&amp;"'"&amp;"!A:A"),'结果表 (1修多)'!B20,INDIRECT("'"&amp;D4&amp;"'"&amp;"!B:B"))</f>
        <v>#REF!</v>
      </c>
      <c r="E20" s="2728"/>
      <c r="F20" s="1693" t="s">
        <v>1744</v>
      </c>
      <c r="G20" s="2092"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8" thickBot="1">
      <c r="A23" s="2565"/>
      <c r="B23" s="2565"/>
      <c r="C23" s="2565"/>
      <c r="D23" s="2565"/>
      <c r="E23" s="947"/>
      <c r="F23" s="947"/>
      <c r="G23" s="947"/>
      <c r="H23" s="947"/>
      <c r="I23" s="947"/>
      <c r="J23" s="2849"/>
    </row>
    <row r="24" spans="1:36" ht="21.75" customHeight="1">
      <c r="A24" s="3339" t="s">
        <v>1747</v>
      </c>
      <c r="B24" s="2723" t="s">
        <v>1742</v>
      </c>
      <c r="C24" s="2726">
        <f>D30</f>
        <v>0</v>
      </c>
      <c r="D24" s="2678"/>
      <c r="E24" s="947"/>
      <c r="F24" s="947"/>
      <c r="G24" s="947"/>
      <c r="H24" s="947"/>
      <c r="I24" s="947"/>
      <c r="J24" s="2849"/>
    </row>
    <row r="25" spans="1:36" ht="21.75" customHeight="1">
      <c r="A25" s="3356"/>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4">
      <c r="A27" s="2743" t="s">
        <v>1892</v>
      </c>
      <c r="B27" s="2741">
        <v>0</v>
      </c>
      <c r="C27" s="2741">
        <v>0</v>
      </c>
      <c r="D27" s="2742">
        <f>ROUND(C27*B27/10000,0)</f>
        <v>0</v>
      </c>
      <c r="E27" s="947"/>
      <c r="F27" s="947"/>
      <c r="G27" s="947"/>
      <c r="H27" s="947"/>
      <c r="I27" s="947"/>
      <c r="J27" s="2849"/>
    </row>
    <row r="28" spans="1:36" ht="13.8">
      <c r="A28" s="2740"/>
      <c r="B28" s="2741"/>
      <c r="C28" s="2741"/>
      <c r="D28" s="2742">
        <f>ROUND(C28*B28/10000,0)</f>
        <v>0</v>
      </c>
      <c r="E28" s="947"/>
      <c r="F28" s="947"/>
      <c r="G28" s="947"/>
      <c r="H28" s="947"/>
      <c r="I28" s="947"/>
      <c r="J28" s="2849"/>
    </row>
    <row r="29" spans="1:36" ht="13.8">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5.6" thickTop="1" thickBot="1">
      <c r="A32" s="3404" t="s">
        <v>1894</v>
      </c>
      <c r="B32" s="3404"/>
      <c r="C32" s="3404"/>
      <c r="D32" s="3404"/>
      <c r="E32" s="3404"/>
      <c r="F32" s="3404"/>
      <c r="G32" s="3404"/>
      <c r="H32" s="3404"/>
      <c r="I32" s="3404"/>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11"/>
      <c r="B33" s="2778" t="s">
        <v>1895</v>
      </c>
      <c r="C33" s="2779">
        <f>典型户型修正!R27</f>
        <v>0</v>
      </c>
      <c r="D33" s="2565" t="s">
        <v>1896</v>
      </c>
      <c r="E33" s="947"/>
      <c r="F33" s="947"/>
      <c r="G33" s="947"/>
      <c r="H33" s="947"/>
      <c r="I33" s="947"/>
      <c r="J33" s="2849"/>
    </row>
    <row r="34" spans="1:16" ht="14.4">
      <c r="A34" s="1512" t="s">
        <v>1897</v>
      </c>
      <c r="B34" s="2780" t="s">
        <v>1898</v>
      </c>
      <c r="C34" s="2781">
        <f>典型户型修正!B2</f>
        <v>0</v>
      </c>
      <c r="D34" s="2782" t="str">
        <f>IF('数据-取费表'!B3="万元","万元","元")</f>
        <v>元</v>
      </c>
      <c r="E34" s="947"/>
      <c r="F34" s="947"/>
      <c r="G34" s="947"/>
      <c r="H34" s="947"/>
      <c r="I34" s="947"/>
      <c r="J34" s="2849"/>
    </row>
    <row r="35" spans="1:16" ht="15" thickBot="1">
      <c r="A35" s="1513"/>
      <c r="B35" s="2783" t="s">
        <v>1899</v>
      </c>
      <c r="C35" s="2732" t="e">
        <f>典型户型修正!B3</f>
        <v>#DIV/0!</v>
      </c>
      <c r="D35" s="2565" t="s">
        <v>1900</v>
      </c>
      <c r="E35" s="947"/>
      <c r="F35" s="947"/>
      <c r="G35" s="947"/>
      <c r="H35" s="947"/>
      <c r="I35" s="947"/>
      <c r="J35" s="2849"/>
    </row>
    <row r="36" spans="1:16" ht="14.4">
      <c r="A36" s="1514"/>
      <c r="B36" s="1468" t="s">
        <v>1901</v>
      </c>
      <c r="C36" s="2784">
        <f>IF('数据-取费表'!B3="万元",典型户型修正!V25,典型户型修正!U25)</f>
        <v>0</v>
      </c>
      <c r="D36" s="2565" t="str">
        <f>D34</f>
        <v>元</v>
      </c>
      <c r="E36" s="947"/>
      <c r="F36" s="947"/>
      <c r="G36" s="947"/>
      <c r="H36" s="947"/>
      <c r="I36" s="947"/>
      <c r="J36" s="2849"/>
    </row>
    <row r="37" spans="1:16" ht="15" thickBot="1">
      <c r="A37" s="1467"/>
      <c r="B37" s="1469" t="s">
        <v>1902</v>
      </c>
      <c r="C37" s="2785">
        <f>IF('数据-取费表'!B3="万元",典型户型修正!Y25,典型户型修正!X25)</f>
        <v>0</v>
      </c>
      <c r="D37" s="2565" t="str">
        <f>D34</f>
        <v>元</v>
      </c>
      <c r="E37" s="947"/>
      <c r="F37" s="947"/>
      <c r="G37" s="947"/>
      <c r="H37" s="947"/>
      <c r="I37" s="947"/>
      <c r="J37" s="2849"/>
    </row>
    <row r="38" spans="1:16" ht="15" thickBot="1">
      <c r="A38" s="3339" t="s">
        <v>1903</v>
      </c>
      <c r="B38" s="1468" t="s">
        <v>1904</v>
      </c>
      <c r="C38" s="2759"/>
      <c r="D38" s="2760"/>
      <c r="E38" s="1680"/>
      <c r="F38" s="1680"/>
      <c r="G38" s="947"/>
      <c r="H38" s="947"/>
      <c r="I38" s="947"/>
      <c r="J38" s="2849"/>
    </row>
    <row r="39" spans="1:16" ht="15" thickBot="1">
      <c r="A39" s="3340"/>
      <c r="B39" s="2093" t="s">
        <v>1905</v>
      </c>
      <c r="C39" s="2761"/>
      <c r="D39" s="1311"/>
      <c r="E39" s="1311"/>
      <c r="F39" s="1680"/>
      <c r="G39" s="1311"/>
      <c r="H39" s="1311"/>
      <c r="I39" s="1311"/>
      <c r="J39" s="2853"/>
    </row>
    <row r="40" spans="1:16" ht="15" thickBot="1">
      <c r="A40" s="3341"/>
      <c r="B40" s="1469" t="s">
        <v>1906</v>
      </c>
      <c r="C40" s="2762"/>
      <c r="D40" s="2763" t="s">
        <v>1907</v>
      </c>
      <c r="E40" s="1311"/>
      <c r="F40" s="1680"/>
      <c r="G40" s="1311"/>
      <c r="H40" s="1311"/>
      <c r="I40" s="1311"/>
      <c r="J40" s="2853"/>
    </row>
    <row r="41" spans="1:16" ht="14.4">
      <c r="A41" s="2728" t="s">
        <v>1908</v>
      </c>
      <c r="B41" s="2764" t="s">
        <v>1909</v>
      </c>
      <c r="C41" s="2765" t="s">
        <v>1910</v>
      </c>
      <c r="D41" s="2765" t="s">
        <v>1911</v>
      </c>
      <c r="E41" s="2766" t="s">
        <v>1912</v>
      </c>
      <c r="F41" s="1680"/>
      <c r="G41" s="1311"/>
      <c r="H41" s="1311"/>
      <c r="I41" s="1311"/>
      <c r="J41" s="2853"/>
    </row>
    <row r="42" spans="1:16" ht="13.8">
      <c r="A42" s="2767" t="s">
        <v>1913</v>
      </c>
      <c r="B42" s="2768"/>
      <c r="C42" s="2769"/>
      <c r="D42" s="2769"/>
      <c r="E42" s="2770"/>
      <c r="F42" s="1680"/>
      <c r="G42" s="1311"/>
      <c r="H42" s="1311"/>
      <c r="I42" s="1311"/>
      <c r="J42" s="2853"/>
    </row>
    <row r="43" spans="1:16" ht="13.8">
      <c r="A43" s="2767" t="s">
        <v>1914</v>
      </c>
      <c r="B43" s="2768"/>
      <c r="C43" s="2769"/>
      <c r="D43" s="2769"/>
      <c r="E43" s="2770"/>
      <c r="F43" s="1680"/>
      <c r="G43" s="1311"/>
      <c r="H43" s="1311"/>
      <c r="I43" s="1311"/>
      <c r="J43" s="2853"/>
    </row>
    <row r="44" spans="1:16" ht="14.4" thickBot="1">
      <c r="A44" s="2771"/>
      <c r="B44" s="2772"/>
      <c r="C44" s="2773"/>
      <c r="D44" s="2773"/>
      <c r="E44" s="2758"/>
      <c r="F44" s="1680"/>
      <c r="G44" s="1311"/>
      <c r="H44" s="1311"/>
      <c r="I44" s="1311"/>
      <c r="J44" s="2853"/>
    </row>
    <row r="45" spans="1:16" ht="13.2">
      <c r="A45" s="1481"/>
      <c r="B45" s="1481"/>
      <c r="C45" s="1481"/>
      <c r="D45" s="1481"/>
      <c r="E45" s="1481"/>
      <c r="F45" s="1437"/>
      <c r="G45" s="1437"/>
      <c r="H45" s="1437"/>
      <c r="I45" s="2774"/>
      <c r="J45" s="2854"/>
    </row>
    <row r="46" spans="1:16" ht="17.399999999999999">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343" t="s">
        <v>1916</v>
      </c>
      <c r="B47" s="3344"/>
      <c r="C47" s="3303"/>
      <c r="D47" s="246">
        <f>ROUND(I104*F47,0)</f>
        <v>0</v>
      </c>
      <c r="E47" s="1542" t="s">
        <v>1917</v>
      </c>
      <c r="F47" s="2563">
        <v>1</v>
      </c>
      <c r="G47" s="2564" t="s">
        <v>1918</v>
      </c>
      <c r="H47" s="947"/>
      <c r="I47" s="947"/>
      <c r="J47" s="2849"/>
      <c r="K47" s="3429" t="s">
        <v>1774</v>
      </c>
      <c r="L47" s="3429"/>
      <c r="M47" s="3429"/>
      <c r="N47" s="3429"/>
      <c r="O47" s="3429"/>
      <c r="P47" s="3429"/>
    </row>
    <row r="48" spans="1:16" ht="14.25" customHeight="1">
      <c r="A48" s="3332" t="s">
        <v>1775</v>
      </c>
      <c r="B48" s="3333"/>
      <c r="C48" s="3333"/>
      <c r="D48" s="3333"/>
      <c r="E48" s="3333"/>
      <c r="F48" s="3333"/>
      <c r="G48" s="3334"/>
      <c r="H48" s="2981"/>
      <c r="I48" s="947"/>
      <c r="J48" s="2849"/>
      <c r="K48" s="2515">
        <v>1</v>
      </c>
      <c r="L48" s="3424" t="s">
        <v>1776</v>
      </c>
      <c r="M48" s="3424"/>
      <c r="N48" s="3430"/>
      <c r="O48" s="3430"/>
      <c r="P48" s="3430"/>
    </row>
    <row r="49" spans="1:17" ht="12" customHeight="1">
      <c r="A49" s="38" t="s">
        <v>1777</v>
      </c>
      <c r="B49" s="39"/>
      <c r="C49" s="40"/>
      <c r="D49" s="1099" t="s">
        <v>1778</v>
      </c>
      <c r="E49" s="235" t="s">
        <v>1779</v>
      </c>
      <c r="F49" s="41" t="s">
        <v>1780</v>
      </c>
      <c r="G49" s="2566" t="s">
        <v>1781</v>
      </c>
      <c r="H49" s="2981"/>
      <c r="I49" s="947"/>
      <c r="J49" s="2849"/>
      <c r="K49" s="2515">
        <v>2</v>
      </c>
      <c r="L49" s="3424" t="s">
        <v>1782</v>
      </c>
      <c r="M49" s="3424"/>
      <c r="N49" s="3431">
        <f>'数据-取费表'!B2</f>
        <v>45558</v>
      </c>
      <c r="O49" s="3431"/>
      <c r="P49" s="3431"/>
    </row>
    <row r="50" spans="1:17" ht="26.4">
      <c r="A50" s="3342" t="s">
        <v>1783</v>
      </c>
      <c r="B50" s="3296"/>
      <c r="C50" s="3296"/>
      <c r="D50" s="12">
        <f>IF(H50="情况1",0,IF(H50="情况2",D54,IF(H50="情况3",D55,IF(H50="情况4",D56))))</f>
        <v>0</v>
      </c>
      <c r="E50" s="2091" t="str">
        <f>IF(H50="情况4","(销售额-原购置价)×税（费）率","销售额×税（费）率")</f>
        <v>销售额×税（费）率</v>
      </c>
      <c r="F50" s="2567">
        <f>IF(H50="情况1","免征",'数据-取费表'!E29)</f>
        <v>0</v>
      </c>
      <c r="G50" s="2568" t="s">
        <v>1784</v>
      </c>
      <c r="H50" s="2569" t="s">
        <v>1785</v>
      </c>
      <c r="I50" s="2981"/>
      <c r="J50" s="2856"/>
      <c r="K50" s="2515">
        <v>3</v>
      </c>
      <c r="L50" s="3424" t="s">
        <v>1786</v>
      </c>
      <c r="M50" s="3424"/>
      <c r="N50" s="3425">
        <f>I104</f>
        <v>0</v>
      </c>
      <c r="O50" s="3425"/>
      <c r="P50" s="3425"/>
    </row>
    <row r="51" spans="1:17" ht="25.5" customHeight="1">
      <c r="A51" s="2090" t="s">
        <v>1787</v>
      </c>
      <c r="B51" s="3335" t="s">
        <v>1788</v>
      </c>
      <c r="C51" s="3335"/>
      <c r="D51" s="2570">
        <v>0</v>
      </c>
      <c r="E51" s="261" t="s">
        <v>1789</v>
      </c>
      <c r="F51" s="2571" t="s">
        <v>48</v>
      </c>
      <c r="G51" s="3392"/>
      <c r="H51" s="2572" t="s">
        <v>2750</v>
      </c>
      <c r="I51" s="2573"/>
      <c r="J51" s="2857"/>
      <c r="K51" s="2515">
        <v>4</v>
      </c>
      <c r="L51" s="3424" t="str">
        <f>IF(项目基本情况!F5="房地产抵押价值","房地产抵押价值","抵押担保权已注销时的房地产抵押价值")</f>
        <v>抵押担保权已注销时的房地产抵押价值</v>
      </c>
      <c r="M51" s="3424"/>
      <c r="N51" s="3425" t="str">
        <f>IF(项目基本情况!F5="房地产抵押价值",I112,I114)</f>
        <v>——</v>
      </c>
      <c r="O51" s="3425"/>
      <c r="P51" s="3425"/>
    </row>
    <row r="52" spans="1:17" ht="25.5" customHeight="1">
      <c r="A52" s="2080"/>
      <c r="B52" s="3335" t="s">
        <v>1790</v>
      </c>
      <c r="C52" s="3335"/>
      <c r="D52" s="2574"/>
      <c r="E52" s="269"/>
      <c r="F52" s="2571"/>
      <c r="G52" s="3393"/>
      <c r="H52" s="2575" t="s">
        <v>2751</v>
      </c>
      <c r="I52" s="2573"/>
      <c r="J52" s="2857"/>
      <c r="K52" s="3424" t="s">
        <v>1791</v>
      </c>
      <c r="L52" s="3424"/>
      <c r="M52" s="3424"/>
      <c r="N52" s="3424"/>
      <c r="O52" s="3424"/>
      <c r="P52" s="3424"/>
    </row>
    <row r="53" spans="1:17" ht="20.399999999999999" customHeight="1">
      <c r="A53" s="2576"/>
      <c r="B53" s="3335" t="s">
        <v>1792</v>
      </c>
      <c r="C53" s="3335"/>
      <c r="D53" s="1099"/>
      <c r="E53" s="264"/>
      <c r="F53" s="2571"/>
      <c r="G53" s="3394"/>
      <c r="H53" s="2575" t="s">
        <v>2752</v>
      </c>
      <c r="I53" s="2573"/>
      <c r="J53" s="2857"/>
      <c r="K53" s="2516" t="s">
        <v>1793</v>
      </c>
      <c r="L53" s="3424" t="s">
        <v>1794</v>
      </c>
      <c r="M53" s="3424"/>
      <c r="N53" s="2516" t="s">
        <v>1795</v>
      </c>
      <c r="O53" s="2516" t="s">
        <v>1796</v>
      </c>
      <c r="P53" s="2516" t="s">
        <v>1797</v>
      </c>
    </row>
    <row r="54" spans="1:17" ht="24" customHeight="1">
      <c r="A54" s="2081" t="s">
        <v>1798</v>
      </c>
      <c r="B54" s="3335" t="s">
        <v>1799</v>
      </c>
      <c r="C54" s="3335"/>
      <c r="D54" s="1099">
        <f>ROUND(D47*'数据-取费表'!E29/(1+'数据-取费表'!F30),0)</f>
        <v>0</v>
      </c>
      <c r="E54" s="2091" t="s">
        <v>1800</v>
      </c>
      <c r="F54" s="2577">
        <f>'数据-取费表'!E29</f>
        <v>0</v>
      </c>
      <c r="G54" s="2578"/>
      <c r="H54" s="947"/>
      <c r="I54" s="2982"/>
      <c r="J54" s="2857"/>
      <c r="K54" s="2515">
        <v>1</v>
      </c>
      <c r="L54" s="3420" t="s">
        <v>1801</v>
      </c>
      <c r="M54" s="3420"/>
      <c r="N54" s="2517">
        <f>D50</f>
        <v>0</v>
      </c>
      <c r="O54" s="2515" t="str">
        <f>E50</f>
        <v>销售额×税（费）率</v>
      </c>
      <c r="P54" s="2518">
        <f>F50</f>
        <v>0</v>
      </c>
    </row>
    <row r="55" spans="1:17" ht="12" customHeight="1">
      <c r="A55" s="2081" t="s">
        <v>1802</v>
      </c>
      <c r="B55" s="3297" t="s">
        <v>2844</v>
      </c>
      <c r="C55" s="3336"/>
      <c r="D55" s="1099">
        <f>ROUND(D47*'数据-取费表'!E29/(1+'数据-取费表'!F30),0)</f>
        <v>0</v>
      </c>
      <c r="E55" s="2091" t="s">
        <v>1800</v>
      </c>
      <c r="F55" s="2577">
        <f>'数据-取费表'!E29</f>
        <v>0</v>
      </c>
      <c r="G55" s="2578"/>
      <c r="H55" s="947"/>
      <c r="I55" s="2982"/>
      <c r="J55" s="2857"/>
      <c r="K55" s="2515">
        <v>2</v>
      </c>
      <c r="L55" s="3420" t="s">
        <v>1803</v>
      </c>
      <c r="M55" s="3420"/>
      <c r="N55" s="2517">
        <f t="shared" ref="N55:P56" si="1">D57</f>
        <v>0</v>
      </c>
      <c r="O55" s="2515" t="str">
        <f t="shared" si="1"/>
        <v>销售额×税（费）率</v>
      </c>
      <c r="P55" s="2518">
        <f t="shared" si="1"/>
        <v>0</v>
      </c>
    </row>
    <row r="56" spans="1:17" ht="12" customHeight="1">
      <c r="A56" s="2081" t="s">
        <v>1804</v>
      </c>
      <c r="B56" s="3297" t="s">
        <v>2845</v>
      </c>
      <c r="C56" s="3336"/>
      <c r="D56" s="1099">
        <f>C70</f>
        <v>0</v>
      </c>
      <c r="E56" s="264" t="s">
        <v>1805</v>
      </c>
      <c r="F56" s="2577">
        <f>'数据-取费表'!E29</f>
        <v>0</v>
      </c>
      <c r="G56" s="2578"/>
      <c r="H56" s="2983"/>
      <c r="I56" s="2982"/>
      <c r="J56" s="2857"/>
      <c r="K56" s="2515">
        <v>3</v>
      </c>
      <c r="L56" s="3420" t="s">
        <v>1806</v>
      </c>
      <c r="M56" s="3420"/>
      <c r="N56" s="2517">
        <f t="shared" si="1"/>
        <v>0</v>
      </c>
      <c r="O56" s="2515" t="str">
        <f t="shared" si="1"/>
        <v>增值额×税（费）率</v>
      </c>
      <c r="P56" s="2519" t="str">
        <f t="shared" si="1"/>
        <v>——</v>
      </c>
    </row>
    <row r="57" spans="1:17" ht="24" customHeight="1">
      <c r="A57" s="3295" t="s">
        <v>1807</v>
      </c>
      <c r="B57" s="3296"/>
      <c r="C57" s="3296"/>
      <c r="D57" s="12">
        <f>IF(H57="个人住宅",0,ROUND(D47*I57,0))</f>
        <v>0</v>
      </c>
      <c r="E57" s="2091" t="s">
        <v>1808</v>
      </c>
      <c r="F57" s="2577">
        <f>IF(H57="正常",I57,"免征")</f>
        <v>0</v>
      </c>
      <c r="G57" s="2578"/>
      <c r="H57" s="2569" t="s">
        <v>1809</v>
      </c>
      <c r="I57" s="74">
        <f>'数据-取费表'!E37</f>
        <v>0</v>
      </c>
      <c r="J57" s="2857"/>
      <c r="K57" s="2515">
        <f>IF(H61="非个人房产","",4)</f>
        <v>4</v>
      </c>
      <c r="L57" s="3420" t="str">
        <f>IF(H61="非个人房产","——","个人所得税")</f>
        <v>个人所得税</v>
      </c>
      <c r="M57" s="3420"/>
      <c r="N57" s="2520">
        <f>D61</f>
        <v>0</v>
      </c>
      <c r="O57" s="2521" t="str">
        <f>E61</f>
        <v>销售额×税（费）率</v>
      </c>
      <c r="P57" s="2522">
        <f>F61</f>
        <v>0.01</v>
      </c>
    </row>
    <row r="58" spans="1:17" ht="25.2">
      <c r="A58" s="3295" t="s">
        <v>1810</v>
      </c>
      <c r="B58" s="3296"/>
      <c r="C58" s="3296"/>
      <c r="D58" s="12">
        <f>IF(H58="个人住宅",D59,D60)</f>
        <v>0</v>
      </c>
      <c r="E58" s="2091" t="s">
        <v>1811</v>
      </c>
      <c r="F58" s="2577" t="str">
        <f>IF(H58="正常",F60,"免征")</f>
        <v>——</v>
      </c>
      <c r="G58" s="2579" t="s">
        <v>1812</v>
      </c>
      <c r="H58" s="2580" t="s">
        <v>1809</v>
      </c>
      <c r="I58" s="2984"/>
      <c r="J58" s="2857"/>
      <c r="K58" s="2515" t="str">
        <f>IF(项目基本情况!I6="上海银行",IF(K57="",4,K57+1),"")</f>
        <v/>
      </c>
      <c r="L58" s="3422" t="str">
        <f>IF(项目基本情况!I6="上海银行","其他处置费用","")</f>
        <v/>
      </c>
      <c r="M58" s="3423"/>
      <c r="N58" s="2517" t="str">
        <f>IF(项目基本情况!I6="上海银行",N71,"")</f>
        <v/>
      </c>
      <c r="O58" s="3422" t="str">
        <f>IF(项目基本情况!I6="上海银行","包含处置中涉及的律师、诉讼、拍卖、评估等费用","")</f>
        <v/>
      </c>
      <c r="P58" s="3426"/>
    </row>
    <row r="59" spans="1:17" ht="13.2">
      <c r="A59" s="2081" t="s">
        <v>1787</v>
      </c>
      <c r="B59" s="3297" t="s">
        <v>1813</v>
      </c>
      <c r="C59" s="3336"/>
      <c r="D59" s="2570">
        <v>0</v>
      </c>
      <c r="E59" s="261" t="s">
        <v>1789</v>
      </c>
      <c r="F59" s="235"/>
      <c r="G59" s="2578"/>
      <c r="H59" s="2984"/>
      <c r="I59" s="2984"/>
      <c r="J59" s="2857"/>
      <c r="K59" s="3420">
        <f>IF(AND(K57="",K58=""),4,IF(项目基本情况!I6="上海银行",K58+1,K57+1))</f>
        <v>5</v>
      </c>
      <c r="L59" s="3420" t="s">
        <v>1814</v>
      </c>
      <c r="M59" s="2523" t="s">
        <v>1815</v>
      </c>
      <c r="N59" s="2524"/>
      <c r="O59" s="2525">
        <f>SUMIF(N54:N58,"&lt;9e307")</f>
        <v>0</v>
      </c>
      <c r="P59" s="2526"/>
      <c r="Q59" s="1306" t="e">
        <f>O59/N51</f>
        <v>#VALUE!</v>
      </c>
    </row>
    <row r="60" spans="1:17" ht="25.2">
      <c r="A60" s="2081" t="s">
        <v>1798</v>
      </c>
      <c r="B60" s="3297" t="s">
        <v>1816</v>
      </c>
      <c r="C60" s="3335"/>
      <c r="D60" s="12">
        <f>IF(H60="转让取得",C83,C99)</f>
        <v>0</v>
      </c>
      <c r="E60" s="2091" t="s">
        <v>1811</v>
      </c>
      <c r="F60" s="235" t="s">
        <v>48</v>
      </c>
      <c r="G60" s="2578"/>
      <c r="H60" s="2580" t="s">
        <v>1817</v>
      </c>
      <c r="I60" s="2984"/>
      <c r="J60" s="2857"/>
      <c r="K60" s="3420"/>
      <c r="L60" s="3420"/>
      <c r="M60" s="2523" t="s">
        <v>1818</v>
      </c>
      <c r="N60" s="2527"/>
      <c r="O60" s="2528" t="str">
        <f>IF(H19="元",NUMBERSTRING(INT(O59),2)&amp;"元整",NUMBERSTRING(INT(O59*10000),2)&amp;"元整")</f>
        <v>零元整</v>
      </c>
      <c r="P60" s="2529"/>
    </row>
    <row r="61" spans="1:17" ht="27" thickBot="1">
      <c r="A61" s="3319" t="s">
        <v>1819</v>
      </c>
      <c r="B61" s="3320"/>
      <c r="C61" s="3320"/>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5" t="s">
        <v>2749</v>
      </c>
      <c r="I61" s="2885" t="s">
        <v>2835</v>
      </c>
      <c r="J61" s="2857"/>
      <c r="K61" s="3418">
        <f>K59+1</f>
        <v>6</v>
      </c>
      <c r="L61" s="3420" t="s">
        <v>1820</v>
      </c>
      <c r="M61" s="2515" t="s">
        <v>1815</v>
      </c>
      <c r="N61" s="2530"/>
      <c r="O61" s="2531" t="e">
        <f>N51-O59</f>
        <v>#VALUE!</v>
      </c>
      <c r="P61" s="2532"/>
    </row>
    <row r="62" spans="1:17" ht="12" customHeight="1">
      <c r="A62" s="1457"/>
      <c r="B62" s="2565"/>
      <c r="C62" s="2565"/>
      <c r="D62" s="2565"/>
      <c r="E62" s="1457"/>
      <c r="F62" s="2984"/>
      <c r="G62" s="2984"/>
      <c r="H62" s="2979"/>
      <c r="I62" s="947"/>
      <c r="J62" s="2857"/>
      <c r="K62" s="3419"/>
      <c r="L62" s="3420"/>
      <c r="M62" s="2523" t="s">
        <v>1818</v>
      </c>
      <c r="N62" s="2527"/>
      <c r="O62" s="2528" t="e">
        <f>IF(H19="元",NUMBERSTRING(INT(O61),2)&amp;"元整",NUMBERSTRING(INT(O61*10000),2)&amp;"元整")</f>
        <v>#VALUE!</v>
      </c>
      <c r="P62" s="2529"/>
    </row>
    <row r="63" spans="1:17" ht="13.8" thickBot="1">
      <c r="A63" s="3421" t="s">
        <v>1821</v>
      </c>
      <c r="B63" s="3421"/>
      <c r="C63" s="3421"/>
      <c r="D63" s="3421"/>
      <c r="E63" s="3421"/>
      <c r="F63" s="2984"/>
      <c r="G63" s="2984"/>
      <c r="H63" s="2979"/>
      <c r="I63" s="947"/>
      <c r="J63" s="2849"/>
      <c r="K63" s="2515">
        <f>K61+1</f>
        <v>7</v>
      </c>
      <c r="L63" s="3420" t="s">
        <v>1822</v>
      </c>
      <c r="M63" s="3420"/>
      <c r="N63" s="2533"/>
      <c r="O63" s="2534" t="e">
        <f>IF(H19="元",ROUND(O61/项目基本情况!C12,0),ROUND(O61*10000/项目基本情况!C12,0))</f>
        <v>#VALUE!</v>
      </c>
      <c r="P63" s="2535"/>
    </row>
    <row r="64" spans="1:17" ht="13.2">
      <c r="A64" s="3354" t="s">
        <v>1823</v>
      </c>
      <c r="B64" s="3355"/>
      <c r="C64" s="1607"/>
      <c r="D64" s="1607" t="s">
        <v>1824</v>
      </c>
      <c r="E64" s="45" t="s">
        <v>1825</v>
      </c>
      <c r="F64" s="2984"/>
      <c r="G64" s="2984"/>
      <c r="H64" s="2979"/>
      <c r="I64" s="947"/>
      <c r="J64" s="2849"/>
      <c r="K64" s="1308"/>
      <c r="L64" s="1308"/>
      <c r="M64" s="1308"/>
      <c r="N64" s="1308"/>
      <c r="O64" s="1308"/>
    </row>
    <row r="65" spans="1:36" ht="13.2">
      <c r="A65" s="46">
        <v>1</v>
      </c>
      <c r="B65" s="47" t="s">
        <v>1826</v>
      </c>
      <c r="C65" s="2788">
        <f>ROUND((C66+C67)/(1+'数据-取费表'!F30),0)</f>
        <v>0</v>
      </c>
      <c r="D65" s="47"/>
      <c r="E65" s="48"/>
      <c r="F65" s="2984"/>
      <c r="G65" s="2984"/>
      <c r="H65" s="2979"/>
      <c r="I65" s="947"/>
      <c r="J65" s="2849"/>
      <c r="K65" s="3428" t="s">
        <v>1827</v>
      </c>
      <c r="L65" s="1307" t="s">
        <v>1828</v>
      </c>
      <c r="M65" s="1307" t="e">
        <f>IF(N51&gt;10000,N51*0.5%,IF(AND(N51&gt;1000,N51&lt;=10000),N51*1%,IF(AND(N51&gt;100,N51&lt;=1000),N51*3%,IF(AND(N51&gt;10,N51&lt;=100),N51*5%,N51*8%))))</f>
        <v>#VALUE!</v>
      </c>
      <c r="N65" s="235" t="e">
        <f>ROUND(M65,1)</f>
        <v>#VALUE!</v>
      </c>
      <c r="O65" s="2536"/>
    </row>
    <row r="66" spans="1:36" ht="13.2">
      <c r="A66" s="49" t="s">
        <v>71</v>
      </c>
      <c r="B66" s="50" t="s">
        <v>1829</v>
      </c>
      <c r="C66" s="2789">
        <f>D47</f>
        <v>0</v>
      </c>
      <c r="D66" s="50" t="s">
        <v>41</v>
      </c>
      <c r="E66" s="52"/>
      <c r="F66" s="2984"/>
      <c r="G66" s="2984"/>
      <c r="H66" s="2979"/>
      <c r="I66" s="947"/>
      <c r="J66" s="2849"/>
      <c r="K66" s="3428"/>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3.2">
      <c r="A67" s="49" t="s">
        <v>72</v>
      </c>
      <c r="B67" s="50" t="s">
        <v>1832</v>
      </c>
      <c r="C67" s="2790"/>
      <c r="D67" s="50"/>
      <c r="E67" s="52"/>
      <c r="F67" s="2984"/>
      <c r="G67" s="2984"/>
      <c r="H67" s="2979"/>
      <c r="I67" s="947"/>
      <c r="J67" s="2849"/>
      <c r="K67" s="3428"/>
      <c r="L67" s="1307" t="s">
        <v>1833</v>
      </c>
      <c r="M67" s="1307" t="e">
        <f>IF(N51&gt;1000,N51*0.1%,IF(AND(N51&gt;500,N51&lt;=1000),N51*0.5%,IF(AND(N51&gt;50,N51&lt;=500),N51*1%,IF(AND(N51&gt;1,N51&lt;=50),N51*1.5%))))</f>
        <v>#VALUE!</v>
      </c>
      <c r="N67" s="235" t="e">
        <f t="shared" si="2"/>
        <v>#VALUE!</v>
      </c>
      <c r="O67" s="2536" t="s">
        <v>1831</v>
      </c>
    </row>
    <row r="68" spans="1:36" ht="13.2">
      <c r="A68" s="53" t="s">
        <v>47</v>
      </c>
      <c r="B68" s="54" t="s">
        <v>1834</v>
      </c>
      <c r="C68" s="2791"/>
      <c r="D68" s="54" t="s">
        <v>41</v>
      </c>
      <c r="E68" s="1316" t="s">
        <v>1835</v>
      </c>
      <c r="F68" s="2984"/>
      <c r="G68" s="2984"/>
      <c r="H68" s="2979"/>
      <c r="I68" s="947"/>
      <c r="J68" s="2849"/>
      <c r="K68" s="3428"/>
      <c r="L68" s="1307" t="s">
        <v>1836</v>
      </c>
      <c r="M68" s="1307" t="e">
        <f>N51*0.5%</f>
        <v>#VALUE!</v>
      </c>
      <c r="N68" s="235" t="e">
        <f>IF(M68&gt;0.5,0.5,ROUND(M68,0))</f>
        <v>#VALUE!</v>
      </c>
      <c r="O68" s="2536" t="s">
        <v>1837</v>
      </c>
    </row>
    <row r="69" spans="1:36" ht="13.2">
      <c r="A69" s="53" t="s">
        <v>42</v>
      </c>
      <c r="B69" s="54" t="s">
        <v>1838</v>
      </c>
      <c r="C69" s="2792">
        <f>C65-C68</f>
        <v>0</v>
      </c>
      <c r="D69" s="50" t="s">
        <v>41</v>
      </c>
      <c r="E69" s="52"/>
      <c r="F69" s="2984"/>
      <c r="G69" s="2984"/>
      <c r="H69" s="2979"/>
      <c r="I69" s="947"/>
      <c r="J69" s="2849"/>
      <c r="K69" s="3428"/>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8" thickBot="1">
      <c r="A70" s="55" t="s">
        <v>46</v>
      </c>
      <c r="B70" s="56" t="s">
        <v>1840</v>
      </c>
      <c r="C70" s="2793">
        <f>IF(C69&lt;=0,0,ROUND(C69*D70,0))</f>
        <v>0</v>
      </c>
      <c r="D70" s="2243">
        <f>'数据-取费表'!E29</f>
        <v>0</v>
      </c>
      <c r="E70" s="57"/>
      <c r="F70" s="2984"/>
      <c r="G70" s="2984"/>
      <c r="H70" s="2979"/>
      <c r="I70" s="947"/>
      <c r="J70" s="2849"/>
      <c r="K70" s="3428"/>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6"/>
      <c r="E71" s="1481"/>
      <c r="F71" s="1457"/>
      <c r="G71" s="1457"/>
      <c r="H71" s="1481"/>
      <c r="I71" s="2565"/>
      <c r="J71" s="2849"/>
      <c r="K71" s="3428"/>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4" thickBot="1">
      <c r="A72" s="3415" t="s">
        <v>1843</v>
      </c>
      <c r="B72" s="3416"/>
      <c r="C72" s="3416"/>
      <c r="D72" s="3416"/>
      <c r="E72" s="3416"/>
      <c r="F72" s="3416"/>
      <c r="G72" s="3416"/>
      <c r="H72" s="3416"/>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3354" t="s">
        <v>1823</v>
      </c>
      <c r="B73" s="3355"/>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3.8">
      <c r="A74" s="61">
        <v>1</v>
      </c>
      <c r="B74" s="54" t="s">
        <v>1844</v>
      </c>
      <c r="C74" s="2792">
        <f>ROUND(D47/(1+'数据-取费表'!F30),0)</f>
        <v>0</v>
      </c>
      <c r="D74" s="50" t="s">
        <v>41</v>
      </c>
      <c r="E74" s="2087"/>
      <c r="F74" s="2088"/>
      <c r="G74" s="2088"/>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3.8">
      <c r="A75" s="63">
        <v>2</v>
      </c>
      <c r="B75" s="41" t="s">
        <v>1846</v>
      </c>
      <c r="C75" s="2792">
        <f>C76+C80</f>
        <v>0</v>
      </c>
      <c r="D75" s="50" t="s">
        <v>41</v>
      </c>
      <c r="E75" s="2087"/>
      <c r="F75" s="2088"/>
      <c r="G75" s="2088"/>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
      <c r="A76" s="49" t="s">
        <v>73</v>
      </c>
      <c r="B76" s="50" t="s">
        <v>1847</v>
      </c>
      <c r="C76" s="50">
        <f>ROUND(IF(G79="2016年5月1日后购买",C77/(1+'数据-取费表'!F30)+C78+C79,C77+C78+C79),0)</f>
        <v>0</v>
      </c>
      <c r="D76" s="50" t="s">
        <v>41</v>
      </c>
      <c r="E76" s="2087"/>
      <c r="F76" s="2088"/>
      <c r="G76" s="2088"/>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8.8">
      <c r="A77" s="49" t="s">
        <v>74</v>
      </c>
      <c r="B77" s="50" t="s">
        <v>1848</v>
      </c>
      <c r="C77" s="2269"/>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297" t="s">
        <v>1853</v>
      </c>
      <c r="F78" s="3335"/>
      <c r="G78" s="3335"/>
      <c r="H78" s="3349"/>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0</v>
      </c>
      <c r="E79" s="12" t="s">
        <v>1855</v>
      </c>
      <c r="F79" s="2094"/>
      <c r="G79" s="1486" t="s">
        <v>1856</v>
      </c>
      <c r="H79" s="2089"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0</v>
      </c>
      <c r="E80" s="3329" t="s">
        <v>1858</v>
      </c>
      <c r="F80" s="3330"/>
      <c r="G80" s="3330"/>
      <c r="H80" s="3331"/>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3.8">
      <c r="A81" s="53" t="s">
        <v>42</v>
      </c>
      <c r="B81" s="54" t="s">
        <v>1859</v>
      </c>
      <c r="C81" s="2792">
        <f>C74-C75</f>
        <v>0</v>
      </c>
      <c r="D81" s="50" t="s">
        <v>41</v>
      </c>
      <c r="E81" s="2087"/>
      <c r="F81" s="2088"/>
      <c r="G81" s="2088"/>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4">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55" t="s">
        <v>44</v>
      </c>
      <c r="B83" s="56" t="s">
        <v>1861</v>
      </c>
      <c r="C83" s="2803">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4" thickBot="1">
      <c r="A85" s="3415" t="s">
        <v>1862</v>
      </c>
      <c r="B85" s="3416"/>
      <c r="C85" s="3416"/>
      <c r="D85" s="3416"/>
      <c r="E85" s="3416"/>
      <c r="F85" s="3416"/>
      <c r="G85" s="3416"/>
      <c r="H85" s="3416"/>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3354" t="s">
        <v>1823</v>
      </c>
      <c r="B86" s="3355"/>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61">
        <v>1</v>
      </c>
      <c r="B87" s="54" t="s">
        <v>1844</v>
      </c>
      <c r="C87" s="2792">
        <f>ROUND(D47/(1+'数据-取费表'!F30),0)</f>
        <v>0</v>
      </c>
      <c r="D87" s="50" t="s">
        <v>41</v>
      </c>
      <c r="E87" s="2087"/>
      <c r="F87" s="2088"/>
      <c r="G87" s="2088"/>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3.8">
      <c r="A88" s="63">
        <v>2</v>
      </c>
      <c r="B88" s="41" t="s">
        <v>1846</v>
      </c>
      <c r="C88" s="2792">
        <f>IF(H90="仅含出让金",C89+C92+C93+C94+C95+C96,C89+C93+C94+C95+C96)</f>
        <v>0</v>
      </c>
      <c r="D88" s="2804"/>
      <c r="E88" s="2087"/>
      <c r="F88" s="2088"/>
      <c r="G88" s="2088"/>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73</v>
      </c>
      <c r="B89" s="50" t="s">
        <v>1863</v>
      </c>
      <c r="C89" s="2800">
        <f>C90+C91</f>
        <v>0</v>
      </c>
      <c r="D89" s="2801"/>
      <c r="E89" s="2084"/>
      <c r="F89" s="2085"/>
      <c r="G89" s="2085"/>
      <c r="H89" s="2086"/>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4">
      <c r="A90" s="49" t="s">
        <v>74</v>
      </c>
      <c r="B90" s="50" t="s">
        <v>1864</v>
      </c>
      <c r="C90" s="2805"/>
      <c r="D90" s="2801"/>
      <c r="E90" s="74" t="s">
        <v>1865</v>
      </c>
      <c r="F90" s="2085"/>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3.8">
      <c r="A91" s="49" t="s">
        <v>75</v>
      </c>
      <c r="B91" s="50" t="s">
        <v>1854</v>
      </c>
      <c r="C91" s="2800">
        <f>ROUND(C90*D91,0)</f>
        <v>0</v>
      </c>
      <c r="D91" s="2801">
        <f>'数据-取费表'!E36+'数据-取费表'!E37</f>
        <v>0</v>
      </c>
      <c r="E91" s="74" t="s">
        <v>1867</v>
      </c>
      <c r="F91" s="2085"/>
      <c r="G91" s="2085"/>
      <c r="H91" s="2086"/>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4">
      <c r="A92" s="49" t="s">
        <v>77</v>
      </c>
      <c r="B92" s="50" t="s">
        <v>1868</v>
      </c>
      <c r="C92" s="2805"/>
      <c r="D92" s="2801"/>
      <c r="E92" s="74" t="str">
        <f>IF(H90="-","土地取得成本中已包含该笔费用"," ")</f>
        <v xml:space="preserve"> </v>
      </c>
      <c r="F92" s="2085"/>
      <c r="G92" s="3390" t="s">
        <v>2744</v>
      </c>
      <c r="H92" s="3417"/>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329" t="s">
        <v>1870</v>
      </c>
      <c r="F93" s="3330"/>
      <c r="G93" s="3330"/>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329" t="s">
        <v>1873</v>
      </c>
      <c r="F94" s="3330"/>
      <c r="G94" s="3330"/>
      <c r="H94" s="3331"/>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0</v>
      </c>
      <c r="E95" s="3329" t="s">
        <v>1858</v>
      </c>
      <c r="F95" s="3330"/>
      <c r="G95" s="3330"/>
      <c r="H95" s="3331"/>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329" t="s">
        <v>1875</v>
      </c>
      <c r="F96" s="3330"/>
      <c r="G96" s="3330"/>
      <c r="H96" s="3331"/>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3.8">
      <c r="A97" s="53" t="s">
        <v>42</v>
      </c>
      <c r="B97" s="54" t="s">
        <v>1859</v>
      </c>
      <c r="C97" s="2792">
        <f>ROUND(C87-C88,0)</f>
        <v>0</v>
      </c>
      <c r="D97" s="50" t="s">
        <v>41</v>
      </c>
      <c r="E97" s="2087"/>
      <c r="F97" s="2088"/>
      <c r="G97" s="2088"/>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4">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4"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3.8">
      <c r="A101" s="3376" t="s">
        <v>1877</v>
      </c>
      <c r="B101" s="3377"/>
      <c r="C101" s="3377"/>
      <c r="D101" s="3378"/>
      <c r="E101" s="1461"/>
      <c r="F101" s="3412" t="s">
        <v>2786</v>
      </c>
      <c r="G101" s="3413"/>
      <c r="H101" s="3413"/>
      <c r="I101" s="3414"/>
      <c r="J101" s="2884"/>
    </row>
    <row r="102" spans="1:36" ht="15">
      <c r="A102" s="3388" t="s">
        <v>1879</v>
      </c>
      <c r="B102" s="3389"/>
      <c r="C102" s="2807">
        <f>C4</f>
        <v>0</v>
      </c>
      <c r="D102" s="2808">
        <f>D4</f>
        <v>0</v>
      </c>
      <c r="E102" s="1461"/>
      <c r="F102" s="3300" t="s">
        <v>2787</v>
      </c>
      <c r="G102" s="3301"/>
      <c r="H102" s="3306" t="s">
        <v>2788</v>
      </c>
      <c r="I102" s="3299"/>
      <c r="J102" s="2864"/>
    </row>
    <row r="103" spans="1:36" ht="13.2">
      <c r="A103" s="3409" t="s">
        <v>2782</v>
      </c>
      <c r="B103" s="2308" t="str">
        <f>IF(H19="元","总价（元）","总价（万元）")</f>
        <v>总价（万元）</v>
      </c>
      <c r="C103" s="1307" t="e">
        <f ca="1">C19</f>
        <v>#REF!</v>
      </c>
      <c r="D103" s="2811" t="e">
        <f ca="1">D19</f>
        <v>#REF!</v>
      </c>
      <c r="E103" s="1461"/>
      <c r="F103" s="3410"/>
      <c r="G103" s="3411"/>
      <c r="H103" s="3298">
        <f>典型户型修正!B25</f>
        <v>0</v>
      </c>
      <c r="I103" s="3299"/>
      <c r="J103" s="2864"/>
    </row>
    <row r="104" spans="1:36" ht="13.2">
      <c r="A104" s="3409"/>
      <c r="B104" s="2308" t="s">
        <v>2783</v>
      </c>
      <c r="C104" s="2812" t="e">
        <f ca="1">C20</f>
        <v>#REF!</v>
      </c>
      <c r="D104" s="2813" t="e">
        <f ca="1">D20</f>
        <v>#REF!</v>
      </c>
      <c r="E104" s="1461"/>
      <c r="F104" s="3310" t="s">
        <v>2789</v>
      </c>
      <c r="G104" s="3311"/>
      <c r="H104" s="2821" t="str">
        <f>C110</f>
        <v>总价（万元）</v>
      </c>
      <c r="I104" s="2822">
        <f>H125</f>
        <v>0</v>
      </c>
      <c r="J104" s="2864"/>
    </row>
    <row r="105" spans="1:36" ht="13.2">
      <c r="A105" s="3409" t="s">
        <v>2784</v>
      </c>
      <c r="B105" s="2246" t="str">
        <f>B103</f>
        <v>总价（万元）</v>
      </c>
      <c r="C105" s="12" t="e">
        <f ca="1">ROUND(IF('数据-取费表'!B4="总价",G19,IF(H19="元",G20*'数据-取费表'!E5,G20*'数据-取费表'!E5/10000)),0)</f>
        <v>#REF!</v>
      </c>
      <c r="D105" s="2814"/>
      <c r="E105" s="1461"/>
      <c r="F105" s="3310"/>
      <c r="G105" s="3311"/>
      <c r="H105" s="2821" t="s">
        <v>2790</v>
      </c>
      <c r="I105" s="52" t="e">
        <f>I125</f>
        <v>#DIV/0!</v>
      </c>
      <c r="J105" s="2848"/>
    </row>
    <row r="106" spans="1:36" ht="13.2">
      <c r="A106" s="3409"/>
      <c r="B106" s="2308" t="s">
        <v>2783</v>
      </c>
      <c r="C106" s="1481" t="e">
        <f ca="1">ROUND(IF('数据-取费表'!B4="楼面单价",G20,IF(H19="元",G19/'数据-取费表'!E5,G19*10000/'数据-取费表'!E5)),0)</f>
        <v>#REF!</v>
      </c>
      <c r="D106" s="2814"/>
      <c r="E106" s="1461"/>
      <c r="F106" s="3310"/>
      <c r="G106" s="3311"/>
      <c r="H106" s="3370"/>
      <c r="I106" s="3371"/>
      <c r="J106" s="2865"/>
    </row>
    <row r="107" spans="1:36" ht="13.2">
      <c r="A107" s="3403" t="s">
        <v>2785</v>
      </c>
      <c r="B107" s="2815" t="str">
        <f>B103</f>
        <v>总价（万元）</v>
      </c>
      <c r="C107" s="2816">
        <f>H125</f>
        <v>0</v>
      </c>
      <c r="D107" s="2817"/>
      <c r="E107" s="1461"/>
      <c r="F107" s="3374" t="s">
        <v>2791</v>
      </c>
      <c r="G107" s="3375"/>
      <c r="H107" s="2823" t="str">
        <f>C112</f>
        <v>总额（万元）</v>
      </c>
      <c r="I107" s="2822">
        <f>SUMIF(I108:I110,"&lt;9E307")</f>
        <v>0</v>
      </c>
      <c r="J107" s="2864"/>
    </row>
    <row r="108" spans="1:36" ht="14.4" thickBot="1">
      <c r="A108" s="3369"/>
      <c r="B108" s="2818" t="s">
        <v>2783</v>
      </c>
      <c r="C108" s="2819" t="e">
        <f>I125</f>
        <v>#DIV/0!</v>
      </c>
      <c r="D108" s="2820"/>
      <c r="E108" s="1461"/>
      <c r="F108" s="3312" t="s">
        <v>2792</v>
      </c>
      <c r="G108" s="3313"/>
      <c r="H108" s="2823" t="str">
        <f>C113</f>
        <v>总额（万元）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3.8">
      <c r="A109" s="3406" t="s">
        <v>1880</v>
      </c>
      <c r="B109" s="3407"/>
      <c r="C109" s="3407"/>
      <c r="D109" s="3408"/>
      <c r="E109" s="1461"/>
      <c r="F109" s="3312" t="s">
        <v>2793</v>
      </c>
      <c r="G109" s="3313"/>
      <c r="H109" s="2823" t="str">
        <f>C114</f>
        <v>总额（万元）</v>
      </c>
      <c r="I109" s="52">
        <f>C39</f>
        <v>0</v>
      </c>
      <c r="J109" s="2848"/>
    </row>
    <row r="110" spans="1:36" ht="13.2">
      <c r="A110" s="3310" t="s">
        <v>2796</v>
      </c>
      <c r="B110" s="3311"/>
      <c r="C110" s="2821" t="str">
        <f>B103</f>
        <v>总价（万元）</v>
      </c>
      <c r="D110" s="2822">
        <f>H125</f>
        <v>0</v>
      </c>
      <c r="E110" s="1461"/>
      <c r="F110" s="3312" t="s">
        <v>2794</v>
      </c>
      <c r="G110" s="3313"/>
      <c r="H110" s="2823" t="str">
        <f>C115</f>
        <v>总额（万元）</v>
      </c>
      <c r="I110" s="52">
        <f>C40</f>
        <v>0</v>
      </c>
      <c r="J110" s="2848"/>
    </row>
    <row r="111" spans="1:36" ht="13.2">
      <c r="A111" s="3310"/>
      <c r="B111" s="3311"/>
      <c r="C111" s="2821" t="s">
        <v>2797</v>
      </c>
      <c r="D111" s="52" t="e">
        <f>I125</f>
        <v>#DIV/0!</v>
      </c>
      <c r="E111" s="1461"/>
      <c r="F111" s="3310"/>
      <c r="G111" s="3311"/>
      <c r="H111" s="3372"/>
      <c r="I111" s="3373"/>
      <c r="J111" s="2866"/>
    </row>
    <row r="112" spans="1:36" ht="28.5" customHeight="1">
      <c r="A112" s="3317" t="s">
        <v>2791</v>
      </c>
      <c r="B112" s="3318"/>
      <c r="C112" s="2823" t="str">
        <f>IF(H19="元","总额（元）","总额（万元）")</f>
        <v>总额（万元）</v>
      </c>
      <c r="D112" s="2822">
        <f>IF(D38="正常操作",I108+I109+I110,I109+I110)</f>
        <v>0</v>
      </c>
      <c r="E112" s="1461"/>
      <c r="F112" s="3302" t="str">
        <f>IF(项目基本情况!F5="已注销","——","3.房地产抵押价值")</f>
        <v>3.房地产抵押价值</v>
      </c>
      <c r="G112" s="3303"/>
      <c r="H112" s="1481" t="str">
        <f>C116</f>
        <v>总价（万元）</v>
      </c>
      <c r="I112" s="2822">
        <f>IF(F112="——","——",I104-I107)</f>
        <v>0</v>
      </c>
      <c r="J112" s="2864"/>
    </row>
    <row r="113" spans="1:27" ht="13.2">
      <c r="A113" s="3312" t="s">
        <v>2798</v>
      </c>
      <c r="B113" s="3313"/>
      <c r="C113" s="2823" t="str">
        <f>C112</f>
        <v>总额（万元）</v>
      </c>
      <c r="D113" s="52">
        <f>IF(D38="同一抵押权人同一抵押物续贷",C38&amp;"（未扣减，详见特别提示）",C38)</f>
        <v>0</v>
      </c>
      <c r="E113" s="1461"/>
      <c r="F113" s="3401"/>
      <c r="G113" s="3402"/>
      <c r="H113" s="2821" t="s">
        <v>2790</v>
      </c>
      <c r="I113" s="2825" t="e">
        <f>D117</f>
        <v>#DIV/0!</v>
      </c>
      <c r="J113" s="2867"/>
    </row>
    <row r="114" spans="1:27" ht="13.2">
      <c r="A114" s="3312" t="s">
        <v>2799</v>
      </c>
      <c r="B114" s="3313"/>
      <c r="C114" s="2823" t="str">
        <f>C112</f>
        <v>总额（万元）</v>
      </c>
      <c r="D114" s="52">
        <f>C39</f>
        <v>0</v>
      </c>
      <c r="E114" s="1461"/>
      <c r="F114" s="3302" t="str">
        <f>IF(项目基本情况!F5="已注销及未注销","4.抵押担保权已注销时的房地产抵押价值",IF(项目基本情况!F5="已注销","3.抵押担保权已注销时的房地产抵押价值","——"))</f>
        <v>——</v>
      </c>
      <c r="G114" s="3303"/>
      <c r="H114" s="1481" t="str">
        <f>C118</f>
        <v>总价（万元）</v>
      </c>
      <c r="I114" s="2822" t="str">
        <f>IF(F114="——","——",I104-I109-I110)</f>
        <v>——</v>
      </c>
      <c r="J114" s="2864"/>
    </row>
    <row r="115" spans="1:27" ht="13.2">
      <c r="A115" s="3312" t="s">
        <v>2800</v>
      </c>
      <c r="B115" s="3313"/>
      <c r="C115" s="2823" t="str">
        <f>C112</f>
        <v>总额（万元）</v>
      </c>
      <c r="D115" s="52">
        <f>C40</f>
        <v>0</v>
      </c>
      <c r="E115" s="1461"/>
      <c r="F115" s="3401"/>
      <c r="G115" s="3402"/>
      <c r="H115" s="2821" t="s">
        <v>2790</v>
      </c>
      <c r="I115" s="52" t="str">
        <f>D119</f>
        <v>——</v>
      </c>
      <c r="J115" s="2848"/>
    </row>
    <row r="116" spans="1:27" ht="13.2">
      <c r="A116" s="3310" t="str">
        <f>IF(项目基本情况!F5="已注销","——","3.房地产抵押价值")</f>
        <v>3.房地产抵押价值</v>
      </c>
      <c r="B116" s="3311"/>
      <c r="C116" s="2821" t="str">
        <f>B103</f>
        <v>总价（万元）</v>
      </c>
      <c r="D116" s="2822">
        <f>IF(A116="——","——",D110-D112)</f>
        <v>0</v>
      </c>
      <c r="E116" s="1461"/>
      <c r="F116" s="3302" t="str">
        <f>IF(项目基本情况!G5="抵押净值",IF(OR(项目基本情况!F5="已注销",项目基本情况!F5="房地产抵押价值"),"4.抵押净值","5.抵押净值"),"——")</f>
        <v>——</v>
      </c>
      <c r="G116" s="3303"/>
      <c r="H116" s="2821" t="str">
        <f>C120</f>
        <v>总价（万元）</v>
      </c>
      <c r="I116" s="2822" t="str">
        <f>IF(F116="——","——",O61)</f>
        <v>——</v>
      </c>
      <c r="J116" s="2864"/>
    </row>
    <row r="117" spans="1:27" ht="13.8" thickBot="1">
      <c r="A117" s="3310"/>
      <c r="B117" s="3311"/>
      <c r="C117" s="2821" t="s">
        <v>2797</v>
      </c>
      <c r="D117" s="52" t="e">
        <f>ROUND(IF(D116=D110,D111,IF(H19="元",D116/B125,D116*10000/B125)),0)</f>
        <v>#DIV/0!</v>
      </c>
      <c r="E117" s="1461"/>
      <c r="F117" s="3304"/>
      <c r="G117" s="3305"/>
      <c r="H117" s="2826" t="s">
        <v>2790</v>
      </c>
      <c r="I117" s="2810" t="str">
        <f>D121</f>
        <v>——</v>
      </c>
      <c r="J117" s="2848"/>
    </row>
    <row r="118" spans="1:27" ht="15.6">
      <c r="A118" s="3310" t="str">
        <f>IF(项目基本情况!F5="已注销及未注销","4.抵押担保权已注销时的房地产抵押价值",IF(项目基本情况!F5="已注销","3.抵押担保权已注销时的房地产抵押价值","——"))</f>
        <v>——</v>
      </c>
      <c r="B118" s="3311"/>
      <c r="C118" s="2821" t="str">
        <f>B103</f>
        <v>总价（万元）</v>
      </c>
      <c r="D118" s="2822" t="str">
        <f>IF(A118="——","——",D110-D114-D115)</f>
        <v>——</v>
      </c>
      <c r="E118" s="1461"/>
      <c r="F118" s="3396"/>
      <c r="G118" s="3396"/>
      <c r="H118" s="3360"/>
      <c r="I118" s="3360"/>
      <c r="J118" s="2868"/>
      <c r="O118" s="32"/>
      <c r="P118" s="32"/>
    </row>
    <row r="119" spans="1:27" s="1308" customFormat="1" ht="13.2">
      <c r="A119" s="3310"/>
      <c r="B119" s="3311"/>
      <c r="C119" s="2821" t="s">
        <v>2797</v>
      </c>
      <c r="D119" s="52" t="str">
        <f>IF(A118="——","——",IF(H19="元",ROUND(D118/B125,0),ROUND(D118*10000/B125,0)))</f>
        <v>——</v>
      </c>
      <c r="E119" s="1461"/>
      <c r="F119" s="3405" t="str">
        <f>IF(B33="总价","（以上估价结果中楼面单价为总价除以建筑面积得出）","（以上估价结果中总价为楼面单价乘以建筑面积得出）")</f>
        <v>（以上估价结果中总价为楼面单价乘以建筑面积得出）</v>
      </c>
      <c r="G119" s="3405"/>
      <c r="H119" s="3405"/>
      <c r="I119" s="3405"/>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3.2">
      <c r="A120" s="3310" t="str">
        <f>IF(项目基本情况!G5="抵押净值",IF(OR(项目基本情况!F5="已注销",项目基本情况!F5="房地产抵押价值"),"4.抵押净值","5.抵押净值"),"——")</f>
        <v>——</v>
      </c>
      <c r="B120" s="3311"/>
      <c r="C120" s="2821" t="str">
        <f>B103</f>
        <v>总价（万元）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315"/>
      <c r="B121" s="3316"/>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4.4">
      <c r="A122" s="3361" t="s">
        <v>1919</v>
      </c>
      <c r="B122" s="3362"/>
      <c r="C122" s="3362"/>
      <c r="D122" s="3362"/>
      <c r="E122" s="3362"/>
      <c r="F122" s="3362"/>
      <c r="G122" s="3362"/>
      <c r="H122" s="3362"/>
      <c r="I122" s="3362"/>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295" t="s">
        <v>2801</v>
      </c>
      <c r="B123" s="3321" t="s">
        <v>2802</v>
      </c>
      <c r="C123" s="3321" t="s">
        <v>2808</v>
      </c>
      <c r="D123" s="3383" t="s">
        <v>2803</v>
      </c>
      <c r="E123" s="3384"/>
      <c r="F123" s="3296" t="s">
        <v>2809</v>
      </c>
      <c r="G123" s="3296"/>
      <c r="H123" s="3296" t="s">
        <v>2804</v>
      </c>
      <c r="I123" s="3382"/>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295"/>
      <c r="B124" s="3322"/>
      <c r="C124" s="3322"/>
      <c r="D124" s="2091" t="s">
        <v>2805</v>
      </c>
      <c r="E124" s="2091" t="s">
        <v>2810</v>
      </c>
      <c r="F124" s="2091" t="s">
        <v>2805</v>
      </c>
      <c r="G124" s="2091" t="s">
        <v>2806</v>
      </c>
      <c r="H124" s="2091"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295" t="s">
        <v>2807</v>
      </c>
      <c r="B126" s="3296"/>
      <c r="C126" s="3296"/>
      <c r="D126" s="3323" t="str">
        <f>IF(H19="元",NUMBERSTRING(INT(D125),2)&amp;"元整",NUMBERSTRING(INT(D125*10000),2)&amp;"元整")</f>
        <v>零元整</v>
      </c>
      <c r="E126" s="3366"/>
      <c r="F126" s="3323" t="str">
        <f>IF(H19="元",NUMBERSTRING(INT(F125),2)&amp;"元整",NUMBERSTRING(INT(F125*10000),2)&amp;"元整")</f>
        <v>零元整</v>
      </c>
      <c r="G126" s="3366"/>
      <c r="H126" s="3323" t="str">
        <f>IF(H19="元",NUMBERSTRING(INT(H125),2)&amp;"元整",NUMBERSTRING(INT(H125*10000),2)&amp;"元整")</f>
        <v>零元整</v>
      </c>
      <c r="I126" s="3324"/>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300" t="str">
        <f>IF(项目基本情况!D5="房地产市场价值","——",MID(A112,3,LEN(A112)-2))</f>
        <v>——</v>
      </c>
      <c r="B127" s="3306"/>
      <c r="C127" s="3301"/>
      <c r="D127" s="3298">
        <f>I107</f>
        <v>0</v>
      </c>
      <c r="E127" s="3306"/>
      <c r="F127" s="3306"/>
      <c r="G127" s="3306"/>
      <c r="H127" s="3306"/>
      <c r="I127" s="3299"/>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367" t="s">
        <v>2807</v>
      </c>
      <c r="B128" s="3335"/>
      <c r="C128" s="3336"/>
      <c r="D128" s="3307">
        <f>H111</f>
        <v>0</v>
      </c>
      <c r="E128" s="3308"/>
      <c r="F128" s="3308"/>
      <c r="G128" s="3308"/>
      <c r="H128" s="3308"/>
      <c r="I128" s="3309"/>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310" t="str">
        <f>IF(项目基本情况!D5="房地产市场价值","——",MID(A116,3,LEN(A116)-2))</f>
        <v>——</v>
      </c>
      <c r="B129" s="3311"/>
      <c r="C129" s="3311"/>
      <c r="D129" s="3298">
        <f>I112</f>
        <v>0</v>
      </c>
      <c r="E129" s="3306"/>
      <c r="F129" s="3306"/>
      <c r="G129" s="3306"/>
      <c r="H129" s="3306"/>
      <c r="I129" s="3299"/>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295" t="s">
        <v>2807</v>
      </c>
      <c r="B130" s="3296"/>
      <c r="C130" s="3296"/>
      <c r="D130" s="3307" t="e">
        <f>I113</f>
        <v>#DIV/0!</v>
      </c>
      <c r="E130" s="3308"/>
      <c r="F130" s="3308"/>
      <c r="G130" s="3308"/>
      <c r="H130" s="3308"/>
      <c r="I130" s="3309"/>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310" t="str">
        <f>IF(项目基本情况!D5="房地产市场价值","——",MID(A118,3,LEN(A118)-2))</f>
        <v>——</v>
      </c>
      <c r="B131" s="3311"/>
      <c r="C131" s="3311"/>
      <c r="D131" s="3343" t="str">
        <f>I114</f>
        <v>——</v>
      </c>
      <c r="E131" s="3344"/>
      <c r="F131" s="3344"/>
      <c r="G131" s="3344"/>
      <c r="H131" s="3344"/>
      <c r="I131" s="3395"/>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295" t="s">
        <v>2807</v>
      </c>
      <c r="B132" s="3296"/>
      <c r="C132" s="3297"/>
      <c r="D132" s="3359" t="str">
        <f>I115</f>
        <v>——</v>
      </c>
      <c r="E132" s="3359"/>
      <c r="F132" s="3359"/>
      <c r="G132" s="3359"/>
      <c r="H132" s="3359"/>
      <c r="I132" s="3359"/>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310" t="str">
        <f>IF(项目基本情况!D5="房地产市场价值","——",MID(F116,3,LEN(F116)-2))</f>
        <v>——</v>
      </c>
      <c r="B133" s="3311"/>
      <c r="C133" s="3298"/>
      <c r="D133" s="3314" t="str">
        <f>I116</f>
        <v>——</v>
      </c>
      <c r="E133" s="3314"/>
      <c r="F133" s="3314"/>
      <c r="G133" s="3314"/>
      <c r="H133" s="3314"/>
      <c r="I133" s="3314"/>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319" t="s">
        <v>2807</v>
      </c>
      <c r="B134" s="3320"/>
      <c r="C134" s="3320"/>
      <c r="D134" s="3325">
        <f>H118</f>
        <v>0</v>
      </c>
      <c r="E134" s="3326"/>
      <c r="F134" s="3326"/>
      <c r="G134" s="3326"/>
      <c r="H134" s="3326"/>
      <c r="I134" s="3327"/>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293" t="str">
        <f>IF(B33="总价","（以上估价结果中楼面单价为总价除以建筑面积得出）","（以上估价结果中总价为楼面单价乘以建筑面积得出）")</f>
        <v>（以上估价结果中总价为楼面单价乘以建筑面积得出）</v>
      </c>
      <c r="B136" s="3293"/>
      <c r="C136" s="3293"/>
      <c r="D136" s="3293"/>
      <c r="E136" s="3293"/>
      <c r="F136" s="3293"/>
      <c r="G136" s="3293"/>
      <c r="H136" s="3293"/>
      <c r="I136" s="3293"/>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92" priority="9" stopIfTrue="1" operator="equal">
      <formula>25</formula>
    </cfRule>
  </conditionalFormatting>
  <conditionalFormatting sqref="C8:C9">
    <cfRule type="cellIs" dxfId="191" priority="8" stopIfTrue="1" operator="equal">
      <formula>15</formula>
    </cfRule>
  </conditionalFormatting>
  <conditionalFormatting sqref="C14:C16">
    <cfRule type="cellIs" dxfId="190" priority="7" stopIfTrue="1" operator="equal">
      <formula>30</formula>
    </cfRule>
  </conditionalFormatting>
  <conditionalFormatting sqref="D5:D7">
    <cfRule type="cellIs" dxfId="189" priority="6" stopIfTrue="1" operator="equal">
      <formula>25</formula>
    </cfRule>
  </conditionalFormatting>
  <conditionalFormatting sqref="D8:D9">
    <cfRule type="cellIs" dxfId="188" priority="5" stopIfTrue="1" operator="equal">
      <formula>15</formula>
    </cfRule>
  </conditionalFormatting>
  <conditionalFormatting sqref="C10:D13">
    <cfRule type="cellIs" dxfId="187" priority="4" stopIfTrue="1" operator="equal">
      <formula>15</formula>
    </cfRule>
  </conditionalFormatting>
  <conditionalFormatting sqref="D14:D16">
    <cfRule type="cellIs" dxfId="186" priority="3" stopIfTrue="1" operator="equal">
      <formula>30</formula>
    </cfRule>
  </conditionalFormatting>
  <conditionalFormatting sqref="C92">
    <cfRule type="expression" dxfId="185" priority="2" stopIfTrue="1">
      <formula>$H$90&lt;&gt;"仅含出让金"</formula>
    </cfRule>
  </conditionalFormatting>
  <conditionalFormatting sqref="C93">
    <cfRule type="expression" dxfId="184"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3203125" defaultRowHeight="13.2"/>
  <cols>
    <col min="1" max="1" width="9.33203125" style="131" customWidth="1"/>
    <col min="2" max="2" width="29.109375" style="116" customWidth="1"/>
    <col min="3" max="3" width="12.109375" style="116" customWidth="1"/>
    <col min="4" max="4" width="12.109375" style="134" customWidth="1"/>
    <col min="5" max="5" width="11.1093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t="e">
        <f ca="1">IF(D2="——",IF(C2="元",C52,ROUND(C52/10000,0)),IF(C2="元",C52,ROUND(C52/10000,0))-E2)</f>
        <v>#VALUE!</v>
      </c>
      <c r="C2" s="79">
        <f>'数据-取费表'!B3</f>
        <v>0</v>
      </c>
      <c r="D2" s="1516" t="s">
        <v>1240</v>
      </c>
      <c r="E2" s="1180" t="e">
        <f ca="1">SUMIF(INDIRECT("'"&amp;G2&amp;"'"&amp;"!A:A"),"承租人权益价值",INDIRECT("'"&amp;G2&amp;"'"&amp;"!c:c"))</f>
        <v>#REF!</v>
      </c>
      <c r="F2" s="1517">
        <f>C2</f>
        <v>0</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t="e">
        <f ca="1">ROUND(C52/IF(B1="仅计算典型户型",'数据-取费表'!E5,'数据-取费表'!B5),0)</f>
        <v>#VALUE!</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C6+C7+C8</f>
        <v>1000000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0</v>
      </c>
      <c r="D7" s="115"/>
      <c r="E7" s="1168"/>
      <c r="F7" s="1169">
        <f>'数据-取费表'!E36+'数据-取费表'!E37</f>
        <v>0</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0</v>
      </c>
      <c r="D19" s="1175">
        <f>IF(B1="仅计算典型户型",'数据-取费表'!E5,'数据-取费表'!B5)</f>
        <v>0</v>
      </c>
      <c r="E19" s="111">
        <f>'数据-取费表'!E15</f>
        <v>0</v>
      </c>
      <c r="F19" s="112"/>
      <c r="G19" s="1518"/>
    </row>
    <row r="20" spans="1:123" s="91" customFormat="1" ht="13.5" customHeight="1">
      <c r="A20" s="120" t="s">
        <v>1949</v>
      </c>
      <c r="B20" s="89" t="s">
        <v>1950</v>
      </c>
      <c r="C20" s="99">
        <f>ROUND((C5+C19)*F20,0)</f>
        <v>0</v>
      </c>
      <c r="D20" s="99"/>
      <c r="E20" s="99"/>
      <c r="F20" s="103">
        <f>'数据-取费表'!E25</f>
        <v>0</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v>
      </c>
      <c r="D21" s="102" t="s">
        <v>1954</v>
      </c>
      <c r="E21" s="99"/>
      <c r="F21" s="103">
        <f>'数据-取费表'!E26</f>
        <v>0</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t="e">
        <f ca="1">ROUND(SUM(C23:C25),0)</f>
        <v>#VALUE!</v>
      </c>
      <c r="D22" s="101" t="e">
        <f ca="1">C26</f>
        <v>#VALUE!</v>
      </c>
      <c r="E22" s="102" t="s">
        <v>1954</v>
      </c>
      <c r="F22" s="103" t="e">
        <f ca="1">'数据-取费表'!E27</f>
        <v>#VALUE!</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t="e">
        <f ca="1">ROUND(IF('数据-取费表'!B24&lt;=1,C5*F22*'数据-取费表'!B25,C5*(POWER((1+F22),'数据-取费表'!B25)-1)),0)</f>
        <v>#VALUE!</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t="e">
        <f ca="1">ROUND(IF('数据-取费表'!B24&lt;=1,C19*F22*('数据-取费表'!B21/2+'数据-取费表'!B23),C19*(POWER((1+F22),('数据-取费表'!B21/2+'数据-取费表'!B23))-1)),0)</f>
        <v>#VALUE!</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t="e">
        <f ca="1">ROUND(IF('数据-取费表'!B24&lt;=1,C20*F22*'数据-取费表'!B25/2,C20*(POWER((1+F22),'数据-取费表'!B25/2)-1)),0)</f>
        <v>#VALUE!</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t="e">
        <f ca="1">ROUND(IF('数据-取费表'!B24&lt;=1,F21*F22*'数据-取费表'!B25/2,F21*(POWER((1+F22),'数据-取费表'!B25/2)-1)),4)</f>
        <v>#VALUE!</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1967</v>
      </c>
      <c r="B27" s="110" t="s">
        <v>1968</v>
      </c>
      <c r="C27" s="111" t="e">
        <f>C28</f>
        <v>#DIV/0!</v>
      </c>
      <c r="D27" s="101" t="e">
        <f>C29</f>
        <v>#DIV/0!</v>
      </c>
      <c r="E27" s="102" t="s">
        <v>1954</v>
      </c>
      <c r="F27" s="112">
        <f>'数据-取费表'!E28</f>
        <v>0</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t="e">
        <f>ROUND(C21*F27*'数据-取费表'!B23/'数据-取费表'!B22,4)</f>
        <v>#DIV/0!</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0</v>
      </c>
      <c r="D30" s="102" t="s">
        <v>1954</v>
      </c>
      <c r="E30" s="107"/>
      <c r="F30" s="103">
        <f>'数据-取费表'!E29</f>
        <v>0</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t="e">
        <f ca="1">ROUND((C5+C19+C20+C22+C27)/(1-C21-D22-D27-C30),0)</f>
        <v>#VALUE!</v>
      </c>
      <c r="D31" s="1175"/>
      <c r="E31" s="111"/>
      <c r="F31" s="1176"/>
      <c r="G31" s="100" t="s">
        <v>1976</v>
      </c>
    </row>
    <row r="32" spans="1:123" s="88" customFormat="1" ht="16.2">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0</v>
      </c>
      <c r="D34" s="1167"/>
      <c r="E34" s="115"/>
      <c r="F34" s="1178" t="str">
        <f>IF('数据-取费表'!B26=0,"",'数据-取费表'!E20)</f>
        <v/>
      </c>
      <c r="G34" s="95"/>
    </row>
    <row r="35" spans="1:123" ht="13.5" customHeight="1">
      <c r="A35" s="92" t="s">
        <v>1932</v>
      </c>
      <c r="B35" s="93" t="s">
        <v>1981</v>
      </c>
      <c r="C35" s="115">
        <f>ROUND(C34*F35,0)</f>
        <v>0</v>
      </c>
      <c r="D35" s="115"/>
      <c r="E35" s="115"/>
      <c r="F35" s="1179">
        <f>'数据-取费表'!E21</f>
        <v>0</v>
      </c>
      <c r="G35" s="95" t="s">
        <v>1982</v>
      </c>
    </row>
    <row r="36" spans="1:123" ht="24">
      <c r="A36" s="92" t="s">
        <v>1934</v>
      </c>
      <c r="B36" s="93" t="s">
        <v>1983</v>
      </c>
      <c r="C36" s="115">
        <f>ROUND(IF('数据-取费表'!B10="住宅",C34*F36,0),0)</f>
        <v>0</v>
      </c>
      <c r="D36" s="115"/>
      <c r="E36" s="115"/>
      <c r="F36" s="1179">
        <f>'数据-取费表'!E22</f>
        <v>0</v>
      </c>
      <c r="G36" s="123" t="s">
        <v>1984</v>
      </c>
    </row>
    <row r="37" spans="1:123" s="122" customFormat="1" ht="13.5" customHeight="1">
      <c r="A37" s="92" t="s">
        <v>1965</v>
      </c>
      <c r="B37" s="93" t="s">
        <v>1985</v>
      </c>
      <c r="C37" s="115">
        <f>ROUND(E37*D37,0)</f>
        <v>0</v>
      </c>
      <c r="D37" s="1167">
        <f>IF(B1="仅计算典型户型",'数据-取费表'!E5,'数据-取费表'!B5)</f>
        <v>0</v>
      </c>
      <c r="E37" s="115">
        <f>'数据-取费表'!E23</f>
        <v>0</v>
      </c>
      <c r="F37" s="1179"/>
      <c r="G37" s="124" t="s">
        <v>1986</v>
      </c>
    </row>
    <row r="38" spans="1:123" ht="13.5" customHeight="1">
      <c r="A38" s="92" t="s">
        <v>1987</v>
      </c>
      <c r="B38" s="93" t="s">
        <v>1988</v>
      </c>
      <c r="C38" s="115">
        <f>ROUND(C34*F38,0)</f>
        <v>0</v>
      </c>
      <c r="D38" s="115"/>
      <c r="E38" s="115"/>
      <c r="F38" s="1179">
        <f>'数据-取费表'!E24</f>
        <v>0</v>
      </c>
      <c r="G38" s="95" t="s">
        <v>1982</v>
      </c>
    </row>
    <row r="39" spans="1:123" s="91" customFormat="1" ht="13.5" customHeight="1">
      <c r="A39" s="120" t="s">
        <v>1947</v>
      </c>
      <c r="B39" s="89" t="s">
        <v>1950</v>
      </c>
      <c r="C39" s="99">
        <f>ROUND(C33*F20,0)</f>
        <v>0</v>
      </c>
      <c r="D39" s="99"/>
      <c r="E39" s="99"/>
      <c r="F39" s="2890">
        <f>F20</f>
        <v>0</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v>
      </c>
      <c r="D40" s="102" t="s">
        <v>1990</v>
      </c>
      <c r="E40" s="99"/>
      <c r="F40" s="2890">
        <f>F21</f>
        <v>0</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t="e">
        <f ca="1">ROUND(SUM(C42:C43),0)</f>
        <v>#VALUE!</v>
      </c>
      <c r="D41" s="101" t="e">
        <f ca="1">C44</f>
        <v>#VALUE!</v>
      </c>
      <c r="E41" s="102" t="s">
        <v>1990</v>
      </c>
      <c r="F41" s="2890" t="e">
        <f ca="1">F22</f>
        <v>#VALUE!</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t="e">
        <f ca="1">ROUND(IF('数据-取费表'!B24&lt;=1,C33*F22*'数据-取费表'!B23/2,C33*(POWER((1+F22),'数据-取费表'!B23/2)-1)),0)</f>
        <v>#VALUE!</v>
      </c>
      <c r="D42" s="104"/>
      <c r="E42" s="104"/>
      <c r="F42" s="105"/>
      <c r="G42" s="3432" t="s">
        <v>1992</v>
      </c>
    </row>
    <row r="43" spans="1:123" ht="13.5" customHeight="1">
      <c r="A43" s="92" t="s">
        <v>1932</v>
      </c>
      <c r="B43" s="93" t="s">
        <v>1961</v>
      </c>
      <c r="C43" s="104" t="e">
        <f ca="1">ROUND(IF('数据-取费表'!B24&lt;=1,C39*F22*'数据-取费表'!B23/2,C39*(POWER((1+F22),'数据-取费表'!B23/2)-1)),0)</f>
        <v>#VALUE!</v>
      </c>
      <c r="D43" s="104"/>
      <c r="E43" s="104"/>
      <c r="F43" s="105"/>
      <c r="G43" s="3433"/>
    </row>
    <row r="44" spans="1:123" ht="13.5" customHeight="1">
      <c r="A44" s="92" t="s">
        <v>1934</v>
      </c>
      <c r="B44" s="93" t="s">
        <v>1963</v>
      </c>
      <c r="C44" s="104" t="e">
        <f ca="1">ROUND(IF('数据-取费表'!B24&lt;=1,C40*F22*'数据-取费表'!B23/2,C40*(POWER((1+F22),'数据-取费表'!B23/2)-1)),4)</f>
        <v>#VALUE!</v>
      </c>
      <c r="D44" s="104"/>
      <c r="E44" s="104"/>
      <c r="F44" s="105"/>
      <c r="G44" s="3434"/>
    </row>
    <row r="45" spans="1:123" s="91" customFormat="1" ht="13.5" customHeight="1">
      <c r="A45" s="120" t="s">
        <v>1956</v>
      </c>
      <c r="B45" s="110" t="s">
        <v>1968</v>
      </c>
      <c r="C45" s="111">
        <f>C46</f>
        <v>0</v>
      </c>
      <c r="D45" s="101">
        <f>C47</f>
        <v>0</v>
      </c>
      <c r="E45" s="102" t="s">
        <v>1990</v>
      </c>
      <c r="F45" s="2891">
        <f>F27</f>
        <v>0</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0</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0</v>
      </c>
      <c r="D48" s="102" t="s">
        <v>1990</v>
      </c>
      <c r="E48" s="99"/>
      <c r="F48" s="2890">
        <f>F30</f>
        <v>0</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t="e">
        <f ca="1">ROUND((C33+C39+C41+C45)/(1-C40-D41-D45-C48),0)</f>
        <v>#VALUE!</v>
      </c>
      <c r="D49" s="99"/>
      <c r="E49" s="99"/>
      <c r="F49" s="126"/>
      <c r="G49" s="100" t="s">
        <v>2000</v>
      </c>
    </row>
    <row r="50" spans="1:123" s="122" customFormat="1" ht="24">
      <c r="A50" s="994" t="s">
        <v>2001</v>
      </c>
      <c r="B50" s="89" t="s">
        <v>2002</v>
      </c>
      <c r="C50" s="99"/>
      <c r="D50" s="99"/>
      <c r="E50" s="99"/>
      <c r="F50" s="126">
        <f>IF('数据-取费表'!B26=0,'数据-取费表'!E20,1)</f>
        <v>0</v>
      </c>
      <c r="G50" s="113" t="s">
        <v>2003</v>
      </c>
    </row>
    <row r="51" spans="1:123" ht="16.5" customHeight="1">
      <c r="A51" s="994" t="s">
        <v>2004</v>
      </c>
      <c r="B51" s="89" t="s">
        <v>2005</v>
      </c>
      <c r="C51" s="99" t="e">
        <f ca="1">ROUND(C49*F50,0)</f>
        <v>#VALUE!</v>
      </c>
      <c r="D51" s="99"/>
      <c r="E51" s="99"/>
      <c r="F51" s="126"/>
      <c r="G51" s="100" t="s">
        <v>2006</v>
      </c>
    </row>
    <row r="52" spans="1:123" s="88" customFormat="1" ht="16.8" thickBot="1">
      <c r="A52" s="127" t="s">
        <v>2007</v>
      </c>
      <c r="B52" s="128"/>
      <c r="C52" s="129" t="e">
        <f ca="1">C31+C51</f>
        <v>#VALUE!</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t="e">
        <f ca="1">ROUND(C51/C52,3)</f>
        <v>#VALUE!</v>
      </c>
    </row>
    <row r="57" spans="1:123">
      <c r="B57" s="135" t="s">
        <v>2010</v>
      </c>
      <c r="C57" s="137"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6640625" style="218" customWidth="1"/>
    <col min="2" max="2" width="25.664062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t="e">
        <f ca="1">IF(C2="元",C32,ROUND(C32/10000,0))</f>
        <v>#VALUE!</v>
      </c>
      <c r="C2" s="1401">
        <f>'数据-取费表'!B3</f>
        <v>0</v>
      </c>
      <c r="D2" s="924"/>
      <c r="E2" s="924"/>
      <c r="F2" s="924"/>
      <c r="G2" s="924"/>
      <c r="H2" s="924"/>
      <c r="I2" s="924"/>
      <c r="J2" s="924"/>
      <c r="K2" s="924"/>
    </row>
    <row r="3" spans="1:33" s="139" customFormat="1" ht="18" customHeight="1" thickBot="1">
      <c r="A3" s="83" t="s">
        <v>1288</v>
      </c>
      <c r="B3" s="84" t="e">
        <f ca="1">ROUND(C32/IF(C1="仅计算典型户型",'数据-取费表'!E5,'数据-取费表'!B5),0)</f>
        <v>#VALUE!</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0</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v>
      </c>
      <c r="G23" s="156" t="s">
        <v>1328</v>
      </c>
      <c r="H23" s="159"/>
      <c r="I23" s="159"/>
      <c r="J23" s="159"/>
      <c r="K23" s="160"/>
    </row>
    <row r="24" spans="1:33" s="166" customFormat="1" ht="13.5" customHeight="1">
      <c r="A24" s="995" t="s">
        <v>1329</v>
      </c>
      <c r="B24" s="177" t="s">
        <v>1330</v>
      </c>
      <c r="C24" s="183">
        <f>ROUND(F24/(1+'数据-取费表'!F30),4)</f>
        <v>0</v>
      </c>
      <c r="D24" s="184" t="s">
        <v>12</v>
      </c>
      <c r="E24" s="184"/>
      <c r="F24" s="181">
        <f>'数据-取费表'!E36+'数据-取费表'!E37</f>
        <v>0</v>
      </c>
      <c r="G24" s="156" t="s">
        <v>1331</v>
      </c>
      <c r="H24" s="186"/>
      <c r="I24" s="186"/>
      <c r="J24" s="186"/>
      <c r="K24" s="187"/>
    </row>
    <row r="25" spans="1:33" s="182" customFormat="1" ht="13.5" customHeight="1">
      <c r="A25" s="995" t="s">
        <v>1332</v>
      </c>
      <c r="B25" s="179" t="s">
        <v>1333</v>
      </c>
      <c r="C25" s="188" t="e">
        <f ca="1">C27</f>
        <v>#VALUE!</v>
      </c>
      <c r="D25" s="183" t="e">
        <f ca="1">C26</f>
        <v>#VALUE!</v>
      </c>
      <c r="E25" s="189" t="s">
        <v>12</v>
      </c>
      <c r="F25" s="190" t="e">
        <f ca="1">'数据-取费表'!E27</f>
        <v>#VALUE!</v>
      </c>
      <c r="G25" s="147" t="s">
        <v>1334</v>
      </c>
      <c r="H25" s="186"/>
      <c r="I25" s="186"/>
      <c r="J25" s="186"/>
      <c r="K25" s="187"/>
    </row>
    <row r="26" spans="1:33" s="196" customFormat="1" ht="13.5" customHeight="1">
      <c r="A26" s="996" t="s">
        <v>1335</v>
      </c>
      <c r="B26" s="191" t="s">
        <v>1336</v>
      </c>
      <c r="C26" s="192" t="e">
        <f ca="1">ROUND(IF('数据-取费表'!B24&lt;=1,(1+C24)*F25*'数据-取费表'!B26,(1+C24)*(POWER((1+F25),'数据-取费表'!B26)-1)),4)</f>
        <v>#VALUE!</v>
      </c>
      <c r="D26" s="193"/>
      <c r="E26" s="194"/>
      <c r="F26" s="195"/>
      <c r="G26" s="147"/>
      <c r="H26" s="170"/>
      <c r="I26" s="170"/>
      <c r="J26" s="170"/>
      <c r="K26" s="171"/>
    </row>
    <row r="27" spans="1:33" s="196" customFormat="1" ht="13.5" customHeight="1">
      <c r="A27" s="996" t="s">
        <v>1315</v>
      </c>
      <c r="B27" s="191" t="s">
        <v>1337</v>
      </c>
      <c r="C27" s="197" t="e">
        <f ca="1">ROUND(IF('数据-取费表'!B24&lt;=1,(C21+C22+C23)*F25*'数据-取费表'!B26/2,(C21+C22+C23)*(POWER((1+F25),'数据-取费表'!B26/2)-1)),0)</f>
        <v>#VALUE!</v>
      </c>
      <c r="D27" s="193"/>
      <c r="E27" s="194"/>
      <c r="F27" s="195"/>
      <c r="G27" s="147" t="s">
        <v>1338</v>
      </c>
      <c r="H27" s="170"/>
      <c r="I27" s="170"/>
      <c r="J27" s="170"/>
      <c r="K27" s="171"/>
    </row>
    <row r="28" spans="1:33" s="201" customFormat="1" ht="13.5" customHeight="1">
      <c r="A28" s="995" t="s">
        <v>1339</v>
      </c>
      <c r="B28" s="198" t="s">
        <v>1340</v>
      </c>
      <c r="C28" s="199">
        <f>C30</f>
        <v>0</v>
      </c>
      <c r="D28" s="183">
        <f>C29</f>
        <v>0</v>
      </c>
      <c r="E28" s="189" t="s">
        <v>12</v>
      </c>
      <c r="F28" s="200">
        <f>'数据-取费表'!E28</f>
        <v>0</v>
      </c>
      <c r="G28" s="185"/>
      <c r="H28" s="186"/>
      <c r="I28" s="186"/>
      <c r="J28" s="186"/>
      <c r="K28" s="187"/>
    </row>
    <row r="29" spans="1:33" s="204" customFormat="1" ht="13.5" customHeight="1">
      <c r="A29" s="996" t="s">
        <v>1341</v>
      </c>
      <c r="B29" s="202" t="s">
        <v>1342</v>
      </c>
      <c r="C29" s="193">
        <f>ROUND((1+C24)*F28,4)</f>
        <v>0</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0</v>
      </c>
      <c r="G31" s="210" t="s">
        <v>1348</v>
      </c>
      <c r="H31" s="211"/>
      <c r="I31" s="211"/>
      <c r="J31" s="211"/>
      <c r="K31" s="212"/>
    </row>
    <row r="32" spans="1:33" s="161" customFormat="1" ht="13.5" customHeight="1" thickBot="1">
      <c r="A32" s="213" t="s">
        <v>1349</v>
      </c>
      <c r="B32" s="214"/>
      <c r="C32" s="215" t="e">
        <f ca="1">ROUND((C4-C21-C22-C23-C25-C28-C31)/(1+C24+D25+D28),0)</f>
        <v>#VALUE!</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6640625" style="225" customWidth="1"/>
    <col min="6" max="6" width="10.6640625" style="225" customWidth="1"/>
    <col min="7" max="7" width="4.88671875" style="225" customWidth="1"/>
    <col min="8" max="8" width="8.44140625" style="225" customWidth="1"/>
    <col min="9" max="9" width="21.109375" style="225" customWidth="1"/>
    <col min="10" max="10" width="12.109375" style="225" customWidth="1"/>
    <col min="11" max="11" width="40.109375" style="277" customWidth="1"/>
    <col min="12" max="12" width="18.33203125" style="225" customWidth="1"/>
    <col min="13" max="13" width="13" style="225" customWidth="1"/>
    <col min="14" max="14" width="13.109375" style="652" customWidth="1"/>
    <col min="15" max="15" width="5.109375" style="652" customWidth="1"/>
    <col min="16" max="16" width="24.88671875" style="652" customWidth="1"/>
    <col min="17" max="17" width="13.6640625" style="656" customWidth="1"/>
    <col min="18" max="18" width="26.109375" style="652" customWidth="1"/>
    <col min="19" max="19" width="1.44140625" style="652" customWidth="1"/>
    <col min="20" max="37" width="9" style="652"/>
    <col min="38" max="16384" width="9" style="225"/>
  </cols>
  <sheetData>
    <row r="1" spans="1:37" s="223" customFormat="1" ht="21.6">
      <c r="A1" s="221" t="s">
        <v>2011</v>
      </c>
      <c r="B1" s="222"/>
      <c r="C1" s="611"/>
      <c r="D1" s="1625"/>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t="e">
        <f ca="1">IF(C2="元",IF('数据-取费表'!B29="租赁期内按合同租金",C40+L47+J29,C40+L47),ROUND(IF('数据-取费表'!B29="租赁期内按合同租金",(C40+L47+J29)/10000,(C40+L47)/10000),0))</f>
        <v>#VALUE!</v>
      </c>
      <c r="C2" s="1519">
        <f>'数据-取费表'!B3</f>
        <v>0</v>
      </c>
      <c r="D2" s="927"/>
      <c r="E2" s="928"/>
      <c r="F2" s="928"/>
      <c r="G2" s="953"/>
      <c r="H2" s="929"/>
      <c r="I2" s="929"/>
      <c r="J2" s="929"/>
      <c r="K2" s="930"/>
      <c r="L2" s="929"/>
      <c r="M2" s="929"/>
    </row>
    <row r="3" spans="1:37" ht="18" customHeight="1" thickBot="1">
      <c r="A3" s="226" t="s">
        <v>1922</v>
      </c>
      <c r="B3" s="643" t="e">
        <f ca="1">ROUND(IF('数据-取费表'!B29="租赁期内按合同租金",(C40+L47+J29)/F43,(C40+L47)/F43),0)</f>
        <v>#VALUE!</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2708</v>
      </c>
      <c r="E6" s="235" t="s">
        <v>2023</v>
      </c>
      <c r="F6" s="236">
        <f>'数据-取费表'!B30</f>
        <v>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0</v>
      </c>
      <c r="G7" s="951"/>
      <c r="H7" s="237"/>
      <c r="I7" s="238"/>
      <c r="J7" s="239"/>
      <c r="K7" s="240"/>
      <c r="L7" s="235" t="s">
        <v>2024</v>
      </c>
      <c r="M7" s="236">
        <f>IF('数据-取费表'!B42="",IF(D1="仅计算典型户型",'数据-取费表'!E5,'数据-取费表'!B5),'数据-取费表'!B42)</f>
        <v>0</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t="e">
        <f ca="1">ROUND(C29*F13,0)</f>
        <v>#VALUE!</v>
      </c>
      <c r="D13" s="1094" t="s">
        <v>2038</v>
      </c>
      <c r="E13" s="1094" t="s">
        <v>2039</v>
      </c>
      <c r="F13" s="1095">
        <f>'数据-取费表'!E20</f>
        <v>0</v>
      </c>
      <c r="G13" s="952"/>
      <c r="H13" s="1092">
        <v>2</v>
      </c>
      <c r="I13" s="1093" t="s">
        <v>2037</v>
      </c>
      <c r="J13" s="1059" t="e">
        <f ca="1">ROUND(J14*J15,0)</f>
        <v>#VALUE!</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0</v>
      </c>
      <c r="D14" s="1328" t="s">
        <v>2042</v>
      </c>
      <c r="E14" s="1329"/>
      <c r="F14" s="799"/>
      <c r="G14" s="952"/>
      <c r="H14" s="253" t="s">
        <v>2021</v>
      </c>
      <c r="I14" s="235" t="s">
        <v>2043</v>
      </c>
      <c r="J14" s="13" t="e">
        <f ca="1">C29</f>
        <v>#VALUE!</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0</v>
      </c>
      <c r="D15" s="255" t="s">
        <v>2046</v>
      </c>
      <c r="E15" s="255" t="s">
        <v>2047</v>
      </c>
      <c r="F15" s="256">
        <f>'数据-取费表'!E21</f>
        <v>0</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0</v>
      </c>
      <c r="D16" s="235" t="s">
        <v>2046</v>
      </c>
      <c r="E16" s="235" t="s">
        <v>2047</v>
      </c>
      <c r="F16" s="258">
        <f>IF('数据-取费表'!B10="住宅",'数据-取费表'!E22,0)</f>
        <v>0</v>
      </c>
      <c r="G16" s="952"/>
      <c r="H16" s="1092" t="s">
        <v>14</v>
      </c>
      <c r="I16" s="1093" t="s">
        <v>2052</v>
      </c>
      <c r="J16" s="243" t="e">
        <f ca="1">ROUND(J17+J22+J23+J24,0)</f>
        <v>#VALUE!</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0</v>
      </c>
      <c r="D17" s="235" t="s">
        <v>2056</v>
      </c>
      <c r="E17" s="235" t="s">
        <v>2057</v>
      </c>
      <c r="F17" s="15">
        <f>'数据-取费表'!E23</f>
        <v>0</v>
      </c>
      <c r="G17" s="952"/>
      <c r="H17" s="253" t="s">
        <v>2058</v>
      </c>
      <c r="I17" s="235" t="s">
        <v>2059</v>
      </c>
      <c r="J17" s="2829" t="e">
        <f ca="1">ROUND(IF(AND(项目基本情况!B7="自然人",项目基本情况!B6="北京市"),J6*M17/(1+'数据-取费表'!F30),J18+J19+J20),0)</f>
        <v>#VALUE!</v>
      </c>
      <c r="K17" s="1328" t="s">
        <v>2060</v>
      </c>
      <c r="L17" s="1331" t="s">
        <v>2061</v>
      </c>
      <c r="M17" s="2828"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0</v>
      </c>
      <c r="D18" s="235" t="s">
        <v>2046</v>
      </c>
      <c r="E18" s="235" t="s">
        <v>2047</v>
      </c>
      <c r="F18" s="258">
        <f>'数据-取费表'!E24</f>
        <v>0</v>
      </c>
      <c r="G18" s="951"/>
      <c r="H18" s="253" t="s">
        <v>2064</v>
      </c>
      <c r="I18" s="235" t="s">
        <v>2065</v>
      </c>
      <c r="J18" s="13">
        <f>IF(项目基本情况!B7="自然人","——",ROUND(J6*M18/(1+'数据-取费表'!F30),0))</f>
        <v>0</v>
      </c>
      <c r="K18" s="1331" t="s">
        <v>2736</v>
      </c>
      <c r="L18" s="235" t="s">
        <v>2047</v>
      </c>
      <c r="M18" s="258">
        <f>'数据-取费表'!E29</f>
        <v>0</v>
      </c>
    </row>
    <row r="19" spans="1:37" s="257" customFormat="1" ht="18" customHeight="1">
      <c r="A19" s="253" t="s">
        <v>2058</v>
      </c>
      <c r="B19" s="235" t="s">
        <v>2066</v>
      </c>
      <c r="C19" s="13">
        <f>SUM(C14:C18)</f>
        <v>0</v>
      </c>
      <c r="D19" s="33" t="s">
        <v>2067</v>
      </c>
      <c r="E19" s="1333"/>
      <c r="F19" s="15"/>
      <c r="G19" s="952"/>
      <c r="H19" s="253" t="s">
        <v>2044</v>
      </c>
      <c r="I19" s="235" t="s">
        <v>2068</v>
      </c>
      <c r="J19" s="13" t="e">
        <f ca="1">IF(项目基本情况!B7="自然人","——",IF(K19="按租金收入计税",ROUND(J6*M19/(1+'数据-取费表'!F30),0),ROUND(C29*M19*0.7,0)))</f>
        <v>#VALUE!</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0</v>
      </c>
      <c r="D20" s="259" t="s">
        <v>2071</v>
      </c>
      <c r="E20" s="235" t="s">
        <v>2072</v>
      </c>
      <c r="F20" s="258">
        <f>'数据-取费表'!E25</f>
        <v>0</v>
      </c>
      <c r="G20" s="952"/>
      <c r="H20" s="253" t="s">
        <v>2050</v>
      </c>
      <c r="I20" s="36" t="s">
        <v>2073</v>
      </c>
      <c r="J20" s="14">
        <f>IF(项目基本情况!B7="自然人","——",ROUND(M20*M21,0))</f>
        <v>0</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v>
      </c>
      <c r="D21" s="259" t="s">
        <v>2078</v>
      </c>
      <c r="E21" s="235" t="s">
        <v>2079</v>
      </c>
      <c r="F21" s="258">
        <f>'数据-取费表'!E26</f>
        <v>0</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t="e">
        <f ca="1">ROUND(J14*M22,0)</f>
        <v>#VALUE!</v>
      </c>
      <c r="K22" s="1331" t="s">
        <v>2084</v>
      </c>
      <c r="L22" s="235" t="s">
        <v>2047</v>
      </c>
      <c r="M22" s="265">
        <f>'数据-取费表'!B45</f>
        <v>0</v>
      </c>
    </row>
    <row r="23" spans="1:37" ht="18" customHeight="1">
      <c r="A23" s="253" t="s">
        <v>2064</v>
      </c>
      <c r="B23" s="235" t="s">
        <v>2085</v>
      </c>
      <c r="C23" s="13" t="e">
        <f ca="1">IF('数据-取费表'!B24&lt;=1,ROUND(C19*F24*F23/2,0)+ROUND(C20*F24*F23/2,0),ROUND(C19*(POWER((1+F24),F23/2)-1),0)+ROUND(C20*(POWER((1+F24),F23/2)-1),0))</f>
        <v>#VALUE!</v>
      </c>
      <c r="D23" s="1432" t="str">
        <f>IF(F23&lt;=1,"(建造成本+管理费用)×利率×(建设周期÷2)","(建造成本+管理费用)×((1+利率)^(建设周期÷2)-1)")</f>
        <v>(建造成本+管理费用)×利率×(建设周期÷2)</v>
      </c>
      <c r="E23" s="235" t="s">
        <v>2086</v>
      </c>
      <c r="F23" s="262">
        <f>'数据-取费表'!B22</f>
        <v>0</v>
      </c>
      <c r="G23" s="951"/>
      <c r="H23" s="253" t="s">
        <v>2076</v>
      </c>
      <c r="I23" s="235" t="s">
        <v>2087</v>
      </c>
      <c r="J23" s="13" t="e">
        <f ca="1">ROUND(J13*M23,0)</f>
        <v>#VALUE!</v>
      </c>
      <c r="K23" s="1331" t="s">
        <v>2088</v>
      </c>
      <c r="L23" s="235" t="s">
        <v>2089</v>
      </c>
      <c r="M23" s="266">
        <f>'数据-取费表'!B46</f>
        <v>0</v>
      </c>
    </row>
    <row r="24" spans="1:37" s="257" customFormat="1" ht="18" customHeight="1" thickBot="1">
      <c r="A24" s="253" t="s">
        <v>2090</v>
      </c>
      <c r="B24" s="235" t="s">
        <v>2091</v>
      </c>
      <c r="C24" s="13" t="e">
        <f ca="1">ROUND(IF('数据-取费表'!B24&lt;=1,F21*F24*F23/2,F21*(POWER((1+F24),F23/2)-1)),4)</f>
        <v>#VALUE!</v>
      </c>
      <c r="D24" s="1432" t="str">
        <f>IF(F23&lt;=1,"销售费用×利率×(建设周期÷2)","销售费用×((1+利率)^(建设周期÷2)-1)")</f>
        <v>销售费用×利率×(建设周期÷2)</v>
      </c>
      <c r="E24" s="235" t="s">
        <v>2092</v>
      </c>
      <c r="F24" s="267" t="e">
        <f ca="1">'数据-取费表'!E27</f>
        <v>#VALUE!</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t="e">
        <f ca="1">J5-J16</f>
        <v>#VALUE!</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0</v>
      </c>
      <c r="D26" s="259" t="s">
        <v>2100</v>
      </c>
      <c r="E26" s="246" t="s">
        <v>2101</v>
      </c>
      <c r="F26" s="245">
        <f>'数据-取费表'!E28</f>
        <v>0</v>
      </c>
      <c r="G26" s="652"/>
      <c r="H26" s="232" t="s">
        <v>23</v>
      </c>
      <c r="I26" s="233" t="s">
        <v>2102</v>
      </c>
      <c r="J26" s="234">
        <f ca="1">IF(J5&lt;&gt;0,ROUND(J25*(1-((1+M28)/(1+M26))^M27)/(M26-M28),0),0)</f>
        <v>0</v>
      </c>
      <c r="K26" s="261" t="s">
        <v>2103</v>
      </c>
      <c r="L26" s="235" t="s">
        <v>2104</v>
      </c>
      <c r="M26" s="245">
        <f>'数据-取费表'!B16</f>
        <v>0</v>
      </c>
    </row>
    <row r="27" spans="1:37" ht="18" customHeight="1">
      <c r="A27" s="253" t="s">
        <v>2105</v>
      </c>
      <c r="B27" s="235" t="s">
        <v>2106</v>
      </c>
      <c r="C27" s="13">
        <f>ROUND(F21*F26,4)</f>
        <v>0</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0</v>
      </c>
      <c r="D28" s="259" t="s">
        <v>2112</v>
      </c>
      <c r="E28" s="235" t="s">
        <v>2072</v>
      </c>
      <c r="F28" s="258">
        <f>'数据-取费表'!E29</f>
        <v>0</v>
      </c>
      <c r="G28" s="652"/>
      <c r="H28" s="241"/>
      <c r="I28" s="242"/>
      <c r="J28" s="243"/>
      <c r="K28" s="264"/>
      <c r="L28" s="235" t="s">
        <v>2113</v>
      </c>
      <c r="M28" s="245">
        <f>'数据-取费表'!B38</f>
        <v>0</v>
      </c>
    </row>
    <row r="29" spans="1:37" ht="18" customHeight="1" thickBot="1">
      <c r="A29" s="1102" t="s">
        <v>2114</v>
      </c>
      <c r="B29" s="1103" t="s">
        <v>2115</v>
      </c>
      <c r="C29" s="1104" t="e">
        <f ca="1">ROUND((C19+C20+C23+C26)/(1-F21-C24-C27-C28),0)</f>
        <v>#VALUE!</v>
      </c>
      <c r="D29" s="1105"/>
      <c r="E29" s="1103"/>
      <c r="F29" s="1106"/>
      <c r="G29" s="652"/>
      <c r="H29" s="271" t="s">
        <v>24</v>
      </c>
      <c r="I29" s="272" t="s">
        <v>2116</v>
      </c>
      <c r="J29" s="273">
        <f ca="1">ROUND(J26/(1+F40)^F41,0)</f>
        <v>0</v>
      </c>
      <c r="K29" s="274" t="s">
        <v>2117</v>
      </c>
      <c r="L29" s="275"/>
      <c r="M29" s="276">
        <f>IF(D1="仅计算典型户型",'数据-取费表'!E5,'数据-取费表'!B5)</f>
        <v>0</v>
      </c>
    </row>
    <row r="30" spans="1:37" ht="18" customHeight="1" thickTop="1">
      <c r="A30" s="1092" t="s">
        <v>14</v>
      </c>
      <c r="B30" s="1093" t="s">
        <v>2118</v>
      </c>
      <c r="C30" s="243" t="e">
        <f ca="1">ROUND(C31+C36+C37+C38,0)</f>
        <v>#VALUE!</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0</v>
      </c>
      <c r="D31" s="1328" t="s">
        <v>2120</v>
      </c>
      <c r="E31" s="1331" t="s">
        <v>2121</v>
      </c>
      <c r="F31" s="2828"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0</v>
      </c>
      <c r="D32" s="1331" t="s">
        <v>2735</v>
      </c>
      <c r="E32" s="235" t="s">
        <v>2072</v>
      </c>
      <c r="F32" s="267">
        <f>'数据-取费表'!E29</f>
        <v>0</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0</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f>IF(项目基本情况!B7="自然人","——",ROUND(F34*F35,0))</f>
        <v>0</v>
      </c>
      <c r="D34" s="261" t="s">
        <v>2074</v>
      </c>
      <c r="E34" s="235" t="s">
        <v>2075</v>
      </c>
      <c r="F34" s="262">
        <f>'数据-取费表'!E40</f>
        <v>0</v>
      </c>
      <c r="G34" s="652"/>
      <c r="H34" s="931"/>
      <c r="I34" s="280" t="s">
        <v>2125</v>
      </c>
      <c r="J34" s="281" t="e">
        <f ca="1">ROUND(C13*J35,0)</f>
        <v>#VALUE!</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-5.0000000000000001E-3</v>
      </c>
      <c r="K35" s="944"/>
      <c r="L35" s="943"/>
      <c r="M35" s="943"/>
    </row>
    <row r="36" spans="1:18" ht="18" customHeight="1">
      <c r="A36" s="1060" t="s">
        <v>2028</v>
      </c>
      <c r="B36" s="235" t="s">
        <v>2127</v>
      </c>
      <c r="C36" s="13" t="e">
        <f ca="1">ROUND(C29*F36,0)</f>
        <v>#VALUE!</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t="e">
        <f ca="1">ROUND(C13*F37,0)</f>
        <v>#VALUE!</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#VALUE!</v>
      </c>
      <c r="K38" s="948"/>
      <c r="L38" s="943"/>
      <c r="M38" s="943"/>
    </row>
    <row r="39" spans="1:18" ht="18" customHeight="1" thickTop="1">
      <c r="A39" s="1092" t="s">
        <v>22</v>
      </c>
      <c r="B39" s="1107" t="s">
        <v>2132</v>
      </c>
      <c r="C39" s="243" t="e">
        <f ca="1">C5-C30</f>
        <v>#VALUE!</v>
      </c>
      <c r="D39" s="1108" t="s">
        <v>2133</v>
      </c>
      <c r="E39" s="1109"/>
      <c r="F39" s="1110"/>
      <c r="G39" s="652"/>
      <c r="H39" s="943"/>
      <c r="I39" s="280" t="s">
        <v>2134</v>
      </c>
      <c r="J39" s="136" t="e">
        <f ca="1">1-J38</f>
        <v>#VALUE!</v>
      </c>
      <c r="K39" s="948"/>
      <c r="L39" s="943"/>
      <c r="M39" s="943"/>
    </row>
    <row r="40" spans="1:18" s="652" customFormat="1" ht="18" customHeight="1">
      <c r="A40" s="232" t="s">
        <v>23</v>
      </c>
      <c r="B40" s="233" t="s">
        <v>2135</v>
      </c>
      <c r="C40" s="234" t="e">
        <f ca="1">ROUND(C39*(1-((1+F42)/(1+F40))^F41)/(F40-F42),0)</f>
        <v>#VALUE!</v>
      </c>
      <c r="D40" s="261" t="s">
        <v>2103</v>
      </c>
      <c r="E40" s="235" t="s">
        <v>2104</v>
      </c>
      <c r="F40" s="245">
        <f>'数据-取费表'!B16</f>
        <v>0</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-2024</v>
      </c>
      <c r="H41" s="950"/>
      <c r="I41" s="135" t="s">
        <v>2009</v>
      </c>
      <c r="J41" s="136" t="e">
        <f ca="1">ROUND(C13/C40,3)</f>
        <v>#VALUE!</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#VALUE!</v>
      </c>
      <c r="K42" s="947"/>
      <c r="L42" s="950"/>
      <c r="M42" s="950"/>
      <c r="Q42" s="656"/>
    </row>
    <row r="43" spans="1:18" s="652" customFormat="1" ht="18" customHeight="1" thickBot="1">
      <c r="A43" s="271" t="s">
        <v>24</v>
      </c>
      <c r="B43" s="272" t="s">
        <v>2138</v>
      </c>
      <c r="C43" s="273" t="e">
        <f ca="1">ROUND(C40/F43,0)</f>
        <v>#VALUE!</v>
      </c>
      <c r="D43" s="274" t="s">
        <v>2139</v>
      </c>
      <c r="E43" s="275" t="s">
        <v>2140</v>
      </c>
      <c r="F43" s="276">
        <f>IF(D1="仅计算典型户型",'数据-取费表'!E5,'数据-取费表'!B5)</f>
        <v>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t="e">
        <f ca="1">C40+J29</f>
        <v>#VALUE!</v>
      </c>
      <c r="R45" s="1050" t="s">
        <v>2147</v>
      </c>
    </row>
    <row r="46" spans="1:18" s="652" customFormat="1" ht="18" customHeight="1" thickBot="1">
      <c r="A46" s="649"/>
      <c r="D46" s="649"/>
      <c r="E46" s="649"/>
      <c r="F46" s="649"/>
      <c r="K46" s="653"/>
      <c r="O46" s="1047" t="s">
        <v>950</v>
      </c>
      <c r="P46" s="1048" t="s">
        <v>2148</v>
      </c>
      <c r="Q46" s="1049" t="e">
        <f ca="1">J61</f>
        <v>#VALUE!</v>
      </c>
      <c r="R46" s="1050" t="s">
        <v>2149</v>
      </c>
    </row>
    <row r="47" spans="1:18" s="652" customFormat="1" ht="22.2" thickBot="1">
      <c r="A47" s="1527" t="s">
        <v>2150</v>
      </c>
      <c r="C47" s="992" t="e">
        <f ca="1">IF(C2="元",C69-C40,ROUND((C69-C40)/10000,0))</f>
        <v>#VALUE!</v>
      </c>
      <c r="D47" s="1528">
        <f>C2</f>
        <v>0</v>
      </c>
      <c r="E47" s="649"/>
      <c r="F47" s="649"/>
      <c r="I47" s="1529" t="s">
        <v>2151</v>
      </c>
      <c r="J47" s="1023"/>
      <c r="K47" s="1024"/>
      <c r="L47" s="1037" t="e">
        <f ca="1">IF(M48="住宅",0,IF(L49&gt;J52,L61,J61))</f>
        <v>#VALUE!</v>
      </c>
      <c r="O47" s="1051" t="s">
        <v>951</v>
      </c>
      <c r="P47" s="1048" t="s">
        <v>2152</v>
      </c>
      <c r="Q47" s="1049" t="e">
        <f ca="1">C29</f>
        <v>#VALUE!</v>
      </c>
      <c r="R47" s="1050" t="s">
        <v>2147</v>
      </c>
    </row>
    <row r="48" spans="1:18" s="652" customFormat="1" ht="16.2" thickBot="1">
      <c r="A48" s="228" t="s">
        <v>2153</v>
      </c>
      <c r="B48" s="229" t="s">
        <v>2154</v>
      </c>
      <c r="C48" s="229" t="s">
        <v>2155</v>
      </c>
      <c r="D48" s="229" t="s">
        <v>2156</v>
      </c>
      <c r="E48" s="986" t="s">
        <v>2157</v>
      </c>
      <c r="F48" s="987"/>
      <c r="I48" s="1530" t="s">
        <v>2158</v>
      </c>
      <c r="J48" s="1531"/>
      <c r="K48" s="1532" t="s">
        <v>2159</v>
      </c>
      <c r="L48" s="1025">
        <f>'数据-取费表'!B11</f>
        <v>0</v>
      </c>
      <c r="M48" s="1038" t="str">
        <f>IF('数据-取费表'!B10="住宅","住宅","非住宅")</f>
        <v>非住宅</v>
      </c>
      <c r="O48" s="1051" t="s">
        <v>952</v>
      </c>
      <c r="P48" s="1048" t="s">
        <v>2160</v>
      </c>
      <c r="Q48" s="1052" t="e">
        <f>J59</f>
        <v>#DIV/0!</v>
      </c>
      <c r="R48" s="1050"/>
    </row>
    <row r="49" spans="1:18" s="652" customFormat="1" ht="16.2" thickBot="1">
      <c r="A49" s="1127" t="s">
        <v>1019</v>
      </c>
      <c r="B49" s="233" t="s">
        <v>2161</v>
      </c>
      <c r="C49" s="1128">
        <f ca="1">C50+C54+C56</f>
        <v>0</v>
      </c>
      <c r="D49" s="1129"/>
      <c r="E49" s="44"/>
      <c r="F49" s="15"/>
      <c r="I49" s="1533" t="s">
        <v>2162</v>
      </c>
      <c r="J49" s="1534"/>
      <c r="K49" s="1535" t="s">
        <v>2163</v>
      </c>
      <c r="L49" s="863">
        <f>'数据-取费表'!B13</f>
        <v>-2024</v>
      </c>
      <c r="O49" s="1051" t="s">
        <v>953</v>
      </c>
      <c r="P49" s="1048" t="s">
        <v>2164</v>
      </c>
      <c r="Q49" s="1052">
        <f>J53</f>
        <v>0</v>
      </c>
      <c r="R49" s="1050"/>
    </row>
    <row r="50" spans="1:18" s="652" customFormat="1" ht="16.2" thickBot="1">
      <c r="A50" s="260" t="s">
        <v>2021</v>
      </c>
      <c r="B50" s="1442" t="s">
        <v>2165</v>
      </c>
      <c r="C50" s="234">
        <f>ROUND(F50*F52*F51*(1-F53),0)</f>
        <v>0</v>
      </c>
      <c r="D50" s="42" t="s">
        <v>2709</v>
      </c>
      <c r="E50" s="1536" t="s">
        <v>2166</v>
      </c>
      <c r="F50" s="988"/>
      <c r="I50" s="1533" t="s">
        <v>2167</v>
      </c>
      <c r="J50" s="863">
        <f>'数据-取费表'!B27</f>
        <v>0</v>
      </c>
      <c r="K50" s="1537" t="s">
        <v>2168</v>
      </c>
      <c r="L50" s="1026"/>
      <c r="O50" s="1051" t="s">
        <v>954</v>
      </c>
      <c r="P50" s="1048" t="s">
        <v>2169</v>
      </c>
      <c r="Q50" s="1049">
        <f>J54</f>
        <v>-2024</v>
      </c>
      <c r="R50" s="1050" t="s">
        <v>2170</v>
      </c>
    </row>
    <row r="51" spans="1:18" s="652" customFormat="1" ht="16.2" thickBot="1">
      <c r="A51" s="237"/>
      <c r="B51" s="238"/>
      <c r="C51" s="239"/>
      <c r="D51" s="240"/>
      <c r="E51" s="255" t="s">
        <v>2024</v>
      </c>
      <c r="F51" s="985">
        <f>F7</f>
        <v>0</v>
      </c>
      <c r="I51" s="1533" t="s">
        <v>2171</v>
      </c>
      <c r="J51" s="1027">
        <f>SUMPRODUCT((I64:I66=J48)*(J63:L63=J49)*(J64:L66))</f>
        <v>0</v>
      </c>
      <c r="K51" s="1537" t="s">
        <v>2172</v>
      </c>
      <c r="L51" s="1026"/>
      <c r="O51" s="1047" t="s">
        <v>955</v>
      </c>
      <c r="P51" s="1048" t="str">
        <f>IF(C2="元","收益价值(元)","收益价值(万元)")</f>
        <v>收益价值(万元)</v>
      </c>
      <c r="Q51" s="1049" t="e">
        <f ca="1">ROUND(IF(C2="元",Q45+Q46,(Q45+Q46)/10000),0)</f>
        <v>#VALUE!</v>
      </c>
      <c r="R51" s="1050" t="s">
        <v>956</v>
      </c>
    </row>
    <row r="52" spans="1:18" s="652" customFormat="1" ht="16.2" thickBot="1">
      <c r="A52" s="237"/>
      <c r="B52" s="238"/>
      <c r="C52" s="239"/>
      <c r="D52" s="240"/>
      <c r="E52" s="235" t="s">
        <v>2026</v>
      </c>
      <c r="F52" s="236">
        <f>F8</f>
        <v>0</v>
      </c>
      <c r="I52" s="1538" t="s">
        <v>2173</v>
      </c>
      <c r="J52" s="1028">
        <f>IF(J50="",J51,J50+J51-YEAR('数据-取费表'!B2))</f>
        <v>-2024</v>
      </c>
      <c r="K52" s="1539" t="s">
        <v>2174</v>
      </c>
      <c r="L52" s="1029" t="e">
        <f ca="1">ROUND(-PV('数据-取费表'!B15,J52,(C40-C13*J35)),0)</f>
        <v>#VALUE!</v>
      </c>
      <c r="O52" s="1041" t="s">
        <v>2175</v>
      </c>
      <c r="P52" s="1042"/>
      <c r="Q52" s="1038"/>
      <c r="R52" s="1042"/>
    </row>
    <row r="53" spans="1:18" s="652" customFormat="1" ht="31.8"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-2024</v>
      </c>
      <c r="K54" s="3435" t="s">
        <v>2707</v>
      </c>
      <c r="L54" s="3436"/>
      <c r="O54" s="1047" t="s">
        <v>949</v>
      </c>
      <c r="P54" s="1048" t="s">
        <v>2146</v>
      </c>
      <c r="Q54" s="1049" t="e">
        <f ca="1">C40+J29</f>
        <v>#VALUE!</v>
      </c>
      <c r="R54" s="1050" t="s">
        <v>2147</v>
      </c>
    </row>
    <row r="55" spans="1:18" s="652" customFormat="1" ht="19.2"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2178</v>
      </c>
      <c r="Q55" s="1049" t="e">
        <f ca="1">L61</f>
        <v>#VALUE!</v>
      </c>
      <c r="R55" s="1050" t="s">
        <v>2179</v>
      </c>
    </row>
    <row r="56" spans="1:18" s="652" customFormat="1" ht="19.2" thickBot="1">
      <c r="A56" s="1096" t="s">
        <v>2035</v>
      </c>
      <c r="B56" s="1525" t="s">
        <v>2036</v>
      </c>
      <c r="C56" s="1097"/>
      <c r="D56" s="1113"/>
      <c r="E56" s="1544"/>
      <c r="F56" s="1152"/>
      <c r="I56" s="1545" t="s">
        <v>2180</v>
      </c>
      <c r="J56" s="1320" t="e">
        <f>ROUND(IF(J48="钢混",J58/J51,1-(1-2%)*(J51-J58)/J51),3)</f>
        <v>#DIV/0!</v>
      </c>
      <c r="K56" s="1546" t="s">
        <v>2181</v>
      </c>
      <c r="L56" s="1032"/>
      <c r="O56" s="1051" t="s">
        <v>951</v>
      </c>
      <c r="P56" s="1048" t="s">
        <v>2182</v>
      </c>
      <c r="Q56" s="1049">
        <f>IF(L56="比较法",L50,IF(L56="基准地价",L51,0))</f>
        <v>0</v>
      </c>
      <c r="R56" s="1050" t="s">
        <v>2147</v>
      </c>
    </row>
    <row r="57" spans="1:18" s="652" customFormat="1" ht="48" thickTop="1" thickBot="1">
      <c r="A57" s="1092">
        <v>2</v>
      </c>
      <c r="B57" s="1093" t="s">
        <v>2037</v>
      </c>
      <c r="C57" s="1151" t="e">
        <f ca="1">C13</f>
        <v>#VALUE!</v>
      </c>
      <c r="D57" s="983"/>
      <c r="E57" s="984"/>
      <c r="F57" s="991"/>
      <c r="I57" s="1547" t="s">
        <v>2183</v>
      </c>
      <c r="J57" s="1035"/>
      <c r="K57" s="1533" t="s">
        <v>2184</v>
      </c>
      <c r="L57" s="863">
        <f>IF(L49&lt;J52,"——",L49-J52)</f>
        <v>0</v>
      </c>
      <c r="O57" s="1051" t="s">
        <v>952</v>
      </c>
      <c r="P57" s="1048" t="s">
        <v>2185</v>
      </c>
      <c r="Q57" s="1052">
        <f>L53</f>
        <v>0</v>
      </c>
      <c r="R57" s="1050"/>
    </row>
    <row r="58" spans="1:18" s="652" customFormat="1" ht="31.8" thickBot="1">
      <c r="A58" s="990"/>
      <c r="B58" s="235" t="s">
        <v>2115</v>
      </c>
      <c r="C58" s="104" t="e">
        <f ca="1">C29</f>
        <v>#VALUE!</v>
      </c>
      <c r="D58" s="983"/>
      <c r="E58" s="984"/>
      <c r="F58" s="991"/>
      <c r="I58" s="1548" t="s">
        <v>2186</v>
      </c>
      <c r="J58" s="1034">
        <f>IF(OR(M48="住宅",J52&lt;L49,J57="是"),"——",J52-L49)</f>
        <v>0</v>
      </c>
      <c r="K58" s="1533" t="s">
        <v>2187</v>
      </c>
      <c r="L58" s="863" t="e">
        <f ca="1">IF(L49&lt;J52,"——",IF(L56="比较法",L50,IF(L56="基准地价",L51,L52)))</f>
        <v>#VALUE!</v>
      </c>
      <c r="O58" s="1051" t="s">
        <v>953</v>
      </c>
      <c r="P58" s="1048" t="s">
        <v>2188</v>
      </c>
      <c r="Q58" s="1049" t="e">
        <f>L59</f>
        <v>#DIV/0!</v>
      </c>
      <c r="R58" s="1050" t="s">
        <v>2189</v>
      </c>
    </row>
    <row r="59" spans="1:18" s="652" customFormat="1" ht="31.8" thickBot="1">
      <c r="A59" s="248" t="s">
        <v>14</v>
      </c>
      <c r="B59" s="249" t="s">
        <v>2118</v>
      </c>
      <c r="C59" s="250" t="e">
        <f ca="1">ROUND(C60+C65+C66+C67,0)</f>
        <v>#VALUE!</v>
      </c>
      <c r="D59" s="12" t="s">
        <v>2119</v>
      </c>
      <c r="E59" s="1333"/>
      <c r="F59" s="15"/>
      <c r="I59" s="1548" t="s">
        <v>2190</v>
      </c>
      <c r="J59" s="1319" t="e">
        <f>IF(J56&lt;0.4,0.4,J56)</f>
        <v>#DIV/0!</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31.8" thickBot="1">
      <c r="A60" s="253" t="s">
        <v>15</v>
      </c>
      <c r="B60" s="235" t="s">
        <v>2059</v>
      </c>
      <c r="C60" s="2829" t="e">
        <f ca="1">ROUND(IF(AND(项目基本情况!B7="自然人",项目基本情况!B6="北京市"),C50*F60/(1+'数据-取费表'!F30),C61+C62+C63),0)</f>
        <v>#VALUE!</v>
      </c>
      <c r="D60" s="1328" t="s">
        <v>2120</v>
      </c>
      <c r="E60" s="1331" t="s">
        <v>2121</v>
      </c>
      <c r="F60" s="2828" t="str">
        <f>IF(项目基本情况!B7="企业","——",IF('数据-取费表'!B10="住宅",IF(F50*F51*F52/12/(1+'数据-取费表'!F30)&gt;100000,4%,2.5%),IF(F50*F51*F52/12/(1+'数据-取费表'!F30)&gt;100000,12%,7%)))</f>
        <v>——</v>
      </c>
      <c r="I60" s="1548" t="s">
        <v>2193</v>
      </c>
      <c r="J60" s="1034" t="e">
        <f ca="1">IF(OR(M48="住宅",J52&lt;L49,J57="是"),"——",ROUND(C29*J59,0))</f>
        <v>#VALUE!</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#VALUE!</v>
      </c>
      <c r="R60" s="1050" t="s">
        <v>956</v>
      </c>
    </row>
    <row r="61" spans="1:18" s="652" customFormat="1" ht="16.2" thickBot="1">
      <c r="A61" s="253" t="s">
        <v>16</v>
      </c>
      <c r="B61" s="235" t="s">
        <v>2122</v>
      </c>
      <c r="C61" s="13">
        <f ca="1">IF(项目基本情况!B7="自然人","——",ROUND(C49*F61/(1+'数据-取费表'!F30),0))</f>
        <v>0</v>
      </c>
      <c r="D61" s="1331" t="s">
        <v>2123</v>
      </c>
      <c r="E61" s="235" t="s">
        <v>2072</v>
      </c>
      <c r="F61" s="267">
        <f t="shared" ref="F61:F67" si="0">F32</f>
        <v>0</v>
      </c>
      <c r="I61" s="1549" t="s">
        <v>2194</v>
      </c>
      <c r="J61" s="1033" t="e">
        <f ca="1">IF(OR(M48="住宅",J52&lt;L49,J57="是"),"0",ROUND(J60/(1+J53)^J54,0))</f>
        <v>#VALUE!</v>
      </c>
      <c r="K61" s="1550" t="s">
        <v>2195</v>
      </c>
      <c r="L61" s="1033" t="e">
        <f ca="1">IF(OR(M48="住宅",L49&lt;J52),0,ROUND(L58*(L59/L60-1),0))</f>
        <v>#VALUE!</v>
      </c>
      <c r="O61" s="1041" t="s">
        <v>2196</v>
      </c>
      <c r="P61" s="1042"/>
      <c r="Q61" s="1038"/>
      <c r="R61" s="1042"/>
    </row>
    <row r="62" spans="1:18" s="652" customFormat="1" ht="31.8" thickBot="1">
      <c r="A62" s="253" t="s">
        <v>17</v>
      </c>
      <c r="B62" s="235" t="s">
        <v>2197</v>
      </c>
      <c r="C62" s="13" t="e">
        <f ca="1">IF(项目基本情况!B7="自然人","——",IF(D62="按租金收入计税",ROUND(C49*F62,0),IF(D62="按房产原值计税",ROUND(C58*F62*0.7,0),'数据-取费表'!B44)))</f>
        <v>#VALUE!</v>
      </c>
      <c r="D62" s="1436" t="s">
        <v>2069</v>
      </c>
      <c r="E62" s="235" t="s">
        <v>2072</v>
      </c>
      <c r="F62" s="258">
        <f t="shared" si="0"/>
        <v>1.2E-2</v>
      </c>
      <c r="O62" s="1043" t="s">
        <v>2142</v>
      </c>
      <c r="P62" s="1044" t="s">
        <v>2143</v>
      </c>
      <c r="Q62" s="1045" t="s">
        <v>2144</v>
      </c>
      <c r="R62" s="1046" t="s">
        <v>2145</v>
      </c>
    </row>
    <row r="63" spans="1:18" s="652" customFormat="1" ht="16.2" thickBot="1">
      <c r="A63" s="260" t="s">
        <v>18</v>
      </c>
      <c r="B63" s="36" t="s">
        <v>2198</v>
      </c>
      <c r="C63" s="14">
        <f>IF(项目基本情况!B7="自然人","——",ROUND(F63*F64,0))</f>
        <v>0</v>
      </c>
      <c r="D63" s="261" t="s">
        <v>2199</v>
      </c>
      <c r="E63" s="235" t="s">
        <v>2200</v>
      </c>
      <c r="F63" s="262">
        <f t="shared" si="0"/>
        <v>0</v>
      </c>
      <c r="I63" s="1551" t="s">
        <v>2201</v>
      </c>
      <c r="J63" s="1323" t="s">
        <v>2202</v>
      </c>
      <c r="K63" s="1323" t="s">
        <v>2203</v>
      </c>
      <c r="L63" s="1323" t="s">
        <v>2204</v>
      </c>
      <c r="M63" s="1322" t="s">
        <v>2205</v>
      </c>
      <c r="O63" s="1047" t="s">
        <v>949</v>
      </c>
      <c r="P63" s="1048" t="s">
        <v>2146</v>
      </c>
      <c r="Q63" s="1049" t="e">
        <f ca="1">C40+J29</f>
        <v>#VALUE!</v>
      </c>
      <c r="R63" s="1050" t="s">
        <v>2147</v>
      </c>
    </row>
    <row r="64" spans="1:18" s="652" customFormat="1" ht="19.2"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t="e">
        <f ca="1">L61</f>
        <v>#VALUE!</v>
      </c>
      <c r="R64" s="1050" t="s">
        <v>2179</v>
      </c>
    </row>
    <row r="65" spans="1:18" s="652" customFormat="1" ht="21.6" thickBot="1">
      <c r="A65" s="253" t="s">
        <v>19</v>
      </c>
      <c r="B65" s="235" t="s">
        <v>2127</v>
      </c>
      <c r="C65" s="13" t="e">
        <f ca="1">ROUND(C58*F65,0)</f>
        <v>#VALUE!</v>
      </c>
      <c r="D65" s="1331" t="s">
        <v>2128</v>
      </c>
      <c r="E65" s="235" t="s">
        <v>2072</v>
      </c>
      <c r="F65" s="265">
        <f t="shared" si="0"/>
        <v>0</v>
      </c>
      <c r="I65" s="1551" t="s">
        <v>2208</v>
      </c>
      <c r="J65" s="1323">
        <v>50</v>
      </c>
      <c r="K65" s="1323">
        <v>35</v>
      </c>
      <c r="L65" s="1323">
        <v>60</v>
      </c>
      <c r="M65" s="1322">
        <v>0</v>
      </c>
      <c r="O65" s="1051" t="s">
        <v>951</v>
      </c>
      <c r="P65" s="1048" t="s">
        <v>2182</v>
      </c>
      <c r="Q65" s="1053" t="e">
        <f ca="1">L52</f>
        <v>#VALUE!</v>
      </c>
      <c r="R65" s="1054" t="s">
        <v>2209</v>
      </c>
    </row>
    <row r="66" spans="1:18" s="652" customFormat="1" ht="19.2" thickBot="1">
      <c r="A66" s="253" t="s">
        <v>20</v>
      </c>
      <c r="B66" s="235" t="s">
        <v>2087</v>
      </c>
      <c r="C66" s="13" t="e">
        <f ca="1">ROUND(C57*F66,0)</f>
        <v>#VALUE!</v>
      </c>
      <c r="D66" s="1331" t="s">
        <v>2088</v>
      </c>
      <c r="E66" s="235" t="s">
        <v>2089</v>
      </c>
      <c r="F66" s="266">
        <f t="shared" si="0"/>
        <v>0</v>
      </c>
      <c r="I66" s="1551" t="s">
        <v>2210</v>
      </c>
      <c r="J66" s="1323">
        <v>40</v>
      </c>
      <c r="K66" s="1323">
        <v>30</v>
      </c>
      <c r="L66" s="1323">
        <v>50</v>
      </c>
      <c r="M66" s="1321">
        <v>0.02</v>
      </c>
      <c r="O66" s="1051" t="s">
        <v>952</v>
      </c>
      <c r="P66" s="1055" t="s">
        <v>2211</v>
      </c>
      <c r="Q66" s="1049" t="e">
        <f ca="1">ROUND(Q67-Q68*Q69,0)</f>
        <v>#VALUE!</v>
      </c>
      <c r="R66" s="1050"/>
    </row>
    <row r="67" spans="1:18" s="652" customFormat="1" ht="16.2" thickBot="1">
      <c r="A67" s="253" t="s">
        <v>21</v>
      </c>
      <c r="B67" s="235" t="s">
        <v>2070</v>
      </c>
      <c r="C67" s="13">
        <f ca="1">ROUND(C49*F67,0)</f>
        <v>0</v>
      </c>
      <c r="D67" s="1331" t="s">
        <v>2093</v>
      </c>
      <c r="E67" s="235" t="s">
        <v>2089</v>
      </c>
      <c r="F67" s="245">
        <f t="shared" si="0"/>
        <v>0</v>
      </c>
      <c r="O67" s="1051" t="s">
        <v>957</v>
      </c>
      <c r="P67" s="1055" t="s">
        <v>2212</v>
      </c>
      <c r="Q67" s="1049" t="e">
        <f ca="1">C39</f>
        <v>#VALUE!</v>
      </c>
      <c r="R67" s="1050" t="s">
        <v>2147</v>
      </c>
    </row>
    <row r="68" spans="1:18" ht="24.6" thickBot="1">
      <c r="A68" s="248" t="s">
        <v>22</v>
      </c>
      <c r="B68" s="41" t="s">
        <v>2097</v>
      </c>
      <c r="C68" s="250" t="e">
        <f ca="1">C49-C59</f>
        <v>#VALUE!</v>
      </c>
      <c r="D68" s="1328" t="s">
        <v>2098</v>
      </c>
      <c r="E68" s="1330"/>
      <c r="F68" s="268"/>
      <c r="H68" s="652"/>
      <c r="I68" s="652"/>
      <c r="J68" s="652"/>
      <c r="K68" s="652"/>
      <c r="L68" s="652"/>
      <c r="M68" s="652"/>
      <c r="O68" s="1051" t="s">
        <v>958</v>
      </c>
      <c r="P68" s="1055" t="s">
        <v>2213</v>
      </c>
      <c r="Q68" s="1049" t="e">
        <f ca="1">C13</f>
        <v>#VALUE!</v>
      </c>
      <c r="R68" s="1050" t="s">
        <v>2147</v>
      </c>
    </row>
    <row r="69" spans="1:18" ht="16.2" thickBot="1">
      <c r="A69" s="232" t="s">
        <v>23</v>
      </c>
      <c r="B69" s="233" t="s">
        <v>2135</v>
      </c>
      <c r="C69" s="234" t="e">
        <f ca="1">ROUND(C68*(1-((1+F71)/(1+F69))^F70)/(F69-F71),0)</f>
        <v>#VALUE!</v>
      </c>
      <c r="D69" s="261" t="s">
        <v>2103</v>
      </c>
      <c r="E69" s="235" t="s">
        <v>2104</v>
      </c>
      <c r="F69" s="245">
        <f>F40</f>
        <v>0</v>
      </c>
      <c r="H69" s="652"/>
      <c r="I69" s="652"/>
      <c r="J69" s="652"/>
      <c r="K69" s="652"/>
      <c r="L69" s="652"/>
      <c r="M69" s="652"/>
      <c r="O69" s="1051" t="s">
        <v>959</v>
      </c>
      <c r="P69" s="1055" t="s">
        <v>2214</v>
      </c>
      <c r="Q69" s="1052">
        <f>J35</f>
        <v>-5.0000000000000001E-3</v>
      </c>
      <c r="R69" s="1050"/>
    </row>
    <row r="70" spans="1:18" ht="16.2" thickBot="1">
      <c r="A70" s="237"/>
      <c r="B70" s="238"/>
      <c r="C70" s="239"/>
      <c r="D70" s="269" t="s">
        <v>2137</v>
      </c>
      <c r="E70" s="235" t="s">
        <v>2109</v>
      </c>
      <c r="F70" s="270">
        <f>F41</f>
        <v>-2024</v>
      </c>
      <c r="H70" s="652"/>
      <c r="I70" s="652"/>
      <c r="J70" s="652"/>
      <c r="K70" s="652"/>
      <c r="L70" s="652"/>
      <c r="M70" s="652"/>
      <c r="O70" s="1051" t="s">
        <v>953</v>
      </c>
      <c r="P70" s="1048" t="s">
        <v>2185</v>
      </c>
      <c r="Q70" s="1052">
        <f>L53</f>
        <v>0</v>
      </c>
      <c r="R70" s="1050"/>
    </row>
    <row r="71" spans="1:18" ht="19.2" thickBot="1">
      <c r="A71" s="241"/>
      <c r="B71" s="242"/>
      <c r="C71" s="243"/>
      <c r="D71" s="264"/>
      <c r="E71" s="235" t="s">
        <v>2113</v>
      </c>
      <c r="F71" s="1036"/>
      <c r="H71" s="652"/>
      <c r="M71" s="652"/>
      <c r="O71" s="1051" t="s">
        <v>954</v>
      </c>
      <c r="P71" s="1048" t="s">
        <v>2188</v>
      </c>
      <c r="Q71" s="1049" t="e">
        <f>L59</f>
        <v>#DIV/0!</v>
      </c>
      <c r="R71" s="1050" t="s">
        <v>2189</v>
      </c>
    </row>
    <row r="72" spans="1:18" ht="16.2" thickBot="1">
      <c r="A72" s="271" t="s">
        <v>24</v>
      </c>
      <c r="B72" s="272" t="s">
        <v>2138</v>
      </c>
      <c r="C72" s="273" t="e">
        <f ca="1">ROUND(C69/F72,0)</f>
        <v>#VALUE!</v>
      </c>
      <c r="D72" s="274" t="s">
        <v>2139</v>
      </c>
      <c r="E72" s="275" t="s">
        <v>2140</v>
      </c>
      <c r="F72" s="276">
        <f>F43</f>
        <v>0</v>
      </c>
      <c r="O72" s="1051" t="s">
        <v>960</v>
      </c>
      <c r="P72" s="1048" t="str">
        <f>K60</f>
        <v>建设期及建筑物耐用年限下的土地年期修正系数Kn</v>
      </c>
      <c r="Q72" s="1049" t="e">
        <f>L60</f>
        <v>#DIV/0!</v>
      </c>
      <c r="R72" s="1050" t="s">
        <v>2192</v>
      </c>
    </row>
    <row r="73" spans="1:18" ht="15.6" thickBot="1">
      <c r="A73" s="652"/>
      <c r="B73" s="656"/>
      <c r="C73" s="656"/>
      <c r="D73" s="652"/>
      <c r="E73" s="652"/>
      <c r="F73" s="652"/>
      <c r="O73" s="1047" t="s">
        <v>955</v>
      </c>
      <c r="P73" s="1048" t="str">
        <f>IF(C2="元","收益价值(元)","收益价值(万元)")</f>
        <v>收益价值(万元)</v>
      </c>
      <c r="Q73" s="1049" t="e">
        <f ca="1">ROUND(IF(C2="元",Q63+Q64,(Q63+Q64)/10000),0)</f>
        <v>#VALUE!</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3" priority="6">
      <formula>$L$49&gt;$J$52</formula>
    </cfRule>
  </conditionalFormatting>
  <conditionalFormatting sqref="I56">
    <cfRule type="expression" dxfId="182" priority="7">
      <formula>$J$52&gt;$L$49</formula>
    </cfRule>
  </conditionalFormatting>
  <conditionalFormatting sqref="I61">
    <cfRule type="expression" dxfId="181" priority="5">
      <formula>$J$52&gt;$L$49</formula>
    </cfRule>
  </conditionalFormatting>
  <conditionalFormatting sqref="K61">
    <cfRule type="expression" dxfId="180" priority="4">
      <formula>$L$49&gt;$J$52</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5">
    <cfRule type="expression" dxfId="17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664062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zoomScaleSheetLayoutView="80" workbookViewId="0">
      <selection activeCell="L27" sqref="L27"/>
    </sheetView>
  </sheetViews>
  <sheetFormatPr defaultColWidth="8.88671875" defaultRowHeight="14.4"/>
  <cols>
    <col min="1" max="1" width="10.44140625" customWidth="1"/>
    <col min="2" max="2" width="12.88671875" customWidth="1"/>
    <col min="3" max="3" width="8.6640625" customWidth="1"/>
    <col min="4" max="4" width="9" bestFit="1" customWidth="1"/>
    <col min="5" max="5" width="9.88671875" bestFit="1" customWidth="1"/>
    <col min="8" max="9" width="9" bestFit="1" customWidth="1"/>
  </cols>
  <sheetData>
    <row r="1" spans="1:9" ht="15.6">
      <c r="A1" s="3453" t="s">
        <v>1013</v>
      </c>
      <c r="B1" s="3454"/>
      <c r="C1" s="3455"/>
      <c r="D1" s="3456">
        <f>SUM(I10,I15,I20,I21,I23)</f>
        <v>0</v>
      </c>
      <c r="E1" s="3456"/>
      <c r="F1" s="3456"/>
      <c r="G1" s="3456"/>
      <c r="H1" s="3456"/>
      <c r="I1" s="3457"/>
    </row>
    <row r="2" spans="1:9">
      <c r="A2" s="3443" t="s">
        <v>1014</v>
      </c>
      <c r="B2" s="3444" t="s">
        <v>963</v>
      </c>
      <c r="C2" s="3444"/>
      <c r="D2" s="1062" t="s">
        <v>964</v>
      </c>
      <c r="E2" s="1062" t="s">
        <v>965</v>
      </c>
      <c r="F2" s="1062" t="s">
        <v>966</v>
      </c>
      <c r="G2" s="1062" t="s">
        <v>967</v>
      </c>
      <c r="H2" s="1062" t="s">
        <v>968</v>
      </c>
      <c r="I2" s="1063" t="s">
        <v>969</v>
      </c>
    </row>
    <row r="3" spans="1:9">
      <c r="A3" s="3443"/>
      <c r="B3" s="3444" t="s">
        <v>970</v>
      </c>
      <c r="C3" s="3444"/>
      <c r="D3" s="1064"/>
      <c r="E3" s="1062"/>
      <c r="F3" s="1065"/>
      <c r="G3" s="1065"/>
      <c r="H3" s="1066"/>
      <c r="I3" s="1067">
        <f>ROUND(D3*E3*F3*G3*H3/10000,0)</f>
        <v>0</v>
      </c>
    </row>
    <row r="4" spans="1:9">
      <c r="A4" s="3443"/>
      <c r="B4" s="3444" t="s">
        <v>971</v>
      </c>
      <c r="C4" s="3444"/>
      <c r="D4" s="1064"/>
      <c r="E4" s="1062"/>
      <c r="F4" s="1065"/>
      <c r="G4" s="1065"/>
      <c r="H4" s="1066"/>
      <c r="I4" s="1067">
        <f t="shared" ref="I4:I9" si="0">ROUND(D4*E4*F4*G4*H4/10000,0)</f>
        <v>0</v>
      </c>
    </row>
    <row r="5" spans="1:9">
      <c r="A5" s="3443"/>
      <c r="B5" s="3444" t="s">
        <v>972</v>
      </c>
      <c r="C5" s="3444"/>
      <c r="D5" s="1064"/>
      <c r="E5" s="1062"/>
      <c r="F5" s="1065"/>
      <c r="G5" s="1065"/>
      <c r="H5" s="1066"/>
      <c r="I5" s="1067">
        <f t="shared" si="0"/>
        <v>0</v>
      </c>
    </row>
    <row r="6" spans="1:9">
      <c r="A6" s="3443"/>
      <c r="B6" s="3444" t="s">
        <v>973</v>
      </c>
      <c r="C6" s="3444"/>
      <c r="D6" s="1064"/>
      <c r="E6" s="1062"/>
      <c r="F6" s="1065"/>
      <c r="G6" s="1065"/>
      <c r="H6" s="1066"/>
      <c r="I6" s="1067">
        <f t="shared" si="0"/>
        <v>0</v>
      </c>
    </row>
    <row r="7" spans="1:9">
      <c r="A7" s="3443"/>
      <c r="B7" s="3444" t="s">
        <v>974</v>
      </c>
      <c r="C7" s="3444"/>
      <c r="D7" s="1064"/>
      <c r="E7" s="1062"/>
      <c r="F7" s="1065"/>
      <c r="G7" s="1065"/>
      <c r="H7" s="1066"/>
      <c r="I7" s="1067">
        <f t="shared" si="0"/>
        <v>0</v>
      </c>
    </row>
    <row r="8" spans="1:9">
      <c r="A8" s="3443"/>
      <c r="B8" s="3444" t="s">
        <v>975</v>
      </c>
      <c r="C8" s="3444"/>
      <c r="D8" s="1064"/>
      <c r="E8" s="1062"/>
      <c r="F8" s="1065"/>
      <c r="G8" s="1065"/>
      <c r="H8" s="1066"/>
      <c r="I8" s="1067">
        <f t="shared" si="0"/>
        <v>0</v>
      </c>
    </row>
    <row r="9" spans="1:9">
      <c r="A9" s="3443"/>
      <c r="B9" s="3444" t="s">
        <v>976</v>
      </c>
      <c r="C9" s="3444"/>
      <c r="D9" s="1064"/>
      <c r="E9" s="1062"/>
      <c r="F9" s="1065"/>
      <c r="G9" s="1065"/>
      <c r="H9" s="1066"/>
      <c r="I9" s="1067">
        <f t="shared" si="0"/>
        <v>0</v>
      </c>
    </row>
    <row r="10" spans="1:9">
      <c r="A10" s="3443"/>
      <c r="B10" s="3445" t="s">
        <v>977</v>
      </c>
      <c r="C10" s="3445"/>
      <c r="D10" s="1068">
        <v>527</v>
      </c>
      <c r="E10" s="1068" t="e">
        <f>ROUND(D1*10000/D10/H9,0)</f>
        <v>#DIV/0!</v>
      </c>
      <c r="F10" s="1069"/>
      <c r="G10" s="1069"/>
      <c r="H10" s="1070"/>
      <c r="I10" s="1071">
        <f>SUM(I3:I9)</f>
        <v>0</v>
      </c>
    </row>
    <row r="11" spans="1:9" ht="15.6">
      <c r="A11" s="3443" t="s">
        <v>1015</v>
      </c>
      <c r="B11" s="3444" t="s">
        <v>978</v>
      </c>
      <c r="C11" s="3444"/>
      <c r="D11" s="1064" t="s">
        <v>979</v>
      </c>
      <c r="E11" s="1064" t="s">
        <v>980</v>
      </c>
      <c r="F11" s="1065" t="s">
        <v>981</v>
      </c>
      <c r="G11" s="1065" t="s">
        <v>968</v>
      </c>
      <c r="H11" s="1072" t="s">
        <v>982</v>
      </c>
      <c r="I11" s="1063" t="s">
        <v>969</v>
      </c>
    </row>
    <row r="12" spans="1:9">
      <c r="A12" s="3443"/>
      <c r="B12" s="3444" t="s">
        <v>983</v>
      </c>
      <c r="C12" s="3444"/>
      <c r="D12" s="1064"/>
      <c r="E12" s="1064"/>
      <c r="F12" s="1065"/>
      <c r="G12" s="1066"/>
      <c r="H12" s="1073"/>
      <c r="I12" s="1063">
        <f>ROUND(D12*E12*F12*G12/10000,0)</f>
        <v>0</v>
      </c>
    </row>
    <row r="13" spans="1:9">
      <c r="A13" s="3443"/>
      <c r="B13" s="3444" t="s">
        <v>984</v>
      </c>
      <c r="C13" s="3444"/>
      <c r="D13" s="1064"/>
      <c r="E13" s="1064"/>
      <c r="F13" s="1065"/>
      <c r="G13" s="1066"/>
      <c r="H13" s="1073"/>
      <c r="I13" s="1063">
        <f>ROUND(D13*E13*F13*G13/10000,0)</f>
        <v>0</v>
      </c>
    </row>
    <row r="14" spans="1:9">
      <c r="A14" s="3443"/>
      <c r="B14" s="3444" t="s">
        <v>985</v>
      </c>
      <c r="C14" s="3444"/>
      <c r="D14" s="1064"/>
      <c r="E14" s="1064"/>
      <c r="F14" s="1065"/>
      <c r="G14" s="1066"/>
      <c r="H14" s="1073"/>
      <c r="I14" s="1063">
        <f>ROUND(D14*E14*F14*G14/10000,0)</f>
        <v>0</v>
      </c>
    </row>
    <row r="15" spans="1:9">
      <c r="A15" s="3443"/>
      <c r="B15" s="3445" t="s">
        <v>977</v>
      </c>
      <c r="C15" s="3445"/>
      <c r="D15" s="1068"/>
      <c r="E15" s="1068">
        <f>SUM(E12:E14)</f>
        <v>0</v>
      </c>
      <c r="F15" s="1069"/>
      <c r="G15" s="1066"/>
      <c r="H15" s="1073"/>
      <c r="I15" s="1074">
        <f>SUM(I12:I14)</f>
        <v>0</v>
      </c>
    </row>
    <row r="16" spans="1:9" ht="24">
      <c r="A16" s="3443" t="s">
        <v>1016</v>
      </c>
      <c r="B16" s="3444" t="s">
        <v>986</v>
      </c>
      <c r="C16" s="3444"/>
      <c r="D16" s="1064" t="s">
        <v>964</v>
      </c>
      <c r="E16" s="1075" t="s">
        <v>987</v>
      </c>
      <c r="F16" s="1065" t="s">
        <v>988</v>
      </c>
      <c r="G16" s="1066" t="s">
        <v>968</v>
      </c>
      <c r="H16" s="1072" t="s">
        <v>982</v>
      </c>
      <c r="I16" s="1063" t="s">
        <v>969</v>
      </c>
    </row>
    <row r="17" spans="1:9" ht="15.6">
      <c r="A17" s="3443"/>
      <c r="B17" s="3444" t="s">
        <v>989</v>
      </c>
      <c r="C17" s="3444"/>
      <c r="D17" s="1064"/>
      <c r="E17" s="1064"/>
      <c r="F17" s="1065"/>
      <c r="G17" s="1066"/>
      <c r="H17" s="1076"/>
      <c r="I17" s="1077">
        <f>ROUND(D17*E17*F17*G17/10000,0)</f>
        <v>0</v>
      </c>
    </row>
    <row r="18" spans="1:9" ht="15.6">
      <c r="A18" s="3443"/>
      <c r="B18" s="3444" t="s">
        <v>990</v>
      </c>
      <c r="C18" s="3444"/>
      <c r="D18" s="1064"/>
      <c r="E18" s="1064"/>
      <c r="F18" s="1065"/>
      <c r="G18" s="1066"/>
      <c r="H18" s="1076"/>
      <c r="I18" s="1077">
        <f>ROUND(D18*E18*F18*G18/10000,0)</f>
        <v>0</v>
      </c>
    </row>
    <row r="19" spans="1:9" ht="15.6">
      <c r="A19" s="3443"/>
      <c r="B19" s="3444" t="s">
        <v>991</v>
      </c>
      <c r="C19" s="3444"/>
      <c r="D19" s="1064"/>
      <c r="E19" s="1064"/>
      <c r="F19" s="1065"/>
      <c r="G19" s="1066"/>
      <c r="H19" s="1076"/>
      <c r="I19" s="1077">
        <f>ROUND(D19*E19*F19*G19/10000,0)</f>
        <v>0</v>
      </c>
    </row>
    <row r="20" spans="1:9">
      <c r="A20" s="3443"/>
      <c r="B20" s="3445" t="s">
        <v>977</v>
      </c>
      <c r="C20" s="3445"/>
      <c r="D20" s="1068">
        <f>SUM(D17:D19)</f>
        <v>0</v>
      </c>
      <c r="E20" s="1068"/>
      <c r="F20" s="1069"/>
      <c r="G20" s="1066"/>
      <c r="H20" s="1073"/>
      <c r="I20" s="1074">
        <f>SUM(I17:I19)</f>
        <v>0</v>
      </c>
    </row>
    <row r="21" spans="1:9">
      <c r="A21" s="3443" t="s">
        <v>1017</v>
      </c>
      <c r="B21" s="3446"/>
      <c r="C21" s="3446"/>
      <c r="D21" s="3446"/>
      <c r="E21" s="3446"/>
      <c r="F21" s="3446"/>
      <c r="G21" s="3446"/>
      <c r="H21" s="1078">
        <v>0.1</v>
      </c>
      <c r="I21" s="1071">
        <f>ROUND(I10*H21,0)</f>
        <v>0</v>
      </c>
    </row>
    <row r="22" spans="1:9" ht="15.6">
      <c r="A22" s="3447" t="s">
        <v>1018</v>
      </c>
      <c r="B22" s="3448"/>
      <c r="C22" s="3449"/>
      <c r="D22" s="1079" t="s">
        <v>992</v>
      </c>
      <c r="E22" s="1079" t="s">
        <v>993</v>
      </c>
      <c r="F22" s="1080" t="s">
        <v>968</v>
      </c>
      <c r="G22" s="1080" t="s">
        <v>994</v>
      </c>
      <c r="H22" s="1072" t="s">
        <v>982</v>
      </c>
      <c r="I22" s="1063" t="s">
        <v>969</v>
      </c>
    </row>
    <row r="23" spans="1:9" ht="15" thickBot="1">
      <c r="A23" s="3450"/>
      <c r="B23" s="3451"/>
      <c r="C23" s="3452"/>
      <c r="D23" s="1081"/>
      <c r="E23" s="1081"/>
      <c r="F23" s="1081"/>
      <c r="G23" s="1082"/>
      <c r="H23" s="1083"/>
      <c r="I23" s="1084">
        <f>ROUND(E23*D23*F23*(1-G23)/10000,0)</f>
        <v>0</v>
      </c>
    </row>
    <row r="26" spans="1:9">
      <c r="A26" s="1085" t="s">
        <v>995</v>
      </c>
      <c r="B26" s="1085"/>
      <c r="C26" s="1085"/>
      <c r="D26" s="1085"/>
      <c r="E26" s="3440">
        <f>C27-C30-C31-C32</f>
        <v>0</v>
      </c>
      <c r="F26" s="3440"/>
      <c r="G26" s="3440"/>
      <c r="H26" s="1304" t="s">
        <v>1206</v>
      </c>
    </row>
    <row r="27" spans="1:9">
      <c r="A27" s="1086">
        <v>1</v>
      </c>
      <c r="B27" s="1087" t="s">
        <v>996</v>
      </c>
      <c r="C27" s="1087">
        <f>C28+C29</f>
        <v>0</v>
      </c>
      <c r="D27" s="1087"/>
      <c r="E27" s="3441"/>
      <c r="F27" s="3441"/>
      <c r="G27" s="3441"/>
    </row>
    <row r="28" spans="1:9">
      <c r="A28" s="1088" t="s">
        <v>997</v>
      </c>
      <c r="B28" s="1087" t="s">
        <v>998</v>
      </c>
      <c r="C28" s="1087"/>
      <c r="D28" s="1087"/>
      <c r="E28" s="3441"/>
      <c r="F28" s="3441"/>
      <c r="G28" s="344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42"/>
      <c r="F32" s="3442"/>
      <c r="G32" s="3442"/>
    </row>
    <row r="33" spans="1:7" hidden="1">
      <c r="A33" s="3437" t="s">
        <v>1007</v>
      </c>
      <c r="B33" s="3438"/>
      <c r="C33" s="3438"/>
      <c r="D33" s="3439"/>
      <c r="E33" s="3440"/>
      <c r="F33" s="3440"/>
      <c r="G33" s="3440"/>
    </row>
    <row r="34" spans="1:7" hidden="1">
      <c r="A34" s="1090">
        <v>1</v>
      </c>
      <c r="B34" s="1087" t="s">
        <v>1008</v>
      </c>
      <c r="C34" s="1087"/>
      <c r="D34" s="1087"/>
      <c r="E34" s="3441"/>
      <c r="F34" s="3441"/>
      <c r="G34" s="3441"/>
    </row>
    <row r="35" spans="1:7" hidden="1">
      <c r="A35" s="1090">
        <v>2</v>
      </c>
      <c r="B35" s="1087" t="s">
        <v>1009</v>
      </c>
      <c r="C35" s="1087"/>
      <c r="D35" s="1087"/>
      <c r="E35" s="3441"/>
      <c r="F35" s="3441"/>
      <c r="G35" s="3441"/>
    </row>
    <row r="36" spans="1:7" hidden="1">
      <c r="A36" s="1090">
        <v>3</v>
      </c>
      <c r="B36" s="1087" t="s">
        <v>1010</v>
      </c>
      <c r="C36" s="1087"/>
      <c r="D36" s="1087"/>
      <c r="E36" s="3441"/>
      <c r="F36" s="3441"/>
      <c r="G36" s="3441"/>
    </row>
    <row r="37" spans="1:7" hidden="1">
      <c r="A37" s="1090">
        <v>4</v>
      </c>
      <c r="B37" s="1087" t="s">
        <v>1011</v>
      </c>
      <c r="C37" s="1087"/>
      <c r="D37" s="1087"/>
      <c r="E37" s="3441"/>
      <c r="F37" s="3441"/>
      <c r="G37" s="3441"/>
    </row>
    <row r="38" spans="1:7" hidden="1">
      <c r="A38" s="3437" t="s">
        <v>1012</v>
      </c>
      <c r="B38" s="3438"/>
      <c r="C38" s="3438"/>
      <c r="D38" s="3439"/>
      <c r="E38" s="3440"/>
      <c r="F38" s="3440"/>
      <c r="G38" s="34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3.2"/>
  <cols>
    <col min="1" max="1" width="12.33203125" style="32" customWidth="1"/>
    <col min="2" max="2" width="9.1093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2216</v>
      </c>
      <c r="B2" s="250">
        <f>B23</f>
        <v>0</v>
      </c>
      <c r="C2" s="902">
        <f>C23</f>
        <v>0</v>
      </c>
      <c r="D2" s="37"/>
      <c r="E2" s="37"/>
      <c r="F2" s="37"/>
      <c r="G2" s="37"/>
      <c r="H2" s="37"/>
      <c r="I2" s="37"/>
      <c r="J2" s="37"/>
      <c r="K2" s="37"/>
      <c r="L2" s="37"/>
      <c r="M2" s="37"/>
      <c r="N2" s="37"/>
      <c r="O2" s="37"/>
      <c r="P2" s="37"/>
      <c r="Q2" s="37"/>
      <c r="R2" s="645"/>
      <c r="S2" s="31"/>
      <c r="T2" s="31"/>
      <c r="U2" s="999"/>
      <c r="V2" s="999"/>
      <c r="X2" s="999"/>
      <c r="Y2" s="999"/>
    </row>
    <row r="3" spans="1:44" ht="15.6">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61" t="s">
        <v>2220</v>
      </c>
      <c r="D4" s="3462"/>
      <c r="E4" s="3462"/>
      <c r="F4" s="3462"/>
      <c r="G4" s="3462"/>
      <c r="H4" s="3462"/>
      <c r="I4" s="3462"/>
      <c r="J4" s="3462"/>
      <c r="K4" s="3462"/>
      <c r="L4" s="3462"/>
      <c r="M4" s="3462"/>
      <c r="N4" s="3462"/>
      <c r="O4" s="3462"/>
      <c r="P4" s="3462"/>
      <c r="Q4" s="3462"/>
      <c r="R4" s="3462"/>
      <c r="S4" s="3463"/>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2232</v>
      </c>
      <c r="B23" s="224">
        <f>IF(F23="——",IF(C23="万元",T25,S25),IF(C23="万元",T25-H23,S25-H23))</f>
        <v>0</v>
      </c>
      <c r="C23" s="1555">
        <f>'数据-取费表'!B3</f>
        <v>0</v>
      </c>
      <c r="D23" s="37"/>
      <c r="E23" s="37"/>
      <c r="F23" s="1556" t="s">
        <v>1240</v>
      </c>
      <c r="G23" s="1326"/>
      <c r="H23" s="575" t="e">
        <f ca="1">SUMIF(INDIRECT("'"&amp;J23&amp;"'"&amp;"!A:A"),"承租人权益价值",INDIRECT("'"&amp;J23&amp;"'"&amp;"!c:c"))</f>
        <v>#REF!</v>
      </c>
      <c r="I23" s="575">
        <f>C2</f>
        <v>0</v>
      </c>
      <c r="J23" s="1557"/>
      <c r="K23" s="37"/>
      <c r="L23" s="37"/>
      <c r="M23" s="37"/>
      <c r="N23" s="37"/>
      <c r="O23" s="37"/>
      <c r="P23" s="37"/>
      <c r="Q23" s="37"/>
      <c r="R23" s="645"/>
      <c r="S23" s="31"/>
      <c r="T23" s="31"/>
      <c r="U23" s="999"/>
      <c r="V23" s="1000"/>
      <c r="W23" s="662"/>
      <c r="X23" s="662"/>
      <c r="Y23" s="662"/>
      <c r="Z23" s="662"/>
    </row>
    <row r="24" spans="1:45" ht="15.6">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6" t="s">
        <v>2236</v>
      </c>
      <c r="V24" s="2990"/>
      <c r="W24" s="2991" t="s">
        <v>2237</v>
      </c>
      <c r="X24" s="2246" t="s">
        <v>2238</v>
      </c>
      <c r="Y24" s="2990"/>
      <c r="Z24" s="2992" t="s">
        <v>2237</v>
      </c>
    </row>
    <row r="25" spans="1:45">
      <c r="A25" s="250" t="s">
        <v>2239</v>
      </c>
      <c r="B25" s="13">
        <f>SUM(B27:B10000)</f>
        <v>0</v>
      </c>
      <c r="C25" s="3458" t="s">
        <v>45</v>
      </c>
      <c r="D25" s="3459"/>
      <c r="E25" s="3459"/>
      <c r="F25" s="3459"/>
      <c r="G25" s="3459"/>
      <c r="H25" s="3459"/>
      <c r="I25" s="3459"/>
      <c r="J25" s="3459"/>
      <c r="K25" s="3459"/>
      <c r="L25" s="3459"/>
      <c r="M25" s="3459"/>
      <c r="N25" s="3459"/>
      <c r="O25" s="3459"/>
      <c r="P25" s="3459"/>
      <c r="Q25" s="3460"/>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5" zoomScale="85" zoomScaleNormal="70" zoomScaleSheetLayoutView="85" workbookViewId="0">
      <selection activeCell="D38" sqref="D38"/>
    </sheetView>
  </sheetViews>
  <sheetFormatPr defaultColWidth="9" defaultRowHeight="13.8"/>
  <cols>
    <col min="1" max="1" width="10.44140625" style="1667" customWidth="1"/>
    <col min="2" max="2" width="15.6640625" style="1667" customWidth="1"/>
    <col min="3" max="3" width="23" style="1667" customWidth="1"/>
    <col min="4" max="4" width="12.109375" style="1667" customWidth="1"/>
    <col min="5" max="5" width="20.33203125" style="1667" customWidth="1"/>
    <col min="6" max="6" width="12.109375" style="1667" customWidth="1"/>
    <col min="7" max="7" width="19.5546875" style="1667" customWidth="1"/>
    <col min="8" max="8" width="12.109375" style="1667" customWidth="1"/>
    <col min="9" max="9" width="19.332031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52695</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4.4">
      <c r="A4" s="1663" t="s">
        <v>2253</v>
      </c>
      <c r="B4" s="1664"/>
      <c r="C4" s="3498" t="s">
        <v>2254</v>
      </c>
      <c r="D4" s="3499"/>
      <c r="E4" s="3500" t="s">
        <v>2255</v>
      </c>
      <c r="F4" s="3501"/>
      <c r="G4" s="3498" t="s">
        <v>2256</v>
      </c>
      <c r="H4" s="3499"/>
      <c r="I4" s="3498" t="s">
        <v>2257</v>
      </c>
      <c r="J4" s="3499"/>
      <c r="K4" s="1665" t="s">
        <v>2258</v>
      </c>
      <c r="L4" s="2999"/>
      <c r="M4" s="3000"/>
      <c r="N4" s="3000"/>
      <c r="O4" s="3000"/>
      <c r="P4" s="3502" t="s">
        <v>2259</v>
      </c>
      <c r="Q4" s="3503"/>
      <c r="R4" s="3486" t="s">
        <v>2255</v>
      </c>
      <c r="S4" s="3487"/>
      <c r="T4" s="3486" t="s">
        <v>2256</v>
      </c>
      <c r="U4" s="3487"/>
      <c r="V4" s="3508" t="s">
        <v>2257</v>
      </c>
      <c r="W4" s="3508"/>
      <c r="X4" s="1666"/>
      <c r="Y4" s="3486" t="s">
        <v>2259</v>
      </c>
      <c r="Z4" s="3487"/>
      <c r="AA4" s="3495" t="s">
        <v>2255</v>
      </c>
      <c r="AB4" s="3495" t="s">
        <v>2256</v>
      </c>
      <c r="AC4" s="3495" t="s">
        <v>2257</v>
      </c>
    </row>
    <row r="5" spans="1:29" ht="30.75" customHeight="1">
      <c r="A5" s="1668"/>
      <c r="B5" s="1669"/>
      <c r="C5" s="3509" t="s">
        <v>3053</v>
      </c>
      <c r="D5" s="3510"/>
      <c r="E5" s="3482" t="str">
        <f>商品房!$A$5</f>
        <v>晓月和风</v>
      </c>
      <c r="F5" s="3483"/>
      <c r="G5" s="3482" t="str">
        <f>商品房!$A$11</f>
        <v>中铁兴创·逸境</v>
      </c>
      <c r="H5" s="3483"/>
      <c r="I5" s="3482" t="str">
        <f>商品房!$A$17</f>
        <v>绿地·海珀云翡</v>
      </c>
      <c r="J5" s="3483"/>
      <c r="K5" s="1670"/>
      <c r="L5" s="2999"/>
      <c r="M5" s="3000"/>
      <c r="N5" s="3000"/>
      <c r="O5" s="3000"/>
      <c r="P5" s="3504"/>
      <c r="Q5" s="3505"/>
      <c r="R5" s="3488"/>
      <c r="S5" s="3489"/>
      <c r="T5" s="3488"/>
      <c r="U5" s="3489"/>
      <c r="V5" s="3508"/>
      <c r="W5" s="3508"/>
      <c r="X5" s="1666"/>
      <c r="Y5" s="3488"/>
      <c r="Z5" s="3489"/>
      <c r="AA5" s="3496"/>
      <c r="AB5" s="3496"/>
      <c r="AC5" s="3496"/>
    </row>
    <row r="6" spans="1:29" ht="29.25" customHeight="1" thickBot="1">
      <c r="A6" s="1671"/>
      <c r="B6" s="1672"/>
      <c r="C6" s="3494"/>
      <c r="D6" s="3481"/>
      <c r="E6" s="3494"/>
      <c r="F6" s="3481"/>
      <c r="G6" s="3494"/>
      <c r="H6" s="3481"/>
      <c r="I6" s="3480"/>
      <c r="J6" s="3481"/>
      <c r="K6" s="1670" t="s">
        <v>2265</v>
      </c>
      <c r="L6" s="2999"/>
      <c r="M6" s="3000"/>
      <c r="N6" s="3000"/>
      <c r="O6" s="3000"/>
      <c r="P6" s="3506"/>
      <c r="Q6" s="3507"/>
      <c r="R6" s="3488"/>
      <c r="S6" s="3489"/>
      <c r="T6" s="3490"/>
      <c r="U6" s="3491"/>
      <c r="V6" s="3508"/>
      <c r="W6" s="3508"/>
      <c r="X6" s="1666"/>
      <c r="Y6" s="3490"/>
      <c r="Z6" s="3491"/>
      <c r="AA6" s="3497"/>
      <c r="AB6" s="3497"/>
      <c r="AC6" s="3497"/>
    </row>
    <row r="7" spans="1:29" s="1685" customFormat="1" ht="15" thickBot="1">
      <c r="A7" s="1673" t="s">
        <v>2266</v>
      </c>
      <c r="B7" s="1674"/>
      <c r="C7" s="1675">
        <f>'数据-取费表'!B2</f>
        <v>45558</v>
      </c>
      <c r="D7" s="1676">
        <v>100</v>
      </c>
      <c r="E7" s="1677">
        <f>C7</f>
        <v>45558</v>
      </c>
      <c r="F7" s="1678">
        <f>SUMIF(58:58,YEAR(E7)&amp;"-"&amp;MONTH(E7),59:59)</f>
        <v>100</v>
      </c>
      <c r="G7" s="1677">
        <f>E7</f>
        <v>45558</v>
      </c>
      <c r="H7" s="1676">
        <f>SUMIF(58:58,YEAR(G7)&amp;"-"&amp;MONTH(G7),59:59)</f>
        <v>100</v>
      </c>
      <c r="I7" s="1677">
        <f>E7</f>
        <v>45558</v>
      </c>
      <c r="J7" s="1676">
        <f>SUMIF(58:58,YEAR(I7)&amp;"-"&amp;MONTH(I7),59:59)</f>
        <v>100</v>
      </c>
      <c r="K7" s="1679"/>
      <c r="L7" s="2999"/>
      <c r="M7" s="2972"/>
      <c r="N7" s="2972"/>
      <c r="O7" s="2972"/>
      <c r="P7" s="3484" t="s">
        <v>2267</v>
      </c>
      <c r="Q7" s="3492"/>
      <c r="R7" s="1681" t="s">
        <v>34</v>
      </c>
      <c r="S7" s="1682">
        <f t="shared" ref="S7:S15" si="0">F7</f>
        <v>100</v>
      </c>
      <c r="T7" s="1681" t="s">
        <v>34</v>
      </c>
      <c r="U7" s="1682">
        <f t="shared" ref="U7:U15" si="1">H7</f>
        <v>100</v>
      </c>
      <c r="V7" s="1681" t="s">
        <v>34</v>
      </c>
      <c r="W7" s="1682">
        <f t="shared" ref="W7:W15" si="2">J7</f>
        <v>100</v>
      </c>
      <c r="X7" s="1683"/>
      <c r="Y7" s="3484" t="s">
        <v>2267</v>
      </c>
      <c r="Z7" s="3485"/>
      <c r="AA7" s="1684">
        <f>D7/F7</f>
        <v>1</v>
      </c>
      <c r="AB7" s="1684">
        <f>D7/H7</f>
        <v>1</v>
      </c>
      <c r="AC7" s="1684">
        <f>D7/J7</f>
        <v>1</v>
      </c>
    </row>
    <row r="8" spans="1:29" s="1685" customFormat="1" ht="1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84" t="s">
        <v>2270</v>
      </c>
      <c r="Q8" s="3485"/>
      <c r="R8" s="1681" t="s">
        <v>34</v>
      </c>
      <c r="S8" s="1682">
        <f t="shared" si="0"/>
        <v>100</v>
      </c>
      <c r="T8" s="1681" t="s">
        <v>34</v>
      </c>
      <c r="U8" s="1682">
        <f t="shared" si="1"/>
        <v>100</v>
      </c>
      <c r="V8" s="1681" t="s">
        <v>34</v>
      </c>
      <c r="W8" s="1682">
        <f t="shared" si="2"/>
        <v>100</v>
      </c>
      <c r="X8" s="1683"/>
      <c r="Y8" s="3484" t="s">
        <v>2270</v>
      </c>
      <c r="Z8" s="3485"/>
      <c r="AA8" s="1684">
        <f t="shared" ref="AA8:AA46" si="3">D8/F8</f>
        <v>1</v>
      </c>
      <c r="AB8" s="1684">
        <f t="shared" ref="AB8:AB46" si="4">D8/H8</f>
        <v>1</v>
      </c>
      <c r="AC8" s="1684">
        <f t="shared" ref="AC8:AC46" si="5">D8/J8</f>
        <v>1</v>
      </c>
    </row>
    <row r="9" spans="1:29" s="1685" customFormat="1" ht="15" thickBot="1">
      <c r="A9" s="1636"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493" t="s">
        <v>2273</v>
      </c>
      <c r="Q9" s="1635" t="str">
        <f t="shared" ref="Q9:Q15" si="6">B9</f>
        <v>用途</v>
      </c>
      <c r="R9" s="1681" t="s">
        <v>25</v>
      </c>
      <c r="S9" s="1682">
        <f t="shared" si="0"/>
        <v>100</v>
      </c>
      <c r="T9" s="1681" t="s">
        <v>25</v>
      </c>
      <c r="U9" s="1682">
        <f t="shared" si="1"/>
        <v>100</v>
      </c>
      <c r="V9" s="1681" t="s">
        <v>25</v>
      </c>
      <c r="W9" s="1682">
        <f t="shared" si="2"/>
        <v>100</v>
      </c>
      <c r="X9" s="1683"/>
      <c r="Y9" s="3328" t="s">
        <v>2274</v>
      </c>
      <c r="Z9" s="1693" t="str">
        <f t="shared" ref="Z9:Z15" si="7">Q9</f>
        <v>用途</v>
      </c>
      <c r="AA9" s="1684">
        <f t="shared" si="3"/>
        <v>1</v>
      </c>
      <c r="AB9" s="1684">
        <f t="shared" si="4"/>
        <v>1</v>
      </c>
      <c r="AC9" s="1684">
        <f t="shared" si="5"/>
        <v>1</v>
      </c>
    </row>
    <row r="10" spans="1:29" s="1701" customFormat="1" ht="28.8" hidden="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493"/>
      <c r="Q10" s="1635" t="str">
        <f t="shared" si="6"/>
        <v>土地使用年限（年）</v>
      </c>
      <c r="R10" s="1681" t="s">
        <v>25</v>
      </c>
      <c r="S10" s="1682">
        <f t="shared" si="0"/>
        <v>100</v>
      </c>
      <c r="T10" s="1681" t="s">
        <v>25</v>
      </c>
      <c r="U10" s="1682">
        <f t="shared" si="1"/>
        <v>100</v>
      </c>
      <c r="V10" s="1681" t="s">
        <v>25</v>
      </c>
      <c r="W10" s="1682">
        <f t="shared" si="2"/>
        <v>100</v>
      </c>
      <c r="X10" s="1683"/>
      <c r="Y10" s="3328"/>
      <c r="Z10" s="1693" t="str">
        <f t="shared" si="7"/>
        <v>土地使用年限（年）</v>
      </c>
      <c r="AA10" s="1684">
        <f t="shared" si="3"/>
        <v>1</v>
      </c>
      <c r="AB10" s="1684">
        <f t="shared" si="4"/>
        <v>1</v>
      </c>
      <c r="AC10" s="1684">
        <f t="shared" si="5"/>
        <v>1</v>
      </c>
    </row>
    <row r="11" spans="1:29" ht="15" hidden="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493"/>
      <c r="Q11" s="1635" t="str">
        <f t="shared" si="6"/>
        <v>容积率</v>
      </c>
      <c r="R11" s="1681" t="s">
        <v>28</v>
      </c>
      <c r="S11" s="1682">
        <f t="shared" si="0"/>
        <v>100</v>
      </c>
      <c r="T11" s="1681" t="s">
        <v>28</v>
      </c>
      <c r="U11" s="1682">
        <f t="shared" si="1"/>
        <v>100</v>
      </c>
      <c r="V11" s="1681" t="s">
        <v>28</v>
      </c>
      <c r="W11" s="1682">
        <f t="shared" si="2"/>
        <v>100</v>
      </c>
      <c r="X11" s="1683"/>
      <c r="Y11" s="3328"/>
      <c r="Z11" s="1693" t="str">
        <f t="shared" si="7"/>
        <v>容积率</v>
      </c>
      <c r="AA11" s="1684">
        <f t="shared" si="3"/>
        <v>1</v>
      </c>
      <c r="AB11" s="1684">
        <f t="shared" si="4"/>
        <v>1</v>
      </c>
      <c r="AC11" s="1684">
        <f t="shared" si="5"/>
        <v>1</v>
      </c>
    </row>
    <row r="12" spans="1:29" s="1685" customFormat="1" ht="15" hidden="1">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493"/>
      <c r="Q12" s="1635">
        <f t="shared" si="6"/>
        <v>111</v>
      </c>
      <c r="R12" s="1681" t="s">
        <v>28</v>
      </c>
      <c r="S12" s="1682">
        <f t="shared" si="0"/>
        <v>100</v>
      </c>
      <c r="T12" s="1681" t="s">
        <v>28</v>
      </c>
      <c r="U12" s="1682">
        <f t="shared" si="1"/>
        <v>100</v>
      </c>
      <c r="V12" s="1681" t="s">
        <v>28</v>
      </c>
      <c r="W12" s="1682">
        <f t="shared" si="2"/>
        <v>100</v>
      </c>
      <c r="X12" s="1683"/>
      <c r="Y12" s="3328"/>
      <c r="Z12" s="1693">
        <f t="shared" si="7"/>
        <v>111</v>
      </c>
      <c r="AA12" s="1684">
        <f>D12/F12</f>
        <v>1</v>
      </c>
      <c r="AB12" s="1684">
        <f>D12/H12</f>
        <v>1</v>
      </c>
      <c r="AC12" s="1684">
        <f>D12/J12</f>
        <v>1</v>
      </c>
    </row>
    <row r="13" spans="1:29" ht="15" hidden="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493"/>
      <c r="Q13" s="1635">
        <f t="shared" si="6"/>
        <v>111</v>
      </c>
      <c r="R13" s="1681" t="s">
        <v>28</v>
      </c>
      <c r="S13" s="1682">
        <f t="shared" si="0"/>
        <v>100</v>
      </c>
      <c r="T13" s="1681" t="s">
        <v>28</v>
      </c>
      <c r="U13" s="1682">
        <f t="shared" si="1"/>
        <v>100</v>
      </c>
      <c r="V13" s="1681" t="s">
        <v>28</v>
      </c>
      <c r="W13" s="1682">
        <f t="shared" si="2"/>
        <v>100</v>
      </c>
      <c r="X13" s="1683"/>
      <c r="Y13" s="3328"/>
      <c r="Z13" s="1693">
        <f t="shared" si="7"/>
        <v>111</v>
      </c>
      <c r="AA13" s="1684">
        <f t="shared" si="3"/>
        <v>1</v>
      </c>
      <c r="AB13" s="1684">
        <f t="shared" si="4"/>
        <v>1</v>
      </c>
      <c r="AC13" s="1684">
        <f t="shared" si="5"/>
        <v>1</v>
      </c>
    </row>
    <row r="14" spans="1:29" ht="15.6"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493"/>
      <c r="Q14" s="1635">
        <f t="shared" si="6"/>
        <v>111</v>
      </c>
      <c r="R14" s="1681" t="s">
        <v>28</v>
      </c>
      <c r="S14" s="1682">
        <f t="shared" si="0"/>
        <v>100</v>
      </c>
      <c r="T14" s="1681" t="s">
        <v>28</v>
      </c>
      <c r="U14" s="1682">
        <f t="shared" si="1"/>
        <v>100</v>
      </c>
      <c r="V14" s="1681" t="s">
        <v>28</v>
      </c>
      <c r="W14" s="1682">
        <f t="shared" si="2"/>
        <v>100</v>
      </c>
      <c r="X14" s="1683"/>
      <c r="Y14" s="3328"/>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100</v>
      </c>
      <c r="G15" s="1723"/>
      <c r="H15" s="1720">
        <f>SUMIF(76:76,G16,77:77)-SUMIF(76:76,C16,77:77)+100</f>
        <v>100</v>
      </c>
      <c r="I15" s="1721"/>
      <c r="J15" s="1720">
        <f>SUMIF(76:76,I16,77:77)-SUMIF(76:76,C16,77:77)+100</f>
        <v>100</v>
      </c>
      <c r="K15" s="1724">
        <v>1</v>
      </c>
      <c r="L15" s="3004"/>
      <c r="M15" s="3000"/>
      <c r="N15" s="3000"/>
      <c r="O15" s="3000"/>
      <c r="P15" s="3471" t="s">
        <v>2278</v>
      </c>
      <c r="Q15" s="1616" t="str">
        <f t="shared" si="6"/>
        <v>居住社区成熟度</v>
      </c>
      <c r="R15" s="1725" t="s">
        <v>28</v>
      </c>
      <c r="S15" s="1726">
        <f t="shared" si="0"/>
        <v>100</v>
      </c>
      <c r="T15" s="1725" t="s">
        <v>28</v>
      </c>
      <c r="U15" s="1726">
        <f t="shared" si="1"/>
        <v>100</v>
      </c>
      <c r="V15" s="1725" t="s">
        <v>28</v>
      </c>
      <c r="W15" s="1726">
        <f t="shared" si="2"/>
        <v>100</v>
      </c>
      <c r="X15" s="1666"/>
      <c r="Y15" s="3473" t="s">
        <v>2278</v>
      </c>
      <c r="Z15" s="1727" t="str">
        <f t="shared" si="7"/>
        <v>居住社区成熟度</v>
      </c>
      <c r="AA15" s="1728">
        <f t="shared" si="3"/>
        <v>1</v>
      </c>
      <c r="AB15" s="1728">
        <f t="shared" si="4"/>
        <v>1</v>
      </c>
      <c r="AC15" s="1728">
        <f t="shared" si="5"/>
        <v>1</v>
      </c>
    </row>
    <row r="16" spans="1:29" ht="15">
      <c r="A16" s="1702"/>
      <c r="B16" s="1729"/>
      <c r="C16" s="1730" t="s">
        <v>30</v>
      </c>
      <c r="D16" s="1731"/>
      <c r="E16" s="1730" t="s">
        <v>30</v>
      </c>
      <c r="F16" s="1733"/>
      <c r="G16" s="1730" t="s">
        <v>30</v>
      </c>
      <c r="H16" s="1735"/>
      <c r="I16" s="1730" t="s">
        <v>30</v>
      </c>
      <c r="J16" s="1731"/>
      <c r="K16" s="1736"/>
      <c r="L16" s="3004"/>
      <c r="M16" s="3000"/>
      <c r="N16" s="3000"/>
      <c r="O16" s="3000"/>
      <c r="P16" s="3472"/>
      <c r="Q16" s="1616"/>
      <c r="R16" s="1725"/>
      <c r="S16" s="1726"/>
      <c r="T16" s="1725"/>
      <c r="U16" s="1726"/>
      <c r="V16" s="1725"/>
      <c r="W16" s="1726"/>
      <c r="X16" s="1666"/>
      <c r="Y16" s="3474"/>
      <c r="Z16" s="1727"/>
      <c r="AA16" s="1728">
        <v>1</v>
      </c>
      <c r="AB16" s="1728">
        <v>1</v>
      </c>
      <c r="AC16" s="1728">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104</v>
      </c>
      <c r="I17" s="1739"/>
      <c r="J17" s="1742">
        <f>SUMIF(78:78,I18,79:79)-SUMIF(78:78,C18,79:79)+100</f>
        <v>104</v>
      </c>
      <c r="K17" s="1724">
        <v>4</v>
      </c>
      <c r="L17" s="3004"/>
      <c r="M17" s="3000"/>
      <c r="N17" s="3000"/>
      <c r="O17" s="3000"/>
      <c r="P17" s="3472"/>
      <c r="Q17" s="1616" t="str">
        <f>B17</f>
        <v>交通便捷度</v>
      </c>
      <c r="R17" s="1725" t="s">
        <v>28</v>
      </c>
      <c r="S17" s="1726">
        <f>F17</f>
        <v>100</v>
      </c>
      <c r="T17" s="1725" t="s">
        <v>28</v>
      </c>
      <c r="U17" s="1726">
        <f>H17</f>
        <v>104</v>
      </c>
      <c r="V17" s="1725" t="s">
        <v>28</v>
      </c>
      <c r="W17" s="1726">
        <f>J17</f>
        <v>104</v>
      </c>
      <c r="X17" s="1666"/>
      <c r="Y17" s="3474"/>
      <c r="Z17" s="1727" t="str">
        <f>Q17</f>
        <v>交通便捷度</v>
      </c>
      <c r="AA17" s="1728">
        <f t="shared" si="3"/>
        <v>1</v>
      </c>
      <c r="AB17" s="1728">
        <f t="shared" si="4"/>
        <v>0.96153846153846156</v>
      </c>
      <c r="AC17" s="1728">
        <f t="shared" si="5"/>
        <v>0.96153846153846156</v>
      </c>
    </row>
    <row r="18" spans="1:29" ht="15">
      <c r="A18" s="1702"/>
      <c r="B18" s="1743"/>
      <c r="C18" s="1730" t="s">
        <v>30</v>
      </c>
      <c r="D18" s="1735"/>
      <c r="E18" s="1730" t="s">
        <v>30</v>
      </c>
      <c r="F18" s="1740"/>
      <c r="G18" s="1730" t="s">
        <v>29</v>
      </c>
      <c r="H18" s="1731"/>
      <c r="I18" s="1730" t="s">
        <v>29</v>
      </c>
      <c r="J18" s="1731"/>
      <c r="K18" s="1736"/>
      <c r="L18" s="3004"/>
      <c r="M18" s="3000"/>
      <c r="N18" s="3000"/>
      <c r="O18" s="3000"/>
      <c r="P18" s="3472"/>
      <c r="Q18" s="1616"/>
      <c r="R18" s="1725"/>
      <c r="S18" s="1726"/>
      <c r="T18" s="1725"/>
      <c r="U18" s="1726"/>
      <c r="V18" s="1725"/>
      <c r="W18" s="1726"/>
      <c r="X18" s="1666"/>
      <c r="Y18" s="3474"/>
      <c r="Z18" s="1727"/>
      <c r="AA18" s="1728">
        <v>1</v>
      </c>
      <c r="AB18" s="1728">
        <v>1</v>
      </c>
      <c r="AC18" s="1728">
        <v>1</v>
      </c>
    </row>
    <row r="19" spans="1:29" ht="27.6">
      <c r="A19" s="1702"/>
      <c r="B19" s="1737" t="s">
        <v>1712</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1724"/>
      <c r="L19" s="3004"/>
      <c r="M19" s="3000"/>
      <c r="N19" s="3000"/>
      <c r="O19" s="3000"/>
      <c r="P19" s="3472"/>
      <c r="Q19" s="1616" t="str">
        <f>B19</f>
        <v>公共配套设施</v>
      </c>
      <c r="R19" s="1725" t="s">
        <v>28</v>
      </c>
      <c r="S19" s="1726">
        <f>F19</f>
        <v>100</v>
      </c>
      <c r="T19" s="1725" t="s">
        <v>28</v>
      </c>
      <c r="U19" s="1726">
        <f>H19</f>
        <v>100</v>
      </c>
      <c r="V19" s="1725" t="s">
        <v>28</v>
      </c>
      <c r="W19" s="1726">
        <f>J19</f>
        <v>100</v>
      </c>
      <c r="X19" s="1666"/>
      <c r="Y19" s="3474"/>
      <c r="Z19" s="1727" t="str">
        <f>Q19</f>
        <v>公共配套设施</v>
      </c>
      <c r="AA19" s="1728">
        <f t="shared" si="3"/>
        <v>1</v>
      </c>
      <c r="AB19" s="1728">
        <f t="shared" si="4"/>
        <v>1</v>
      </c>
      <c r="AC19" s="1728">
        <f t="shared" si="5"/>
        <v>1</v>
      </c>
    </row>
    <row r="20" spans="1:29" ht="15">
      <c r="A20" s="1702"/>
      <c r="B20" s="1743"/>
      <c r="C20" s="1730" t="s">
        <v>30</v>
      </c>
      <c r="D20" s="1731"/>
      <c r="E20" s="1732" t="s">
        <v>30</v>
      </c>
      <c r="F20" s="1733"/>
      <c r="G20" s="1734" t="s">
        <v>30</v>
      </c>
      <c r="H20" s="1731"/>
      <c r="I20" s="1732" t="s">
        <v>30</v>
      </c>
      <c r="J20" s="1731"/>
      <c r="K20" s="1736"/>
      <c r="L20" s="3004"/>
      <c r="M20" s="3000"/>
      <c r="N20" s="3000"/>
      <c r="O20" s="3000"/>
      <c r="P20" s="3472"/>
      <c r="Q20" s="1616"/>
      <c r="R20" s="1725"/>
      <c r="S20" s="1726"/>
      <c r="T20" s="1725"/>
      <c r="U20" s="1726"/>
      <c r="V20" s="1725"/>
      <c r="W20" s="1726"/>
      <c r="X20" s="1666"/>
      <c r="Y20" s="3474"/>
      <c r="Z20" s="1727"/>
      <c r="AA20" s="1728">
        <v>1</v>
      </c>
      <c r="AB20" s="1728">
        <v>1</v>
      </c>
      <c r="AC20" s="1728">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472"/>
      <c r="Q21" s="1616" t="str">
        <f>B21</f>
        <v>基础设施水平</v>
      </c>
      <c r="R21" s="1725" t="s">
        <v>28</v>
      </c>
      <c r="S21" s="1726">
        <f>F21</f>
        <v>100</v>
      </c>
      <c r="T21" s="1725" t="s">
        <v>28</v>
      </c>
      <c r="U21" s="1726">
        <f>H21</f>
        <v>100</v>
      </c>
      <c r="V21" s="1725" t="s">
        <v>28</v>
      </c>
      <c r="W21" s="1726">
        <f>J21</f>
        <v>100</v>
      </c>
      <c r="X21" s="1666"/>
      <c r="Y21" s="3474"/>
      <c r="Z21" s="1727" t="str">
        <f>Q21</f>
        <v>基础设施水平</v>
      </c>
      <c r="AA21" s="1728">
        <f t="shared" ref="AA21" si="8">D21/F21</f>
        <v>1</v>
      </c>
      <c r="AB21" s="1728">
        <f t="shared" ref="AB21" si="9">D21/H21</f>
        <v>1</v>
      </c>
      <c r="AC21" s="1728">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472"/>
      <c r="Q22" s="1616"/>
      <c r="R22" s="1725"/>
      <c r="S22" s="1726"/>
      <c r="T22" s="1725"/>
      <c r="U22" s="1726"/>
      <c r="V22" s="1725"/>
      <c r="W22" s="1726"/>
      <c r="X22" s="1666"/>
      <c r="Y22" s="3474"/>
      <c r="Z22" s="1727"/>
      <c r="AA22" s="1728">
        <v>1</v>
      </c>
      <c r="AB22" s="1728">
        <v>1</v>
      </c>
      <c r="AC22" s="1728">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472"/>
      <c r="Q23" s="1616" t="str">
        <f>B23</f>
        <v>自然及人文环境</v>
      </c>
      <c r="R23" s="1725" t="s">
        <v>28</v>
      </c>
      <c r="S23" s="1726">
        <f>F23</f>
        <v>100</v>
      </c>
      <c r="T23" s="1725" t="s">
        <v>28</v>
      </c>
      <c r="U23" s="1726">
        <f>H23</f>
        <v>100</v>
      </c>
      <c r="V23" s="1725" t="s">
        <v>28</v>
      </c>
      <c r="W23" s="1726">
        <f>J23</f>
        <v>100</v>
      </c>
      <c r="X23" s="1666"/>
      <c r="Y23" s="3474"/>
      <c r="Z23" s="1727" t="str">
        <f>Q23</f>
        <v>自然及人文环境</v>
      </c>
      <c r="AA23" s="1728">
        <f t="shared" si="3"/>
        <v>1</v>
      </c>
      <c r="AB23" s="1728">
        <f t="shared" si="4"/>
        <v>1</v>
      </c>
      <c r="AC23" s="1728">
        <f t="shared" si="5"/>
        <v>1</v>
      </c>
    </row>
    <row r="24" spans="1:29" ht="15">
      <c r="A24" s="1702"/>
      <c r="B24" s="1743"/>
      <c r="C24" s="1730" t="s">
        <v>30</v>
      </c>
      <c r="D24" s="1731"/>
      <c r="E24" s="1730" t="s">
        <v>30</v>
      </c>
      <c r="F24" s="1733"/>
      <c r="G24" s="1730" t="s">
        <v>30</v>
      </c>
      <c r="H24" s="1731"/>
      <c r="I24" s="1730" t="s">
        <v>30</v>
      </c>
      <c r="J24" s="1731"/>
      <c r="K24" s="1736"/>
      <c r="L24" s="3004"/>
      <c r="M24" s="3000"/>
      <c r="N24" s="3000"/>
      <c r="O24" s="3000"/>
      <c r="P24" s="3472"/>
      <c r="Q24" s="1616"/>
      <c r="R24" s="1725"/>
      <c r="S24" s="1726"/>
      <c r="T24" s="1725"/>
      <c r="U24" s="1726"/>
      <c r="V24" s="1725"/>
      <c r="W24" s="1726"/>
      <c r="X24" s="1666"/>
      <c r="Y24" s="3474"/>
      <c r="Z24" s="1727"/>
      <c r="AA24" s="1728">
        <v>1</v>
      </c>
      <c r="AB24" s="1728">
        <v>1</v>
      </c>
      <c r="AC24" s="1728">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472"/>
      <c r="Q25" s="1616" t="str">
        <f t="shared" ref="Q25:Q46" si="11">B25</f>
        <v>楼层-1</v>
      </c>
      <c r="R25" s="1725" t="s">
        <v>28</v>
      </c>
      <c r="S25" s="1726">
        <f>F25</f>
        <v>100</v>
      </c>
      <c r="T25" s="1725" t="s">
        <v>28</v>
      </c>
      <c r="U25" s="1726">
        <f>H25</f>
        <v>100</v>
      </c>
      <c r="V25" s="1725" t="s">
        <v>28</v>
      </c>
      <c r="W25" s="1726">
        <f>J25</f>
        <v>100</v>
      </c>
      <c r="X25" s="1666"/>
      <c r="Y25" s="3474"/>
      <c r="Z25" s="1727" t="str">
        <f>Q25</f>
        <v>楼层-1</v>
      </c>
      <c r="AA25" s="1728">
        <f t="shared" si="3"/>
        <v>1</v>
      </c>
      <c r="AB25" s="1728">
        <f t="shared" si="4"/>
        <v>1</v>
      </c>
      <c r="AC25" s="1728">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472"/>
      <c r="Q26" s="1616" t="str">
        <f t="shared" si="11"/>
        <v>朝向</v>
      </c>
      <c r="R26" s="1725" t="s">
        <v>28</v>
      </c>
      <c r="S26" s="1726">
        <f>F26</f>
        <v>100</v>
      </c>
      <c r="T26" s="1725" t="s">
        <v>28</v>
      </c>
      <c r="U26" s="1726">
        <f>H26</f>
        <v>100</v>
      </c>
      <c r="V26" s="1725" t="s">
        <v>28</v>
      </c>
      <c r="W26" s="1726">
        <f>J26</f>
        <v>100</v>
      </c>
      <c r="X26" s="1666"/>
      <c r="Y26" s="3474"/>
      <c r="Z26" s="1727" t="str">
        <f>Q26</f>
        <v>朝向</v>
      </c>
      <c r="AA26" s="1728">
        <f t="shared" si="3"/>
        <v>1</v>
      </c>
      <c r="AB26" s="1728">
        <f t="shared" si="4"/>
        <v>1</v>
      </c>
      <c r="AC26" s="1728">
        <f t="shared" si="5"/>
        <v>1</v>
      </c>
    </row>
    <row r="27" spans="1:29" s="1685" customFormat="1" ht="15.6" thickBot="1">
      <c r="A27" s="1705"/>
      <c r="B27" s="1706" t="s">
        <v>2281</v>
      </c>
      <c r="C27" s="3163"/>
      <c r="D27" s="1756">
        <v>100</v>
      </c>
      <c r="E27" s="3186"/>
      <c r="F27" s="3172">
        <f>SUMIF(90:90,E27,91:91)-SUMIF(90:90,C27,91:91)+100</f>
        <v>100</v>
      </c>
      <c r="G27" s="3163"/>
      <c r="H27" s="1756">
        <f>SUMIF(90:90,G27,91:91)-SUMIF(90:90,C27,91:91)+100</f>
        <v>100</v>
      </c>
      <c r="I27" s="3186"/>
      <c r="J27" s="1756">
        <f>SUMIF(90:90,I27,91:91)-SUMIF(90:90,C27,91:91)+100</f>
        <v>100</v>
      </c>
      <c r="K27" s="1709"/>
      <c r="L27" s="2999"/>
      <c r="M27" s="2972"/>
      <c r="N27" s="2972"/>
      <c r="O27" s="2972"/>
      <c r="P27" s="3472"/>
      <c r="Q27" s="1635" t="str">
        <f t="shared" si="11"/>
        <v>道路级别</v>
      </c>
      <c r="R27" s="1681" t="s">
        <v>28</v>
      </c>
      <c r="S27" s="1682">
        <f>F27</f>
        <v>100</v>
      </c>
      <c r="T27" s="1681" t="s">
        <v>28</v>
      </c>
      <c r="U27" s="1682">
        <f>H27</f>
        <v>100</v>
      </c>
      <c r="V27" s="1681" t="s">
        <v>28</v>
      </c>
      <c r="W27" s="1682">
        <f>J27</f>
        <v>100</v>
      </c>
      <c r="X27" s="1683"/>
      <c r="Y27" s="3474"/>
      <c r="Z27" s="1693" t="str">
        <f>Q27</f>
        <v>道路级别</v>
      </c>
      <c r="AA27" s="1728">
        <f>D27/F27</f>
        <v>1</v>
      </c>
      <c r="AB27" s="1728">
        <f>D27/H27</f>
        <v>1</v>
      </c>
      <c r="AC27" s="1728">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472"/>
      <c r="Q28" s="1616">
        <f t="shared" si="11"/>
        <v>111</v>
      </c>
      <c r="R28" s="1725" t="s">
        <v>28</v>
      </c>
      <c r="S28" s="1726">
        <f t="shared" ref="S28:S46" si="12">F28</f>
        <v>100</v>
      </c>
      <c r="T28" s="1725" t="s">
        <v>28</v>
      </c>
      <c r="U28" s="1726">
        <f t="shared" ref="U28:U46" si="13">H28</f>
        <v>100</v>
      </c>
      <c r="V28" s="1725" t="s">
        <v>28</v>
      </c>
      <c r="W28" s="1726">
        <f t="shared" ref="W28:W46" si="14">J28</f>
        <v>100</v>
      </c>
      <c r="X28" s="1666"/>
      <c r="Y28" s="3474"/>
      <c r="Z28" s="1727">
        <f t="shared" ref="Z28:Z46" si="15">Q28</f>
        <v>111</v>
      </c>
      <c r="AA28" s="1728">
        <f t="shared" si="3"/>
        <v>1</v>
      </c>
      <c r="AB28" s="1728">
        <f t="shared" si="4"/>
        <v>1</v>
      </c>
      <c r="AC28" s="1728">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472"/>
      <c r="Q29" s="1616">
        <f t="shared" si="11"/>
        <v>111</v>
      </c>
      <c r="R29" s="1725" t="s">
        <v>28</v>
      </c>
      <c r="S29" s="1726">
        <f t="shared" si="12"/>
        <v>100</v>
      </c>
      <c r="T29" s="1725" t="s">
        <v>28</v>
      </c>
      <c r="U29" s="1726">
        <f t="shared" si="13"/>
        <v>100</v>
      </c>
      <c r="V29" s="1725" t="s">
        <v>28</v>
      </c>
      <c r="W29" s="1726">
        <f t="shared" si="14"/>
        <v>100</v>
      </c>
      <c r="X29" s="1666"/>
      <c r="Y29" s="3474"/>
      <c r="Z29" s="1727">
        <f t="shared" si="15"/>
        <v>111</v>
      </c>
      <c r="AA29" s="1728">
        <f t="shared" si="3"/>
        <v>1</v>
      </c>
      <c r="AB29" s="1728">
        <f t="shared" si="4"/>
        <v>1</v>
      </c>
      <c r="AC29" s="1728">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472"/>
      <c r="Q30" s="1616">
        <f t="shared" si="11"/>
        <v>111</v>
      </c>
      <c r="R30" s="1725" t="s">
        <v>28</v>
      </c>
      <c r="S30" s="1726">
        <f t="shared" si="12"/>
        <v>100</v>
      </c>
      <c r="T30" s="1725" t="s">
        <v>28</v>
      </c>
      <c r="U30" s="1726">
        <f t="shared" si="13"/>
        <v>100</v>
      </c>
      <c r="V30" s="1725" t="s">
        <v>28</v>
      </c>
      <c r="W30" s="1726">
        <f t="shared" si="14"/>
        <v>100</v>
      </c>
      <c r="X30" s="1666"/>
      <c r="Y30" s="3474"/>
      <c r="Z30" s="1727">
        <f t="shared" si="15"/>
        <v>111</v>
      </c>
      <c r="AA30" s="1728">
        <f t="shared" si="3"/>
        <v>1</v>
      </c>
      <c r="AB30" s="1728">
        <f t="shared" si="4"/>
        <v>1</v>
      </c>
      <c r="AC30" s="1728">
        <f t="shared" si="5"/>
        <v>1</v>
      </c>
    </row>
    <row r="31" spans="1:29" ht="15.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472"/>
      <c r="Q31" s="1616">
        <f t="shared" si="11"/>
        <v>111</v>
      </c>
      <c r="R31" s="1725" t="s">
        <v>28</v>
      </c>
      <c r="S31" s="1726">
        <f t="shared" si="12"/>
        <v>100</v>
      </c>
      <c r="T31" s="1725" t="s">
        <v>28</v>
      </c>
      <c r="U31" s="1726">
        <f t="shared" si="13"/>
        <v>100</v>
      </c>
      <c r="V31" s="1725" t="s">
        <v>28</v>
      </c>
      <c r="W31" s="1726">
        <f t="shared" si="14"/>
        <v>100</v>
      </c>
      <c r="X31" s="1666"/>
      <c r="Y31" s="3474"/>
      <c r="Z31" s="1727">
        <f t="shared" si="15"/>
        <v>111</v>
      </c>
      <c r="AA31" s="1728">
        <f t="shared" si="3"/>
        <v>1</v>
      </c>
      <c r="AB31" s="1728">
        <f t="shared" si="4"/>
        <v>1</v>
      </c>
      <c r="AC31" s="1728">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475" t="s">
        <v>2284</v>
      </c>
      <c r="Q32" s="1616" t="str">
        <f t="shared" si="11"/>
        <v>建筑类型</v>
      </c>
      <c r="R32" s="1725" t="s">
        <v>28</v>
      </c>
      <c r="S32" s="1726">
        <f t="shared" si="12"/>
        <v>100</v>
      </c>
      <c r="T32" s="1725" t="s">
        <v>28</v>
      </c>
      <c r="U32" s="1726">
        <f t="shared" si="13"/>
        <v>100</v>
      </c>
      <c r="V32" s="1725" t="s">
        <v>28</v>
      </c>
      <c r="W32" s="1726">
        <f t="shared" si="14"/>
        <v>100</v>
      </c>
      <c r="X32" s="1666"/>
      <c r="Y32" s="3478" t="s">
        <v>2284</v>
      </c>
      <c r="Z32" s="1727" t="str">
        <f t="shared" si="15"/>
        <v>建筑类型</v>
      </c>
      <c r="AA32" s="1728">
        <f t="shared" si="3"/>
        <v>1</v>
      </c>
      <c r="AB32" s="1728">
        <f t="shared" si="4"/>
        <v>1</v>
      </c>
      <c r="AC32" s="1728">
        <f t="shared" si="5"/>
        <v>1</v>
      </c>
    </row>
    <row r="33" spans="1:29" s="1771" customFormat="1" ht="15" hidden="1">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76"/>
      <c r="Q33" s="1766" t="str">
        <f t="shared" si="11"/>
        <v>项目建筑规模</v>
      </c>
      <c r="R33" s="1767" t="s">
        <v>28</v>
      </c>
      <c r="S33" s="1768">
        <f t="shared" si="12"/>
        <v>100</v>
      </c>
      <c r="T33" s="1767" t="s">
        <v>28</v>
      </c>
      <c r="U33" s="1768">
        <f t="shared" si="13"/>
        <v>100</v>
      </c>
      <c r="V33" s="1767" t="s">
        <v>28</v>
      </c>
      <c r="W33" s="1768">
        <f t="shared" si="14"/>
        <v>100</v>
      </c>
      <c r="X33" s="1769"/>
      <c r="Y33" s="3478"/>
      <c r="Z33" s="1770" t="str">
        <f t="shared" si="15"/>
        <v>项目建筑规模</v>
      </c>
      <c r="AA33" s="1728">
        <f t="shared" si="3"/>
        <v>1</v>
      </c>
      <c r="AB33" s="1728">
        <f t="shared" si="4"/>
        <v>1</v>
      </c>
      <c r="AC33" s="1728">
        <f t="shared" si="5"/>
        <v>1</v>
      </c>
    </row>
    <row r="34" spans="1:29" ht="15" hidden="1">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476"/>
      <c r="Q34" s="1616" t="str">
        <f t="shared" si="11"/>
        <v>建筑结构</v>
      </c>
      <c r="R34" s="1725" t="s">
        <v>28</v>
      </c>
      <c r="S34" s="1726">
        <f t="shared" si="12"/>
        <v>100</v>
      </c>
      <c r="T34" s="1725" t="s">
        <v>28</v>
      </c>
      <c r="U34" s="1726">
        <f t="shared" si="13"/>
        <v>100</v>
      </c>
      <c r="V34" s="1725" t="s">
        <v>28</v>
      </c>
      <c r="W34" s="1726">
        <f t="shared" si="14"/>
        <v>100</v>
      </c>
      <c r="X34" s="1666"/>
      <c r="Y34" s="3478"/>
      <c r="Z34" s="1727" t="str">
        <f t="shared" si="15"/>
        <v>建筑结构</v>
      </c>
      <c r="AA34" s="1728">
        <f t="shared" si="3"/>
        <v>1</v>
      </c>
      <c r="AB34" s="1728">
        <f t="shared" si="4"/>
        <v>1</v>
      </c>
      <c r="AC34" s="1728">
        <f t="shared" si="5"/>
        <v>1</v>
      </c>
    </row>
    <row r="35" spans="1:29" ht="15" hidden="1">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76"/>
      <c r="Q35" s="1616" t="str">
        <f t="shared" si="11"/>
        <v>建筑品质</v>
      </c>
      <c r="R35" s="1725" t="s">
        <v>28</v>
      </c>
      <c r="S35" s="1726">
        <f t="shared" si="12"/>
        <v>100</v>
      </c>
      <c r="T35" s="1725" t="s">
        <v>28</v>
      </c>
      <c r="U35" s="1726">
        <f t="shared" si="13"/>
        <v>100</v>
      </c>
      <c r="V35" s="1725" t="s">
        <v>28</v>
      </c>
      <c r="W35" s="1726">
        <f t="shared" si="14"/>
        <v>100</v>
      </c>
      <c r="X35" s="1666"/>
      <c r="Y35" s="3478"/>
      <c r="Z35" s="1727" t="str">
        <f t="shared" si="15"/>
        <v>建筑品质</v>
      </c>
      <c r="AA35" s="1728">
        <f t="shared" si="3"/>
        <v>1</v>
      </c>
      <c r="AB35" s="1728">
        <f t="shared" si="4"/>
        <v>1</v>
      </c>
      <c r="AC35" s="1728">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476"/>
      <c r="Q36" s="1616" t="str">
        <f t="shared" si="11"/>
        <v>公共部分装修</v>
      </c>
      <c r="R36" s="1725" t="s">
        <v>28</v>
      </c>
      <c r="S36" s="1726">
        <f t="shared" si="12"/>
        <v>100</v>
      </c>
      <c r="T36" s="1725" t="s">
        <v>28</v>
      </c>
      <c r="U36" s="1726">
        <f t="shared" si="13"/>
        <v>100</v>
      </c>
      <c r="V36" s="1725" t="s">
        <v>28</v>
      </c>
      <c r="W36" s="1726">
        <f t="shared" si="14"/>
        <v>100</v>
      </c>
      <c r="X36" s="1666"/>
      <c r="Y36" s="3478"/>
      <c r="Z36" s="1727" t="str">
        <f t="shared" si="15"/>
        <v>公共部分装修</v>
      </c>
      <c r="AA36" s="1728">
        <f t="shared" si="3"/>
        <v>1</v>
      </c>
      <c r="AB36" s="1728">
        <f t="shared" si="4"/>
        <v>1</v>
      </c>
      <c r="AC36" s="1728">
        <f t="shared" si="5"/>
        <v>1</v>
      </c>
    </row>
    <row r="37" spans="1:29" s="1685" customFormat="1" ht="15">
      <c r="A37" s="1775"/>
      <c r="B37" s="1695" t="s">
        <v>2289</v>
      </c>
      <c r="C37" s="1776">
        <v>1</v>
      </c>
      <c r="D37" s="1697">
        <v>100</v>
      </c>
      <c r="E37" s="1777">
        <f>C37</f>
        <v>1</v>
      </c>
      <c r="F37" s="1699">
        <v>100</v>
      </c>
      <c r="G37" s="1778">
        <f>C37</f>
        <v>1</v>
      </c>
      <c r="H37" s="1697">
        <v>100</v>
      </c>
      <c r="I37" s="1777">
        <f>C37</f>
        <v>1</v>
      </c>
      <c r="J37" s="1697">
        <v>100</v>
      </c>
      <c r="K37" s="3171">
        <v>0.5</v>
      </c>
      <c r="L37" s="2999"/>
      <c r="M37" s="2972"/>
      <c r="N37" s="2972"/>
      <c r="O37" s="2972"/>
      <c r="P37" s="3476"/>
      <c r="Q37" s="1635" t="str">
        <f t="shared" si="11"/>
        <v>成新度</v>
      </c>
      <c r="R37" s="1681" t="s">
        <v>28</v>
      </c>
      <c r="S37" s="1682">
        <f t="shared" si="12"/>
        <v>100</v>
      </c>
      <c r="T37" s="1681" t="s">
        <v>28</v>
      </c>
      <c r="U37" s="1682">
        <f t="shared" si="13"/>
        <v>100</v>
      </c>
      <c r="V37" s="1681" t="s">
        <v>28</v>
      </c>
      <c r="W37" s="1682">
        <f t="shared" si="14"/>
        <v>100</v>
      </c>
      <c r="X37" s="1683"/>
      <c r="Y37" s="3478"/>
      <c r="Z37" s="1693" t="str">
        <f t="shared" si="15"/>
        <v>成新度</v>
      </c>
      <c r="AA37" s="1684">
        <f t="shared" si="3"/>
        <v>1</v>
      </c>
      <c r="AB37" s="1684">
        <f t="shared" si="4"/>
        <v>1</v>
      </c>
      <c r="AC37" s="1684">
        <f t="shared" si="5"/>
        <v>1</v>
      </c>
    </row>
    <row r="38" spans="1:29" ht="15">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476" t="s">
        <v>2284</v>
      </c>
      <c r="Q38" s="1616" t="str">
        <f t="shared" si="11"/>
        <v>物业管理</v>
      </c>
      <c r="R38" s="1725" t="s">
        <v>28</v>
      </c>
      <c r="S38" s="1726">
        <f t="shared" si="12"/>
        <v>100</v>
      </c>
      <c r="T38" s="1725" t="s">
        <v>28</v>
      </c>
      <c r="U38" s="1726">
        <f t="shared" si="13"/>
        <v>100</v>
      </c>
      <c r="V38" s="1725" t="s">
        <v>28</v>
      </c>
      <c r="W38" s="1726">
        <f t="shared" si="14"/>
        <v>100</v>
      </c>
      <c r="X38" s="1666"/>
      <c r="Y38" s="3478" t="s">
        <v>2284</v>
      </c>
      <c r="Z38" s="1727" t="str">
        <f t="shared" si="15"/>
        <v>物业管理</v>
      </c>
      <c r="AA38" s="1728">
        <f t="shared" si="3"/>
        <v>1</v>
      </c>
      <c r="AB38" s="1728">
        <f t="shared" si="4"/>
        <v>1</v>
      </c>
      <c r="AC38" s="1728">
        <f t="shared" si="5"/>
        <v>1</v>
      </c>
    </row>
    <row r="39" spans="1:29" ht="15">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476"/>
      <c r="Q39" s="1616" t="str">
        <f t="shared" si="11"/>
        <v>市政基础设施</v>
      </c>
      <c r="R39" s="1725" t="s">
        <v>28</v>
      </c>
      <c r="S39" s="1726">
        <f t="shared" si="12"/>
        <v>100</v>
      </c>
      <c r="T39" s="1725" t="s">
        <v>28</v>
      </c>
      <c r="U39" s="1726">
        <f t="shared" si="13"/>
        <v>100</v>
      </c>
      <c r="V39" s="1725" t="s">
        <v>28</v>
      </c>
      <c r="W39" s="1726">
        <f t="shared" si="14"/>
        <v>100</v>
      </c>
      <c r="X39" s="1666"/>
      <c r="Y39" s="3478"/>
      <c r="Z39" s="1727" t="str">
        <f t="shared" si="15"/>
        <v>市政基础设施</v>
      </c>
      <c r="AA39" s="1728">
        <f t="shared" si="3"/>
        <v>1</v>
      </c>
      <c r="AB39" s="1728">
        <f t="shared" si="4"/>
        <v>1</v>
      </c>
      <c r="AC39" s="1728">
        <f t="shared" si="5"/>
        <v>1</v>
      </c>
    </row>
    <row r="40" spans="1:29" ht="15">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476"/>
      <c r="Q40" s="1616" t="str">
        <f t="shared" si="11"/>
        <v>房型</v>
      </c>
      <c r="R40" s="1725" t="s">
        <v>28</v>
      </c>
      <c r="S40" s="1726">
        <f t="shared" si="12"/>
        <v>100</v>
      </c>
      <c r="T40" s="1725" t="s">
        <v>28</v>
      </c>
      <c r="U40" s="1726">
        <f t="shared" si="13"/>
        <v>100</v>
      </c>
      <c r="V40" s="1725" t="s">
        <v>28</v>
      </c>
      <c r="W40" s="1726">
        <f t="shared" si="14"/>
        <v>100</v>
      </c>
      <c r="X40" s="1666"/>
      <c r="Y40" s="3478"/>
      <c r="Z40" s="1727" t="str">
        <f t="shared" si="15"/>
        <v>房型</v>
      </c>
      <c r="AA40" s="1728">
        <f t="shared" si="3"/>
        <v>1</v>
      </c>
      <c r="AB40" s="1728">
        <f t="shared" si="4"/>
        <v>1</v>
      </c>
      <c r="AC40" s="1728">
        <f t="shared" si="5"/>
        <v>1</v>
      </c>
    </row>
    <row r="41" spans="1:29" s="1771" customFormat="1" ht="28.8"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476"/>
      <c r="Q41" s="1766" t="str">
        <f t="shared" si="11"/>
        <v>单套/主力户型建筑面积</v>
      </c>
      <c r="R41" s="1767" t="s">
        <v>28</v>
      </c>
      <c r="S41" s="1768">
        <f t="shared" si="12"/>
        <v>100</v>
      </c>
      <c r="T41" s="1767" t="s">
        <v>28</v>
      </c>
      <c r="U41" s="1768">
        <f t="shared" si="13"/>
        <v>100</v>
      </c>
      <c r="V41" s="1767" t="s">
        <v>28</v>
      </c>
      <c r="W41" s="1768">
        <f t="shared" si="14"/>
        <v>100</v>
      </c>
      <c r="X41" s="1769"/>
      <c r="Y41" s="3478"/>
      <c r="Z41" s="1770" t="str">
        <f t="shared" si="15"/>
        <v>单套/主力户型建筑面积</v>
      </c>
      <c r="AA41" s="1728">
        <f t="shared" si="3"/>
        <v>1</v>
      </c>
      <c r="AB41" s="1728">
        <f t="shared" si="4"/>
        <v>1</v>
      </c>
      <c r="AC41" s="1728">
        <f t="shared" si="5"/>
        <v>1</v>
      </c>
    </row>
    <row r="42" spans="1:29" ht="15">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476"/>
      <c r="Q42" s="1616" t="str">
        <f t="shared" si="11"/>
        <v>内部装修</v>
      </c>
      <c r="R42" s="1725" t="s">
        <v>28</v>
      </c>
      <c r="S42" s="1726">
        <f t="shared" si="12"/>
        <v>100</v>
      </c>
      <c r="T42" s="1725" t="s">
        <v>28</v>
      </c>
      <c r="U42" s="1726">
        <f t="shared" si="13"/>
        <v>100</v>
      </c>
      <c r="V42" s="1725" t="s">
        <v>28</v>
      </c>
      <c r="W42" s="1726">
        <f t="shared" si="14"/>
        <v>100</v>
      </c>
      <c r="X42" s="1666"/>
      <c r="Y42" s="3478"/>
      <c r="Z42" s="1727" t="str">
        <f t="shared" si="15"/>
        <v>内部装修</v>
      </c>
      <c r="AA42" s="1728">
        <f t="shared" si="3"/>
        <v>1</v>
      </c>
      <c r="AB42" s="1728">
        <f t="shared" si="4"/>
        <v>1</v>
      </c>
      <c r="AC42" s="1728">
        <f t="shared" si="5"/>
        <v>1</v>
      </c>
    </row>
    <row r="43" spans="1:29" ht="29.4"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76"/>
      <c r="Q43" s="1616" t="str">
        <f t="shared" si="11"/>
        <v>内部装修维护情况</v>
      </c>
      <c r="R43" s="1725" t="s">
        <v>28</v>
      </c>
      <c r="S43" s="1726">
        <f t="shared" si="12"/>
        <v>100</v>
      </c>
      <c r="T43" s="1725" t="s">
        <v>28</v>
      </c>
      <c r="U43" s="1726">
        <f t="shared" si="13"/>
        <v>100</v>
      </c>
      <c r="V43" s="1725" t="s">
        <v>28</v>
      </c>
      <c r="W43" s="1726">
        <f t="shared" si="14"/>
        <v>100</v>
      </c>
      <c r="X43" s="1666"/>
      <c r="Y43" s="3478"/>
      <c r="Z43" s="1727" t="str">
        <f t="shared" si="15"/>
        <v>内部装修维护情况</v>
      </c>
      <c r="AA43" s="1728">
        <f t="shared" si="3"/>
        <v>1</v>
      </c>
      <c r="AB43" s="1728">
        <f t="shared" si="4"/>
        <v>1</v>
      </c>
      <c r="AC43" s="1728">
        <f t="shared" si="5"/>
        <v>1</v>
      </c>
    </row>
    <row r="44" spans="1:29" s="1685" customFormat="1" ht="15.6"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76"/>
      <c r="Q44" s="1635" t="str">
        <f t="shared" si="11"/>
        <v>建成年代</v>
      </c>
      <c r="R44" s="1681" t="s">
        <v>28</v>
      </c>
      <c r="S44" s="1682">
        <f t="shared" si="12"/>
        <v>100</v>
      </c>
      <c r="T44" s="1681" t="s">
        <v>28</v>
      </c>
      <c r="U44" s="1682">
        <f t="shared" si="13"/>
        <v>100</v>
      </c>
      <c r="V44" s="1681" t="s">
        <v>28</v>
      </c>
      <c r="W44" s="1682">
        <f t="shared" si="14"/>
        <v>100</v>
      </c>
      <c r="X44" s="1683"/>
      <c r="Y44" s="3478"/>
      <c r="Z44" s="1693" t="str">
        <f t="shared" si="15"/>
        <v>建成年代</v>
      </c>
      <c r="AA44" s="1684">
        <f t="shared" si="3"/>
        <v>1</v>
      </c>
      <c r="AB44" s="1684">
        <f t="shared" si="4"/>
        <v>1</v>
      </c>
      <c r="AC44" s="1684">
        <f t="shared" si="5"/>
        <v>1</v>
      </c>
    </row>
    <row r="45" spans="1:29" ht="28.8" hidden="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76"/>
      <c r="Q45" s="1616" t="str">
        <f t="shared" si="11"/>
        <v>设备设施维护情况</v>
      </c>
      <c r="R45" s="1725" t="s">
        <v>28</v>
      </c>
      <c r="S45" s="1726">
        <f t="shared" si="12"/>
        <v>100</v>
      </c>
      <c r="T45" s="1725" t="s">
        <v>28</v>
      </c>
      <c r="U45" s="1726">
        <f t="shared" si="13"/>
        <v>100</v>
      </c>
      <c r="V45" s="1725" t="s">
        <v>28</v>
      </c>
      <c r="W45" s="1726">
        <f t="shared" si="14"/>
        <v>100</v>
      </c>
      <c r="X45" s="1666"/>
      <c r="Y45" s="3478"/>
      <c r="Z45" s="1727" t="str">
        <f t="shared" si="15"/>
        <v>设备设施维护情况</v>
      </c>
      <c r="AA45" s="1728">
        <f t="shared" si="3"/>
        <v>1</v>
      </c>
      <c r="AB45" s="1728">
        <f t="shared" si="4"/>
        <v>1</v>
      </c>
      <c r="AC45" s="1728">
        <f t="shared" si="5"/>
        <v>1</v>
      </c>
    </row>
    <row r="46" spans="1:29" ht="15.6"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477"/>
      <c r="Q46" s="1616">
        <f t="shared" si="11"/>
        <v>111</v>
      </c>
      <c r="R46" s="1725" t="s">
        <v>27</v>
      </c>
      <c r="S46" s="1726">
        <f t="shared" si="12"/>
        <v>100</v>
      </c>
      <c r="T46" s="1725" t="s">
        <v>27</v>
      </c>
      <c r="U46" s="1726">
        <f t="shared" si="13"/>
        <v>100</v>
      </c>
      <c r="V46" s="1725" t="s">
        <v>27</v>
      </c>
      <c r="W46" s="1726">
        <f t="shared" si="14"/>
        <v>100</v>
      </c>
      <c r="X46" s="1666"/>
      <c r="Y46" s="3479"/>
      <c r="Z46" s="1727">
        <f t="shared" si="15"/>
        <v>111</v>
      </c>
      <c r="AA46" s="1728">
        <f t="shared" si="3"/>
        <v>1</v>
      </c>
      <c r="AB46" s="1728">
        <f t="shared" si="4"/>
        <v>1</v>
      </c>
      <c r="AC46" s="1728">
        <f t="shared" si="5"/>
        <v>1</v>
      </c>
    </row>
    <row r="47" spans="1:29" ht="14.4">
      <c r="A47" s="1781" t="s">
        <v>2296</v>
      </c>
      <c r="B47" s="1782"/>
      <c r="C47" s="1783" t="s">
        <v>26</v>
      </c>
      <c r="D47" s="1784"/>
      <c r="E47" s="1785">
        <f>商品房!$F$5</f>
        <v>52352</v>
      </c>
      <c r="F47" s="1786"/>
      <c r="G47" s="1787">
        <f>商品房!$F$11</f>
        <v>50533</v>
      </c>
      <c r="H47" s="1788"/>
      <c r="I47" s="1787">
        <f>商品房!$F$17</f>
        <v>59430</v>
      </c>
      <c r="J47" s="1788"/>
      <c r="K47" s="1789"/>
      <c r="L47" s="3170" t="s">
        <v>2978</v>
      </c>
      <c r="N47" s="3000"/>
      <c r="P47" s="3470" t="str">
        <f>A47</f>
        <v>成交单价（元/平方米）</v>
      </c>
      <c r="Q47" s="3470"/>
      <c r="R47" s="3466">
        <f>E47</f>
        <v>52352</v>
      </c>
      <c r="S47" s="3466"/>
      <c r="T47" s="3466">
        <f>G47</f>
        <v>50533</v>
      </c>
      <c r="U47" s="3466"/>
      <c r="V47" s="3466">
        <f>I47</f>
        <v>59430</v>
      </c>
      <c r="W47" s="3466"/>
      <c r="X47" s="1791"/>
      <c r="Y47" s="1792"/>
      <c r="Z47" s="1791"/>
      <c r="AA47" s="1791"/>
      <c r="AB47" s="1791"/>
      <c r="AC47" s="1791"/>
    </row>
    <row r="48" spans="1:29" ht="15" thickBot="1">
      <c r="A48" s="1793" t="s">
        <v>2297</v>
      </c>
      <c r="B48" s="1794"/>
      <c r="C48" s="1795">
        <f>R49</f>
        <v>52695.22</v>
      </c>
      <c r="D48" s="1796" t="s">
        <v>2753</v>
      </c>
      <c r="E48" s="1797">
        <f>R48</f>
        <v>52352</v>
      </c>
      <c r="F48" s="1798"/>
      <c r="G48" s="1795">
        <f>T48</f>
        <v>48589.42</v>
      </c>
      <c r="H48" s="1798"/>
      <c r="I48" s="1797">
        <f>V48</f>
        <v>57144.23</v>
      </c>
      <c r="J48" s="1798"/>
      <c r="K48" s="2514">
        <f>F48+H48+J48</f>
        <v>0</v>
      </c>
      <c r="L48" s="3005"/>
      <c r="P48" s="3470" t="str">
        <f>A48</f>
        <v>比较价值（元/平方米）</v>
      </c>
      <c r="Q48" s="3470"/>
      <c r="R48" s="3466">
        <f>IF(E1="售价",ROUND(PRODUCT(R47,AA7:AA46),0),ROUND(PRODUCT(R47,AA7:AA46),2))</f>
        <v>52352</v>
      </c>
      <c r="S48" s="3466"/>
      <c r="T48" s="3464">
        <f>IF(E1="售价",ROUND(PRODUCT(T47,AB7:AB46),0),ROUND(PRODUCT(T47,AB7:AB46),2))</f>
        <v>48589.42</v>
      </c>
      <c r="U48" s="3465"/>
      <c r="V48" s="3466">
        <f>IF(E1="售价",ROUND(PRODUCT(V47,AC7:AC46),0),ROUND(PRODUCT(V47,AC7:AC46),2))</f>
        <v>57144.23</v>
      </c>
      <c r="W48" s="3466"/>
      <c r="X48" s="1791"/>
      <c r="Y48" s="1791"/>
      <c r="Z48" s="1791"/>
      <c r="AA48" s="1791"/>
      <c r="AB48" s="1791"/>
      <c r="AC48" s="1791"/>
    </row>
    <row r="49" spans="1:29" ht="15" thickBot="1">
      <c r="A49" s="1799" t="s">
        <v>2969</v>
      </c>
      <c r="B49" s="1800"/>
      <c r="C49" s="1801">
        <f>R49</f>
        <v>52695.22</v>
      </c>
      <c r="D49" s="1802"/>
      <c r="E49" s="1802"/>
      <c r="F49" s="1802"/>
      <c r="G49" s="1802"/>
      <c r="H49" s="1802"/>
      <c r="I49" s="1802"/>
      <c r="J49" s="1802"/>
      <c r="K49" s="1803"/>
      <c r="L49" s="3005"/>
      <c r="P49" s="3467" t="str">
        <f>A49</f>
        <v>估价对象住宅用房的比较价值（楼面单价，元/平方米）</v>
      </c>
      <c r="Q49" s="3468"/>
      <c r="R49" s="3469">
        <f>IF(E1="售价",ROUND(IF(D48="简单平均",AVERAGE(R48:V48),R48*F48+T48*H48+V48*J48),0),ROUND(IF(D48="简单平均",AVERAGE(R48:V48),R48*F48+T48*H48+V48*J48),2))</f>
        <v>52695.22</v>
      </c>
      <c r="S49" s="3469"/>
      <c r="T49" s="3469"/>
      <c r="U49" s="3469"/>
      <c r="V49" s="3469"/>
      <c r="W49" s="3469"/>
      <c r="X49" s="1791"/>
      <c r="Y49" s="1791"/>
      <c r="Z49" s="1791"/>
      <c r="AA49" s="1791"/>
      <c r="AB49" s="1791"/>
      <c r="AC49" s="1791"/>
    </row>
    <row r="50" spans="1:29">
      <c r="B50" s="1667">
        <f>C49</f>
        <v>52695.22</v>
      </c>
      <c r="C50" s="3188">
        <f>ROUND(B50*0.9,2)</f>
        <v>47425.7</v>
      </c>
      <c r="D50" s="1667">
        <f>ROUND(B50*1.1,2)</f>
        <v>57964.74</v>
      </c>
      <c r="E50" s="1667">
        <v>2005</v>
      </c>
      <c r="G50" s="1667">
        <v>2018</v>
      </c>
      <c r="I50" s="1667">
        <v>2018</v>
      </c>
    </row>
    <row r="51" spans="1:29">
      <c r="C51" s="1667">
        <f>C48*0.95</f>
        <v>50060.458999999995</v>
      </c>
      <c r="D51" s="1667">
        <f>C49*1.05</f>
        <v>55329.981000000007</v>
      </c>
      <c r="E51" s="1667">
        <f>1-(2023-E50)/60</f>
        <v>0.7</v>
      </c>
      <c r="G51" s="1667">
        <f>1-(2023-G50)/60</f>
        <v>0.91666666666666663</v>
      </c>
      <c r="I51" s="1667">
        <f>1-(2023-I50)/60</f>
        <v>0.91666666666666663</v>
      </c>
    </row>
    <row r="52" spans="1:29" ht="13.5" customHeight="1">
      <c r="C52" s="383" t="s">
        <v>2298</v>
      </c>
      <c r="D52" s="1807"/>
      <c r="E52" s="1808">
        <f>IF(E47&lt;E48,E48/E47-1,E47/E48-1)</f>
        <v>0</v>
      </c>
      <c r="F52" s="1809" t="str">
        <f>IF(OR(E52&gt;=0.3,E52&lt;=-0.3),"超过30%","")</f>
        <v/>
      </c>
      <c r="G52" s="1808">
        <f>IF(G47&lt;G48,G48/G47-1,G47/G48-1)</f>
        <v>4.0000065857958456E-2</v>
      </c>
      <c r="H52" s="1809" t="str">
        <f>IF(OR(G52&gt;=0.3,G52&lt;=-0.3),"超过30%","")</f>
        <v/>
      </c>
      <c r="I52" s="1808">
        <f>IF(I47&lt;I48,I48/I47-1,I47/I48-1)</f>
        <v>4.0000013999663686E-2</v>
      </c>
      <c r="J52" s="1809" t="str">
        <f>IF(OR(I52&gt;=0.3,I52&lt;=-0.3),"超过30%","")</f>
        <v/>
      </c>
    </row>
    <row r="53" spans="1:29" ht="13.5" customHeight="1">
      <c r="C53" s="383" t="s">
        <v>2299</v>
      </c>
      <c r="D53" s="1810"/>
      <c r="E53" s="1808">
        <f>IF(E48&lt;G48,G48/E48-1,E48/G48-1)</f>
        <v>7.743619907379018E-2</v>
      </c>
      <c r="F53" s="1809" t="str">
        <f>IF(OR(E53&gt;=0.2,E53&lt;=-0.2),"超过20%","")</f>
        <v/>
      </c>
      <c r="G53" s="1808">
        <f>IF(G48&lt;I48,I48/G48-1,G48/I48-1)</f>
        <v>0.17606322528649243</v>
      </c>
      <c r="H53" s="1809" t="str">
        <f>IF(OR(G53&gt;=0.2,G53&lt;=-0.2),"超过20%","")</f>
        <v/>
      </c>
      <c r="I53" s="1808">
        <f>IF(I48&lt;E48,E48/I48-1,I48/E48-1)</f>
        <v>9.1538623166259159E-2</v>
      </c>
      <c r="J53" s="1809" t="str">
        <f>IF(OR(I53&gt;=0.2,I53&lt;=-0.2),"超过20%","")</f>
        <v/>
      </c>
    </row>
    <row r="54" spans="1:29" s="1813" customFormat="1" ht="13.5" customHeight="1">
      <c r="C54" s="383" t="s">
        <v>2300</v>
      </c>
      <c r="D54" s="1810"/>
      <c r="E54" s="1808">
        <f>IF(E47&lt;G47,G47/E47-1,E47/G47-1)</f>
        <v>3.5996279658836894E-2</v>
      </c>
      <c r="F54" s="1809" t="str">
        <f>IF(OR(E54&gt;=0.3,E54&lt;=-0.3),"超过30%","")</f>
        <v/>
      </c>
      <c r="G54" s="1808">
        <f>IF(G47&lt;I47,I47/G47-1,G47/I47-1)</f>
        <v>0.17606316664357946</v>
      </c>
      <c r="H54" s="1809" t="str">
        <f>IF(OR(G54&gt;=0.3,G54&lt;=-0.3),"超过30%","")</f>
        <v/>
      </c>
      <c r="I54" s="1808">
        <f>IF(I47&lt;E47,E47/I47-1,I47/E47-1)</f>
        <v>0.13520018337408324</v>
      </c>
      <c r="J54" s="1809" t="str">
        <f>IF(OR(I54&gt;=0.3,I54&lt;=-0.3),"超过30%","")</f>
        <v/>
      </c>
      <c r="K54" s="3012"/>
      <c r="L54" s="3006"/>
      <c r="P54" s="1812"/>
    </row>
    <row r="55" spans="1:29" s="1813" customFormat="1">
      <c r="B55" s="3010"/>
      <c r="C55" s="3011"/>
      <c r="K55" s="3012"/>
      <c r="L55" s="3006"/>
      <c r="P55" s="1812"/>
    </row>
    <row r="56" spans="1:29">
      <c r="B56" s="3010"/>
      <c r="C56" s="3011"/>
    </row>
    <row r="57" spans="1:29" ht="22.2"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4.4">
      <c r="A58" s="1822" t="s">
        <v>2302</v>
      </c>
      <c r="B58" s="1823"/>
      <c r="C58" s="1824" t="str">
        <f>YEAR(C7)&amp;"-"&amp;MONTH(C7)</f>
        <v>2024-9</v>
      </c>
      <c r="D58" s="1825">
        <f>EDATE(C58,-1)</f>
        <v>45505</v>
      </c>
      <c r="E58" s="1825">
        <f t="shared" ref="E58:O58" si="16">EDATE(D58,-1)</f>
        <v>45474</v>
      </c>
      <c r="F58" s="1825">
        <f t="shared" si="16"/>
        <v>45444</v>
      </c>
      <c r="G58" s="1825">
        <f t="shared" si="16"/>
        <v>45413</v>
      </c>
      <c r="H58" s="1825">
        <f t="shared" si="16"/>
        <v>45383</v>
      </c>
      <c r="I58" s="1825">
        <f t="shared" si="16"/>
        <v>45352</v>
      </c>
      <c r="J58" s="1825">
        <f t="shared" si="16"/>
        <v>45323</v>
      </c>
      <c r="K58" s="1825">
        <f t="shared" si="16"/>
        <v>45292</v>
      </c>
      <c r="L58" s="1825">
        <f t="shared" si="16"/>
        <v>45261</v>
      </c>
      <c r="M58" s="1825">
        <f t="shared" si="16"/>
        <v>45231</v>
      </c>
      <c r="N58" s="1825">
        <f t="shared" si="16"/>
        <v>45200</v>
      </c>
      <c r="O58" s="1825">
        <f t="shared" si="16"/>
        <v>45170</v>
      </c>
      <c r="P58" s="1826"/>
    </row>
    <row r="59" spans="1:29" s="1685" customFormat="1">
      <c r="A59" s="1828"/>
      <c r="B59" s="1829"/>
      <c r="C59" s="1830">
        <v>100</v>
      </c>
      <c r="D59" s="1831">
        <v>100</v>
      </c>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1</v>
      </c>
      <c r="D68" s="1867">
        <v>5</v>
      </c>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4.4" thickBot="1">
      <c r="A77" s="1853"/>
      <c r="B77" s="1861"/>
      <c r="C77" s="1862">
        <v>100</v>
      </c>
      <c r="D77" s="1862">
        <f>C77-$K15</f>
        <v>99</v>
      </c>
      <c r="E77" s="1862">
        <f>D77-$K15</f>
        <v>98</v>
      </c>
      <c r="F77" s="1862">
        <f>E77-$K15</f>
        <v>97</v>
      </c>
      <c r="G77" s="1862">
        <f>F77-$K15</f>
        <v>96</v>
      </c>
      <c r="H77" s="1862"/>
      <c r="I77" s="1862"/>
      <c r="J77" s="1862"/>
      <c r="K77" s="1862"/>
      <c r="L77" s="1862"/>
      <c r="M77" s="1863"/>
      <c r="N77" s="1857"/>
      <c r="O77" s="1857"/>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4.4" thickBot="1">
      <c r="A79" s="1853"/>
      <c r="B79" s="1861"/>
      <c r="C79" s="1862">
        <v>100</v>
      </c>
      <c r="D79" s="1862">
        <f>C79-$K17</f>
        <v>96</v>
      </c>
      <c r="E79" s="1862">
        <f>D79-$K17</f>
        <v>92</v>
      </c>
      <c r="F79" s="1862">
        <f>E79-$K17</f>
        <v>88</v>
      </c>
      <c r="G79" s="1862">
        <f>F79-$K17</f>
        <v>84</v>
      </c>
      <c r="H79" s="1862"/>
      <c r="I79" s="1862"/>
      <c r="J79" s="1862"/>
      <c r="K79" s="1862"/>
      <c r="L79" s="1862"/>
      <c r="M79" s="1863"/>
      <c r="N79" s="1857"/>
      <c r="O79" s="1857"/>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4.4"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4.4"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 thickTop="1">
      <c r="A86" s="1889"/>
      <c r="B86" s="1858" t="s">
        <v>2328</v>
      </c>
      <c r="C86" s="468"/>
      <c r="D86" s="468"/>
      <c r="E86" s="468"/>
      <c r="F86" s="468"/>
      <c r="G86" s="468"/>
      <c r="H86" s="468"/>
      <c r="I86" s="468"/>
      <c r="J86" s="468"/>
      <c r="K86" s="468"/>
      <c r="L86" s="468"/>
      <c r="M86" s="1890"/>
      <c r="N86" s="1842"/>
      <c r="O86" s="1842"/>
      <c r="P86" s="1852"/>
      <c r="Q86" s="1821"/>
    </row>
    <row r="87" spans="1:17" s="1685"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4.4" thickTop="1">
      <c r="A90" s="1869"/>
      <c r="B90" s="1858" t="str">
        <f>B27</f>
        <v>道路级别</v>
      </c>
      <c r="C90" s="468">
        <f>C27</f>
        <v>0</v>
      </c>
      <c r="D90" s="3164">
        <f>G27</f>
        <v>0</v>
      </c>
      <c r="E90" s="3164">
        <f>I27</f>
        <v>0</v>
      </c>
      <c r="F90" s="3164">
        <f>E27</f>
        <v>0</v>
      </c>
      <c r="G90" s="468"/>
      <c r="H90" s="443"/>
      <c r="I90" s="443"/>
      <c r="J90" s="443"/>
      <c r="K90" s="443"/>
      <c r="L90" s="443"/>
      <c r="M90" s="1870"/>
      <c r="N90" s="1871"/>
      <c r="O90" s="1871"/>
      <c r="P90" s="1872"/>
      <c r="Q90" s="1873"/>
    </row>
    <row r="91" spans="1:17" s="1771" customFormat="1" ht="14.4"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8"/>
      <c r="H92" s="1578"/>
      <c r="I92" s="1578"/>
      <c r="J92" s="1578"/>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8"/>
      <c r="H94" s="1578"/>
      <c r="I94" s="1578"/>
      <c r="J94" s="1578"/>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8"/>
      <c r="H96" s="1578"/>
      <c r="I96" s="1578"/>
      <c r="J96" s="1578"/>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4.4"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4.4" thickBot="1">
      <c r="A113" s="1869"/>
      <c r="B113" s="1861"/>
      <c r="C113" s="1891">
        <v>100</v>
      </c>
      <c r="D113" s="1862">
        <f>C113-$K37</f>
        <v>99.5</v>
      </c>
      <c r="E113" s="1862">
        <f t="shared" ref="E113:H113" si="27">D113-$K37</f>
        <v>99</v>
      </c>
      <c r="F113" s="1862">
        <f t="shared" si="27"/>
        <v>98.5</v>
      </c>
      <c r="G113" s="1862">
        <f t="shared" si="27"/>
        <v>98</v>
      </c>
      <c r="H113" s="1862">
        <f t="shared" si="27"/>
        <v>97.5</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4.4"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4.4"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4.4"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9.4"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4.4"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4.4"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4.4"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28.2"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4.4"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6.2"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ht="14.4">
      <c r="B147" s="1573" t="s">
        <v>2359</v>
      </c>
    </row>
    <row r="148" spans="2:11" ht="14.4">
      <c r="B148" s="1573" t="s">
        <v>2360</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75" priority="20" stopIfTrue="1" operator="containsText" text="超过">
      <formula>NOT(ISERROR(SEARCH("超过",F52)))</formula>
    </cfRule>
  </conditionalFormatting>
  <conditionalFormatting sqref="J54">
    <cfRule type="containsText" dxfId="174" priority="19" stopIfTrue="1" operator="containsText" text="超过">
      <formula>NOT(ISERROR(SEARCH("超过",J54)))</formula>
    </cfRule>
  </conditionalFormatting>
  <conditionalFormatting sqref="H54">
    <cfRule type="containsText" dxfId="173" priority="18" stopIfTrue="1" operator="containsText" text="超过">
      <formula>NOT(ISERROR(SEARCH("超过",H54)))</formula>
    </cfRule>
  </conditionalFormatting>
  <conditionalFormatting sqref="F54">
    <cfRule type="containsText" dxfId="172" priority="17" stopIfTrue="1" operator="containsText" text="超过">
      <formula>NOT(ISERROR(SEARCH("超过",F54)))</formula>
    </cfRule>
  </conditionalFormatting>
  <conditionalFormatting sqref="F53 H53 J53">
    <cfRule type="containsText" dxfId="171" priority="16" stopIfTrue="1" operator="containsText" text="超过">
      <formula>NOT(ISERROR(SEARCH("超过",F53)))</formula>
    </cfRule>
  </conditionalFormatting>
  <conditionalFormatting sqref="E52">
    <cfRule type="expression" dxfId="170" priority="15" stopIfTrue="1">
      <formula>$F$52="超过30%"</formula>
    </cfRule>
  </conditionalFormatting>
  <conditionalFormatting sqref="G54">
    <cfRule type="expression" dxfId="169" priority="13" stopIfTrue="1">
      <formula>$H$54="超过30%"</formula>
    </cfRule>
  </conditionalFormatting>
  <conditionalFormatting sqref="E53">
    <cfRule type="expression" dxfId="168" priority="12" stopIfTrue="1">
      <formula>$F$53="超过20%"</formula>
    </cfRule>
  </conditionalFormatting>
  <conditionalFormatting sqref="E54">
    <cfRule type="expression" dxfId="167" priority="11" stopIfTrue="1">
      <formula>$F$54="超过30%"</formula>
    </cfRule>
  </conditionalFormatting>
  <conditionalFormatting sqref="G52">
    <cfRule type="expression" dxfId="166" priority="10" stopIfTrue="1">
      <formula>$H$52="超过30%"</formula>
    </cfRule>
  </conditionalFormatting>
  <conditionalFormatting sqref="G53">
    <cfRule type="expression" dxfId="165" priority="9" stopIfTrue="1">
      <formula>$H$53="超过20%"</formula>
    </cfRule>
  </conditionalFormatting>
  <conditionalFormatting sqref="I52">
    <cfRule type="expression" dxfId="164" priority="8" stopIfTrue="1">
      <formula>$J$52="超过30%"</formula>
    </cfRule>
  </conditionalFormatting>
  <conditionalFormatting sqref="I53">
    <cfRule type="expression" dxfId="163" priority="7" stopIfTrue="1">
      <formula>$J$53="超过20%"</formula>
    </cfRule>
  </conditionalFormatting>
  <conditionalFormatting sqref="I54">
    <cfRule type="expression" dxfId="162" priority="6"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1">
    <dataValidation type="list" allowBlank="1" showInputMessage="1" showErrorMessage="1" sqref="C20 G20 I20 E20 C16 E16 G16 I16 C18 E18 G18 I18 C24 E24 G24 I24">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8"/>
  <sheetViews>
    <sheetView topLeftCell="A19" workbookViewId="0">
      <selection activeCell="F2" sqref="F2"/>
    </sheetView>
  </sheetViews>
  <sheetFormatPr defaultRowHeight="14.4"/>
  <cols>
    <col min="1" max="1" width="27" customWidth="1"/>
    <col min="2" max="2" width="18.6640625" customWidth="1"/>
    <col min="3" max="3" width="20.21875" customWidth="1"/>
    <col min="4" max="4" width="16.21875" customWidth="1"/>
    <col min="5" max="5" width="18.88671875" customWidth="1"/>
    <col min="7" max="7" width="16.5546875" customWidth="1"/>
  </cols>
  <sheetData>
    <row r="1" spans="1:11" ht="15.6">
      <c r="A1" s="3511" t="s">
        <v>3054</v>
      </c>
      <c r="B1" s="3511"/>
      <c r="C1" s="3511"/>
      <c r="D1" s="3511"/>
      <c r="E1" s="3511"/>
      <c r="F1" s="3511"/>
      <c r="G1" s="3511"/>
      <c r="H1" s="3511"/>
      <c r="I1" s="3511"/>
      <c r="J1" s="3511"/>
      <c r="K1" s="3511"/>
    </row>
    <row r="2" spans="1:11" ht="15.6">
      <c r="A2" s="3511" t="s">
        <v>3055</v>
      </c>
      <c r="B2" s="3511" t="s">
        <v>3056</v>
      </c>
      <c r="C2" s="3511" t="s">
        <v>3057</v>
      </c>
      <c r="D2" s="3511" t="s">
        <v>3058</v>
      </c>
      <c r="E2" s="3511" t="s">
        <v>3059</v>
      </c>
      <c r="F2" s="3511" t="s">
        <v>3060</v>
      </c>
      <c r="G2" s="3511" t="s">
        <v>3061</v>
      </c>
      <c r="H2" s="3511" t="s">
        <v>3062</v>
      </c>
      <c r="I2" s="3511" t="s">
        <v>3063</v>
      </c>
      <c r="J2" s="3511" t="s">
        <v>3064</v>
      </c>
      <c r="K2" s="3511" t="s">
        <v>3065</v>
      </c>
    </row>
    <row r="3" spans="1:11" ht="15.6">
      <c r="A3" s="3201" t="s">
        <v>3066</v>
      </c>
      <c r="B3" s="3201" t="s">
        <v>3067</v>
      </c>
      <c r="C3" s="3201" t="s">
        <v>3067</v>
      </c>
      <c r="D3" s="3201">
        <v>1669</v>
      </c>
      <c r="E3" s="3201">
        <v>201735</v>
      </c>
      <c r="F3" s="3201">
        <v>53918</v>
      </c>
      <c r="G3" s="3201">
        <v>1087703.1299999999</v>
      </c>
      <c r="H3" s="3201">
        <v>1476</v>
      </c>
      <c r="I3" s="3201">
        <v>177781</v>
      </c>
      <c r="J3" s="3201">
        <v>2792</v>
      </c>
      <c r="K3" s="3201">
        <v>347209</v>
      </c>
    </row>
    <row r="4" spans="1:11" ht="15.6">
      <c r="A4" s="3201" t="s">
        <v>3068</v>
      </c>
      <c r="B4" s="3201" t="s">
        <v>3069</v>
      </c>
      <c r="C4" s="3201" t="s">
        <v>3070</v>
      </c>
      <c r="D4" s="3201">
        <v>432</v>
      </c>
      <c r="E4" s="3201">
        <v>41312</v>
      </c>
      <c r="F4" s="3201">
        <v>47525</v>
      </c>
      <c r="G4" s="3201">
        <v>196335.03</v>
      </c>
      <c r="H4" s="3201" t="s">
        <v>3067</v>
      </c>
      <c r="I4" s="3201" t="s">
        <v>3067</v>
      </c>
      <c r="J4" s="3201">
        <v>179</v>
      </c>
      <c r="K4" s="3201">
        <v>19452</v>
      </c>
    </row>
    <row r="5" spans="1:11" s="3202" customFormat="1" ht="15.6">
      <c r="A5" s="3200" t="s">
        <v>3090</v>
      </c>
      <c r="B5" s="3200" t="s">
        <v>3069</v>
      </c>
      <c r="C5" s="3200" t="s">
        <v>3070</v>
      </c>
      <c r="D5" s="3200">
        <v>406</v>
      </c>
      <c r="E5" s="3200">
        <v>44843</v>
      </c>
      <c r="F5" s="3200">
        <v>52352</v>
      </c>
      <c r="G5" s="3200">
        <v>234762.77</v>
      </c>
      <c r="H5" s="3200">
        <v>340</v>
      </c>
      <c r="I5" s="3200">
        <v>38600</v>
      </c>
      <c r="J5" s="3200">
        <v>320</v>
      </c>
      <c r="K5" s="3200">
        <v>39960</v>
      </c>
    </row>
    <row r="6" spans="1:11" ht="15.6">
      <c r="A6" s="3201" t="s">
        <v>3071</v>
      </c>
      <c r="B6" s="3201" t="s">
        <v>3069</v>
      </c>
      <c r="C6" s="3201" t="s">
        <v>3072</v>
      </c>
      <c r="D6" s="3201">
        <v>175</v>
      </c>
      <c r="E6" s="3201">
        <v>29500</v>
      </c>
      <c r="F6" s="3201">
        <v>77528</v>
      </c>
      <c r="G6" s="3201">
        <v>228707.56</v>
      </c>
      <c r="H6" s="3201" t="s">
        <v>3067</v>
      </c>
      <c r="I6" s="3201" t="s">
        <v>3067</v>
      </c>
      <c r="J6" s="3201">
        <v>485</v>
      </c>
      <c r="K6" s="3201">
        <v>93035</v>
      </c>
    </row>
    <row r="7" spans="1:11" ht="15.6">
      <c r="A7" s="3201" t="s">
        <v>3073</v>
      </c>
      <c r="B7" s="3201" t="s">
        <v>3069</v>
      </c>
      <c r="C7" s="3201" t="s">
        <v>3074</v>
      </c>
      <c r="D7" s="3201">
        <v>154</v>
      </c>
      <c r="E7" s="3201">
        <v>28302</v>
      </c>
      <c r="F7" s="3201">
        <v>45114</v>
      </c>
      <c r="G7" s="3201">
        <v>127684.79</v>
      </c>
      <c r="H7" s="3201">
        <v>242</v>
      </c>
      <c r="I7" s="3201">
        <v>44006</v>
      </c>
      <c r="J7" s="3201">
        <v>95</v>
      </c>
      <c r="K7" s="3201">
        <v>16937</v>
      </c>
    </row>
    <row r="8" spans="1:11" ht="15.6">
      <c r="A8" s="3201" t="s">
        <v>3075</v>
      </c>
      <c r="B8" s="3201" t="s">
        <v>3069</v>
      </c>
      <c r="C8" s="3201" t="s">
        <v>3076</v>
      </c>
      <c r="D8" s="3201">
        <v>96</v>
      </c>
      <c r="E8" s="3201">
        <v>8249</v>
      </c>
      <c r="F8" s="3201">
        <v>48412</v>
      </c>
      <c r="G8" s="3201">
        <v>39933.14</v>
      </c>
      <c r="H8" s="3201">
        <v>264</v>
      </c>
      <c r="I8" s="3201">
        <v>24012</v>
      </c>
      <c r="J8" s="3201">
        <v>627</v>
      </c>
      <c r="K8" s="3201">
        <v>53499</v>
      </c>
    </row>
    <row r="9" spans="1:11" ht="15.6">
      <c r="A9" s="3201" t="s">
        <v>3077</v>
      </c>
      <c r="B9" s="3201" t="s">
        <v>3069</v>
      </c>
      <c r="C9" s="3201" t="s">
        <v>3076</v>
      </c>
      <c r="D9" s="3201">
        <v>89</v>
      </c>
      <c r="E9" s="3201">
        <v>9841</v>
      </c>
      <c r="F9" s="3201">
        <v>47419</v>
      </c>
      <c r="G9" s="3201">
        <v>46665.08</v>
      </c>
      <c r="H9" s="3201" t="s">
        <v>3067</v>
      </c>
      <c r="I9" s="3201" t="s">
        <v>3067</v>
      </c>
      <c r="J9" s="3201">
        <v>210</v>
      </c>
      <c r="K9" s="3201">
        <v>24836</v>
      </c>
    </row>
    <row r="10" spans="1:11" ht="15.6">
      <c r="A10" s="3201" t="s">
        <v>3078</v>
      </c>
      <c r="B10" s="3201" t="s">
        <v>3069</v>
      </c>
      <c r="C10" s="3201" t="s">
        <v>3076</v>
      </c>
      <c r="D10" s="3201">
        <v>77</v>
      </c>
      <c r="E10" s="3201">
        <v>7936</v>
      </c>
      <c r="F10" s="3201">
        <v>51313</v>
      </c>
      <c r="G10" s="3201">
        <v>40722.629999999997</v>
      </c>
      <c r="H10" s="3201">
        <v>630</v>
      </c>
      <c r="I10" s="3201">
        <v>71163</v>
      </c>
      <c r="J10" s="3201">
        <v>553</v>
      </c>
      <c r="K10" s="3201">
        <v>63227</v>
      </c>
    </row>
    <row r="11" spans="1:11" s="3202" customFormat="1" ht="15.6">
      <c r="A11" s="3200" t="s">
        <v>3091</v>
      </c>
      <c r="B11" s="3200" t="s">
        <v>3069</v>
      </c>
      <c r="C11" s="3200" t="s">
        <v>3079</v>
      </c>
      <c r="D11" s="3200">
        <v>69</v>
      </c>
      <c r="E11" s="3200">
        <v>6928</v>
      </c>
      <c r="F11" s="3200">
        <v>50533</v>
      </c>
      <c r="G11" s="3200">
        <v>35009.14</v>
      </c>
      <c r="H11" s="3200" t="s">
        <v>3067</v>
      </c>
      <c r="I11" s="3200" t="s">
        <v>3067</v>
      </c>
      <c r="J11" s="3200">
        <v>161</v>
      </c>
      <c r="K11" s="3200">
        <v>16969</v>
      </c>
    </row>
    <row r="12" spans="1:11" ht="15.6">
      <c r="A12" s="3201" t="s">
        <v>3080</v>
      </c>
      <c r="B12" s="3201" t="s">
        <v>3069</v>
      </c>
      <c r="C12" s="3201" t="s">
        <v>3081</v>
      </c>
      <c r="D12" s="3201">
        <v>67</v>
      </c>
      <c r="E12" s="3201">
        <v>8906</v>
      </c>
      <c r="F12" s="3201">
        <v>54137</v>
      </c>
      <c r="G12" s="3201">
        <v>48213.46</v>
      </c>
      <c r="H12" s="3201" t="s">
        <v>3067</v>
      </c>
      <c r="I12" s="3201" t="s">
        <v>3067</v>
      </c>
      <c r="J12" s="3201">
        <v>29</v>
      </c>
      <c r="K12" s="3201">
        <v>4133</v>
      </c>
    </row>
    <row r="13" spans="1:11" ht="15.6">
      <c r="A13" s="3201" t="s">
        <v>3082</v>
      </c>
      <c r="B13" s="3201" t="s">
        <v>3069</v>
      </c>
      <c r="C13" s="3201" t="s">
        <v>3081</v>
      </c>
      <c r="D13" s="3201">
        <v>36</v>
      </c>
      <c r="E13" s="3201">
        <v>3474</v>
      </c>
      <c r="F13" s="3201">
        <v>58888</v>
      </c>
      <c r="G13" s="3201">
        <v>20457.75</v>
      </c>
      <c r="H13" s="3201" t="s">
        <v>3067</v>
      </c>
      <c r="I13" s="3201" t="s">
        <v>3067</v>
      </c>
      <c r="J13" s="3201">
        <v>96</v>
      </c>
      <c r="K13" s="3201">
        <v>9709</v>
      </c>
    </row>
    <row r="14" spans="1:11" ht="15.6">
      <c r="A14" s="3201" t="s">
        <v>3083</v>
      </c>
      <c r="B14" s="3201" t="s">
        <v>3069</v>
      </c>
      <c r="C14" s="3201" t="s">
        <v>3081</v>
      </c>
      <c r="D14" s="3201">
        <v>36</v>
      </c>
      <c r="E14" s="3201">
        <v>5113</v>
      </c>
      <c r="F14" s="3201">
        <v>58681</v>
      </c>
      <c r="G14" s="3201">
        <v>30004.05</v>
      </c>
      <c r="H14" s="3201" t="s">
        <v>3067</v>
      </c>
      <c r="I14" s="3201" t="s">
        <v>3067</v>
      </c>
      <c r="J14" s="3201">
        <v>34</v>
      </c>
      <c r="K14" s="3201">
        <v>4903</v>
      </c>
    </row>
    <row r="15" spans="1:11" ht="15.6">
      <c r="A15" s="3201" t="s">
        <v>3084</v>
      </c>
      <c r="B15" s="3201" t="s">
        <v>3069</v>
      </c>
      <c r="C15" s="3201" t="s">
        <v>3085</v>
      </c>
      <c r="D15" s="3201">
        <v>10</v>
      </c>
      <c r="E15" s="3201">
        <v>1808</v>
      </c>
      <c r="F15" s="3201">
        <v>39943</v>
      </c>
      <c r="G15" s="3201">
        <v>7221.59</v>
      </c>
      <c r="H15" s="3201" t="s">
        <v>3067</v>
      </c>
      <c r="I15" s="3201" t="s">
        <v>3067</v>
      </c>
      <c r="J15" s="3201" t="s">
        <v>3067</v>
      </c>
      <c r="K15" s="3201" t="s">
        <v>3067</v>
      </c>
    </row>
    <row r="16" spans="1:11" ht="18.600000000000001" customHeight="1">
      <c r="A16" s="3201" t="s">
        <v>3086</v>
      </c>
      <c r="B16" s="3201" t="s">
        <v>3069</v>
      </c>
      <c r="C16" s="3201" t="s">
        <v>3087</v>
      </c>
      <c r="D16" s="3201">
        <v>9</v>
      </c>
      <c r="E16" s="3201">
        <v>2631</v>
      </c>
      <c r="F16" s="3201">
        <v>50843</v>
      </c>
      <c r="G16" s="3201">
        <v>13375.68</v>
      </c>
      <c r="H16" s="3201" t="s">
        <v>3067</v>
      </c>
      <c r="I16" s="3201" t="s">
        <v>3067</v>
      </c>
      <c r="J16" s="3201" t="s">
        <v>3067</v>
      </c>
      <c r="K16" s="3201" t="s">
        <v>3067</v>
      </c>
    </row>
    <row r="17" spans="1:11" s="3202" customFormat="1" ht="15.6">
      <c r="A17" s="3200" t="s">
        <v>3092</v>
      </c>
      <c r="B17" s="3200" t="s">
        <v>3069</v>
      </c>
      <c r="C17" s="3200" t="s">
        <v>3088</v>
      </c>
      <c r="D17" s="3200">
        <v>7</v>
      </c>
      <c r="E17" s="3200">
        <v>1072</v>
      </c>
      <c r="F17" s="3200">
        <v>59430</v>
      </c>
      <c r="G17" s="3200">
        <v>6369.54</v>
      </c>
      <c r="H17" s="3200" t="s">
        <v>3067</v>
      </c>
      <c r="I17" s="3200" t="s">
        <v>3067</v>
      </c>
      <c r="J17" s="3200">
        <v>1</v>
      </c>
      <c r="K17" s="3200">
        <v>104</v>
      </c>
    </row>
    <row r="18" spans="1:11" ht="15.6">
      <c r="A18" s="3201" t="s">
        <v>3089</v>
      </c>
      <c r="B18" s="3201" t="s">
        <v>3069</v>
      </c>
      <c r="C18" s="3201" t="s">
        <v>3087</v>
      </c>
      <c r="D18" s="3201">
        <v>6</v>
      </c>
      <c r="E18" s="3201">
        <v>1820</v>
      </c>
      <c r="F18" s="3201">
        <v>67276</v>
      </c>
      <c r="G18" s="3201">
        <v>12240.93</v>
      </c>
      <c r="H18" s="3201" t="s">
        <v>3067</v>
      </c>
      <c r="I18" s="3201" t="s">
        <v>3067</v>
      </c>
      <c r="J18" s="3201">
        <v>2</v>
      </c>
      <c r="K18" s="3201">
        <v>443</v>
      </c>
    </row>
  </sheetData>
  <mergeCells count="12">
    <mergeCell ref="H2"/>
    <mergeCell ref="I2"/>
    <mergeCell ref="J2"/>
    <mergeCell ref="K2"/>
    <mergeCell ref="A1:K1"/>
    <mergeCell ref="A2"/>
    <mergeCell ref="B2"/>
    <mergeCell ref="C2"/>
    <mergeCell ref="D2"/>
    <mergeCell ref="E2"/>
    <mergeCell ref="F2"/>
    <mergeCell ref="G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7" sqref="M7"/>
    </sheetView>
  </sheetViews>
  <sheetFormatPr defaultRowHeight="14.4"/>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6" zoomScale="85" zoomScaleNormal="70" zoomScaleSheetLayoutView="85" workbookViewId="0">
      <selection activeCell="E10" sqref="E10"/>
    </sheetView>
  </sheetViews>
  <sheetFormatPr defaultColWidth="9" defaultRowHeight="13.8"/>
  <cols>
    <col min="1" max="1" width="10.44140625" style="1667" customWidth="1"/>
    <col min="2" max="2" width="15.6640625" style="1667" customWidth="1"/>
    <col min="3" max="3" width="14.3320312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2361</v>
      </c>
      <c r="C1" s="1639"/>
      <c r="D1" s="2472"/>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1921</v>
      </c>
      <c r="B2" s="1650">
        <f>IF(D2="——",IF(C2="元",ROUND(C49*D3,0),ROUND(C49*D3/10000,0)),IF(C2="元",ROUND(C49*D3,0),ROUND(C49*D3/10000,0))-E2)</f>
        <v>0</v>
      </c>
      <c r="C2" s="1651">
        <f>'数据-取费表'!B3</f>
        <v>0</v>
      </c>
      <c r="D2" s="1652" t="s">
        <v>1240</v>
      </c>
      <c r="E2" s="2473" t="e">
        <f ca="1">SUMIF(INDIRECT("'"&amp;G2&amp;"'"&amp;"!A:A"),"承租人权益价值",INDIRECT("'"&amp;G2&amp;"'"&amp;"!c:c"))</f>
        <v>#REF!</v>
      </c>
      <c r="F2" s="1654">
        <f>C2</f>
        <v>0</v>
      </c>
      <c r="G2" s="1655"/>
      <c r="H2" s="3014"/>
      <c r="I2" s="3014"/>
      <c r="J2" s="3014"/>
      <c r="K2" s="3014"/>
      <c r="L2" s="3016"/>
      <c r="M2" s="3014"/>
      <c r="N2" s="3014"/>
      <c r="O2" s="3014"/>
      <c r="P2" s="2474"/>
      <c r="Q2" s="1956"/>
      <c r="R2" s="1956"/>
      <c r="S2" s="1956"/>
      <c r="T2" s="1956"/>
      <c r="U2" s="1956"/>
      <c r="V2" s="1956"/>
      <c r="W2" s="1956"/>
      <c r="X2" s="1956"/>
      <c r="Y2" s="1956"/>
      <c r="Z2" s="1956"/>
      <c r="AA2" s="1956"/>
      <c r="AB2" s="1956"/>
      <c r="AC2" s="1957"/>
    </row>
    <row r="3" spans="1:29" s="1959" customFormat="1" ht="28.5" customHeight="1" thickBot="1">
      <c r="A3" s="1659" t="s">
        <v>1922</v>
      </c>
      <c r="B3" s="1962">
        <f>ROUND(IF(D2="——",C49,IF(C2="万元",B2*10000/D3,B2/D3)),0)</f>
        <v>6</v>
      </c>
      <c r="C3" s="1660" t="s">
        <v>2252</v>
      </c>
      <c r="D3" s="1660">
        <f>IF(C1="仅计算典型户型",'数据-取费表'!E5,'数据-取费表'!B5)</f>
        <v>0</v>
      </c>
      <c r="F3" s="3013"/>
      <c r="G3" s="3014"/>
      <c r="H3" s="3014"/>
      <c r="I3" s="3014"/>
      <c r="J3" s="3014"/>
      <c r="K3" s="3015"/>
      <c r="L3" s="3016"/>
      <c r="M3" s="3014"/>
      <c r="N3" s="3014"/>
      <c r="O3" s="3014"/>
      <c r="P3" s="2474"/>
      <c r="Q3" s="1956"/>
      <c r="R3" s="1956"/>
      <c r="S3" s="1956"/>
      <c r="T3" s="1956"/>
      <c r="U3" s="1956"/>
      <c r="V3" s="1956"/>
      <c r="W3" s="1956"/>
      <c r="X3" s="1956"/>
      <c r="Y3" s="1956"/>
      <c r="Z3" s="1956"/>
      <c r="AA3" s="1956"/>
      <c r="AB3" s="1956"/>
      <c r="AC3" s="1964"/>
    </row>
    <row r="4" spans="1:29" ht="14.4">
      <c r="A4" s="1663" t="s">
        <v>2253</v>
      </c>
      <c r="B4" s="1664"/>
      <c r="C4" s="3498" t="s">
        <v>2254</v>
      </c>
      <c r="D4" s="3499"/>
      <c r="E4" s="3500" t="s">
        <v>2255</v>
      </c>
      <c r="F4" s="3501"/>
      <c r="G4" s="3498" t="s">
        <v>2256</v>
      </c>
      <c r="H4" s="3499"/>
      <c r="I4" s="3498" t="s">
        <v>2257</v>
      </c>
      <c r="J4" s="3499"/>
      <c r="K4" s="1965" t="s">
        <v>2258</v>
      </c>
      <c r="L4" s="2999"/>
      <c r="M4" s="3000"/>
      <c r="N4" s="3000"/>
      <c r="O4" s="3000"/>
      <c r="P4" s="3502" t="s">
        <v>2259</v>
      </c>
      <c r="Q4" s="3503"/>
      <c r="R4" s="3486" t="s">
        <v>2255</v>
      </c>
      <c r="S4" s="3487"/>
      <c r="T4" s="3486" t="s">
        <v>2256</v>
      </c>
      <c r="U4" s="3487"/>
      <c r="V4" s="3508" t="s">
        <v>2257</v>
      </c>
      <c r="W4" s="3508"/>
      <c r="X4" s="2074"/>
      <c r="Y4" s="3486" t="s">
        <v>2259</v>
      </c>
      <c r="Z4" s="3487"/>
      <c r="AA4" s="3495" t="s">
        <v>2255</v>
      </c>
      <c r="AB4" s="3508" t="s">
        <v>2256</v>
      </c>
      <c r="AC4" s="3495" t="s">
        <v>2257</v>
      </c>
    </row>
    <row r="5" spans="1:29">
      <c r="A5" s="1668"/>
      <c r="B5" s="1669"/>
      <c r="C5" s="3512" t="str">
        <f>'比较法-住宅'!C5:D5</f>
        <v>首创美伦湾</v>
      </c>
      <c r="D5" s="3510"/>
      <c r="E5" s="3509" t="s">
        <v>3038</v>
      </c>
      <c r="F5" s="3510"/>
      <c r="G5" s="3509" t="s">
        <v>3048</v>
      </c>
      <c r="H5" s="3510"/>
      <c r="I5" s="3509" t="s">
        <v>3048</v>
      </c>
      <c r="J5" s="3510"/>
      <c r="K5" s="1965"/>
      <c r="L5" s="2999"/>
      <c r="M5" s="3000"/>
      <c r="N5" s="3000"/>
      <c r="O5" s="3000"/>
      <c r="P5" s="3504"/>
      <c r="Q5" s="3505"/>
      <c r="R5" s="3488"/>
      <c r="S5" s="3489"/>
      <c r="T5" s="3488"/>
      <c r="U5" s="3489"/>
      <c r="V5" s="3508"/>
      <c r="W5" s="3508"/>
      <c r="X5" s="2074"/>
      <c r="Y5" s="3488"/>
      <c r="Z5" s="3489"/>
      <c r="AA5" s="3496"/>
      <c r="AB5" s="3508"/>
      <c r="AC5" s="3496"/>
    </row>
    <row r="6" spans="1:29" ht="15" thickBot="1">
      <c r="A6" s="1671"/>
      <c r="B6" s="1672"/>
      <c r="C6" s="3480">
        <f>'比较法-住宅'!C6:D6</f>
        <v>0</v>
      </c>
      <c r="D6" s="3481"/>
      <c r="E6" s="3482" t="s">
        <v>3039</v>
      </c>
      <c r="F6" s="3483"/>
      <c r="G6" s="3482" t="s">
        <v>3039</v>
      </c>
      <c r="H6" s="3483"/>
      <c r="I6" s="3509" t="str">
        <f>G6</f>
        <v>新航城</v>
      </c>
      <c r="J6" s="3510"/>
      <c r="K6" s="1965" t="s">
        <v>2265</v>
      </c>
      <c r="L6" s="2999"/>
      <c r="M6" s="3000"/>
      <c r="N6" s="3000"/>
      <c r="O6" s="3000"/>
      <c r="P6" s="3506"/>
      <c r="Q6" s="3507"/>
      <c r="R6" s="3488"/>
      <c r="S6" s="3489"/>
      <c r="T6" s="3490"/>
      <c r="U6" s="3491"/>
      <c r="V6" s="3508"/>
      <c r="W6" s="3508"/>
      <c r="X6" s="2074"/>
      <c r="Y6" s="3490"/>
      <c r="Z6" s="3491"/>
      <c r="AA6" s="3497"/>
      <c r="AB6" s="3508"/>
      <c r="AC6" s="3497"/>
    </row>
    <row r="7" spans="1:29" s="1685" customFormat="1" ht="15" thickBot="1">
      <c r="A7" s="1673" t="s">
        <v>2266</v>
      </c>
      <c r="B7" s="1674"/>
      <c r="C7" s="1675">
        <f>'数据-取费表'!B2</f>
        <v>45558</v>
      </c>
      <c r="D7" s="1676">
        <v>100</v>
      </c>
      <c r="E7" s="1677">
        <f>C7</f>
        <v>45558</v>
      </c>
      <c r="F7" s="1678">
        <f>SUMIF(58:58,YEAR(E7)&amp;"-"&amp;MONTH(E7),59:59)</f>
        <v>100</v>
      </c>
      <c r="G7" s="1677">
        <f>C7</f>
        <v>45558</v>
      </c>
      <c r="H7" s="1676">
        <f>SUMIF(58:58,YEAR(G7)&amp;"-"&amp;MONTH(G7),59:59)</f>
        <v>100</v>
      </c>
      <c r="I7" s="1677">
        <f>C7</f>
        <v>45558</v>
      </c>
      <c r="J7" s="1676">
        <f>SUMIF(58:58,YEAR(I7)&amp;"-"&amp;MONTH(I7),59:59)</f>
        <v>100</v>
      </c>
      <c r="K7" s="1967"/>
      <c r="L7" s="2999"/>
      <c r="M7" s="2972"/>
      <c r="N7" s="2972"/>
      <c r="O7" s="2972"/>
      <c r="P7" s="3484" t="s">
        <v>2267</v>
      </c>
      <c r="Q7" s="3492"/>
      <c r="R7" s="1681" t="s">
        <v>25</v>
      </c>
      <c r="S7" s="1682">
        <f t="shared" ref="S7:S15" si="0">F7</f>
        <v>100</v>
      </c>
      <c r="T7" s="1681" t="s">
        <v>25</v>
      </c>
      <c r="U7" s="1682">
        <f t="shared" ref="U7:U15" si="1">H7</f>
        <v>100</v>
      </c>
      <c r="V7" s="1681" t="s">
        <v>25</v>
      </c>
      <c r="W7" s="1682">
        <f t="shared" ref="W7:W15" si="2">J7</f>
        <v>100</v>
      </c>
      <c r="X7" s="1683"/>
      <c r="Y7" s="3484" t="s">
        <v>2267</v>
      </c>
      <c r="Z7" s="3485"/>
      <c r="AA7" s="1684">
        <f>D7/F7</f>
        <v>1</v>
      </c>
      <c r="AB7" s="1684">
        <f>D7/H7</f>
        <v>1</v>
      </c>
      <c r="AC7" s="1684">
        <f>D7/J7</f>
        <v>1</v>
      </c>
    </row>
    <row r="8" spans="1:29" s="1685" customFormat="1" ht="15" thickBot="1">
      <c r="A8" s="1673" t="s">
        <v>2268</v>
      </c>
      <c r="B8" s="1674"/>
      <c r="C8" s="1686" t="s">
        <v>2269</v>
      </c>
      <c r="D8" s="1676">
        <v>100</v>
      </c>
      <c r="E8" s="1686" t="s">
        <v>2269</v>
      </c>
      <c r="F8" s="1678">
        <f>SUMIF(61:61,E8,62:62)-SUMIF(61:61,C8,62:62)+100</f>
        <v>100</v>
      </c>
      <c r="G8" s="1686" t="s">
        <v>2269</v>
      </c>
      <c r="H8" s="1676">
        <f>SUMIF(61:61,G8,62:62)-SUMIF(61:61,C8,62:62)+100</f>
        <v>100</v>
      </c>
      <c r="I8" s="1686" t="s">
        <v>2269</v>
      </c>
      <c r="J8" s="1676">
        <f>SUMIF(61:61,I8,62:62)-SUMIF(61:61,C8,62:62)+100</f>
        <v>100</v>
      </c>
      <c r="K8" s="1967"/>
      <c r="L8" s="2999"/>
      <c r="M8" s="2972"/>
      <c r="N8" s="2972"/>
      <c r="O8" s="2972"/>
      <c r="P8" s="3484" t="s">
        <v>2270</v>
      </c>
      <c r="Q8" s="3485"/>
      <c r="R8" s="1681" t="s">
        <v>25</v>
      </c>
      <c r="S8" s="1682">
        <f t="shared" si="0"/>
        <v>100</v>
      </c>
      <c r="T8" s="1681" t="s">
        <v>25</v>
      </c>
      <c r="U8" s="1682">
        <f t="shared" si="1"/>
        <v>100</v>
      </c>
      <c r="V8" s="1681" t="s">
        <v>25</v>
      </c>
      <c r="W8" s="1682">
        <f t="shared" si="2"/>
        <v>100</v>
      </c>
      <c r="X8" s="1683"/>
      <c r="Y8" s="3484" t="s">
        <v>2270</v>
      </c>
      <c r="Z8" s="3485"/>
      <c r="AA8" s="1684">
        <f t="shared" ref="AA8:AA46" si="3">D8/F8</f>
        <v>1</v>
      </c>
      <c r="AB8" s="1684">
        <f t="shared" ref="AB8:AB46" si="4">D8/H8</f>
        <v>1</v>
      </c>
      <c r="AC8" s="1684">
        <f t="shared" ref="AC8:AC46" si="5">D8/J8</f>
        <v>1</v>
      </c>
    </row>
    <row r="9" spans="1:29" s="1685" customFormat="1" ht="14.4">
      <c r="A9" s="2066" t="s">
        <v>2271</v>
      </c>
      <c r="B9" s="1688" t="s">
        <v>2272</v>
      </c>
      <c r="C9" s="3151" t="s">
        <v>2902</v>
      </c>
      <c r="D9" s="1689">
        <v>100</v>
      </c>
      <c r="E9" s="1690" t="s">
        <v>2901</v>
      </c>
      <c r="F9" s="1691">
        <f>SUMIF(63:63,E9,64:64)-SUMIF(63:63,C9,64:64)+100</f>
        <v>100</v>
      </c>
      <c r="G9" s="1690" t="s">
        <v>2901</v>
      </c>
      <c r="H9" s="1689">
        <f>SUMIF(63:63,G9,64:64)-SUMIF(63:63,C9,64:64)+100</f>
        <v>100</v>
      </c>
      <c r="I9" s="1690" t="s">
        <v>2901</v>
      </c>
      <c r="J9" s="1689">
        <f>SUMIF(63:63,I9,64:64)-SUMIF(63:63,C9,64:64)+100</f>
        <v>100</v>
      </c>
      <c r="K9" s="1967"/>
      <c r="L9" s="2999"/>
      <c r="M9" s="2972"/>
      <c r="N9" s="2972"/>
      <c r="O9" s="2972"/>
      <c r="P9" s="3493" t="s">
        <v>2273</v>
      </c>
      <c r="Q9" s="2065" t="str">
        <f t="shared" ref="Q9:Q15" si="6">B9</f>
        <v>用途</v>
      </c>
      <c r="R9" s="1681" t="s">
        <v>25</v>
      </c>
      <c r="S9" s="1682">
        <f t="shared" si="0"/>
        <v>100</v>
      </c>
      <c r="T9" s="1681" t="s">
        <v>25</v>
      </c>
      <c r="U9" s="1682">
        <f t="shared" si="1"/>
        <v>100</v>
      </c>
      <c r="V9" s="1681" t="s">
        <v>25</v>
      </c>
      <c r="W9" s="1682">
        <f t="shared" si="2"/>
        <v>100</v>
      </c>
      <c r="X9" s="1683"/>
      <c r="Y9" s="3328" t="s">
        <v>2274</v>
      </c>
      <c r="Z9" s="1693" t="str">
        <f t="shared" ref="Z9:Z15" si="7">Q9</f>
        <v>用途</v>
      </c>
      <c r="AA9" s="1684">
        <f t="shared" si="3"/>
        <v>1</v>
      </c>
      <c r="AB9" s="1684">
        <f t="shared" si="4"/>
        <v>1</v>
      </c>
      <c r="AC9" s="1684">
        <f t="shared" si="5"/>
        <v>1</v>
      </c>
    </row>
    <row r="10" spans="1:29" s="1701" customFormat="1" ht="28.8">
      <c r="A10" s="1694"/>
      <c r="B10" s="1695" t="s">
        <v>2275</v>
      </c>
      <c r="C10" s="1696" t="s">
        <v>2903</v>
      </c>
      <c r="D10" s="1697">
        <v>100</v>
      </c>
      <c r="E10" s="1696" t="s">
        <v>2903</v>
      </c>
      <c r="F10" s="1699">
        <f>SUMIF(65:65,E10,66:66)-SUMIF(65:65,C10,66:66)+100</f>
        <v>100</v>
      </c>
      <c r="G10" s="1696" t="s">
        <v>2903</v>
      </c>
      <c r="H10" s="1697">
        <f>SUMIF(65:65,G10,66:66)-SUMIF(65:65,C10,66:66)+100</f>
        <v>100</v>
      </c>
      <c r="I10" s="1696" t="s">
        <v>2903</v>
      </c>
      <c r="J10" s="1697">
        <f>SUMIF(65:65,I10,66:66)-SUMIF(65:65,C10,66:66)+100</f>
        <v>100</v>
      </c>
      <c r="K10" s="1992">
        <v>2</v>
      </c>
      <c r="L10" s="3001"/>
      <c r="M10" s="3002"/>
      <c r="N10" s="3002"/>
      <c r="O10" s="3002"/>
      <c r="P10" s="3493"/>
      <c r="Q10" s="2065" t="str">
        <f t="shared" si="6"/>
        <v>土地使用年限（年）</v>
      </c>
      <c r="R10" s="1681" t="s">
        <v>25</v>
      </c>
      <c r="S10" s="1682">
        <f t="shared" si="0"/>
        <v>100</v>
      </c>
      <c r="T10" s="1681" t="s">
        <v>25</v>
      </c>
      <c r="U10" s="1682">
        <f t="shared" si="1"/>
        <v>100</v>
      </c>
      <c r="V10" s="1681" t="s">
        <v>25</v>
      </c>
      <c r="W10" s="1682">
        <f t="shared" si="2"/>
        <v>100</v>
      </c>
      <c r="X10" s="1683"/>
      <c r="Y10" s="3328"/>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992">
        <v>1</v>
      </c>
      <c r="L11" s="3003"/>
      <c r="M11" s="3000"/>
      <c r="N11" s="3000"/>
      <c r="O11" s="3000"/>
      <c r="P11" s="3493"/>
      <c r="Q11" s="2065" t="str">
        <f t="shared" si="6"/>
        <v>容积率</v>
      </c>
      <c r="R11" s="1681" t="s">
        <v>25</v>
      </c>
      <c r="S11" s="1682">
        <f t="shared" si="0"/>
        <v>100</v>
      </c>
      <c r="T11" s="1681" t="s">
        <v>25</v>
      </c>
      <c r="U11" s="1682">
        <f t="shared" si="1"/>
        <v>100</v>
      </c>
      <c r="V11" s="1681" t="s">
        <v>25</v>
      </c>
      <c r="W11" s="1682">
        <f t="shared" si="2"/>
        <v>100</v>
      </c>
      <c r="X11" s="1683"/>
      <c r="Y11" s="3328"/>
      <c r="Z11" s="1693" t="str">
        <f t="shared" si="7"/>
        <v>容积率</v>
      </c>
      <c r="AA11" s="1684">
        <f t="shared" si="3"/>
        <v>1</v>
      </c>
      <c r="AB11" s="1684">
        <f t="shared" si="4"/>
        <v>1</v>
      </c>
      <c r="AC11" s="1684">
        <f t="shared" si="5"/>
        <v>1</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9"/>
      <c r="M12" s="2972"/>
      <c r="N12" s="2972"/>
      <c r="O12" s="2972"/>
      <c r="P12" s="3493"/>
      <c r="Q12" s="2065">
        <f t="shared" si="6"/>
        <v>111</v>
      </c>
      <c r="R12" s="1681" t="s">
        <v>25</v>
      </c>
      <c r="S12" s="1682">
        <f t="shared" si="0"/>
        <v>100</v>
      </c>
      <c r="T12" s="1681" t="s">
        <v>25</v>
      </c>
      <c r="U12" s="1682">
        <f t="shared" si="1"/>
        <v>100</v>
      </c>
      <c r="V12" s="1681" t="s">
        <v>25</v>
      </c>
      <c r="W12" s="1682">
        <f t="shared" si="2"/>
        <v>100</v>
      </c>
      <c r="X12" s="1683"/>
      <c r="Y12" s="3328"/>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4"/>
      <c r="M13" s="3000"/>
      <c r="N13" s="3000"/>
      <c r="O13" s="3000"/>
      <c r="P13" s="3493"/>
      <c r="Q13" s="2065">
        <f t="shared" si="6"/>
        <v>111</v>
      </c>
      <c r="R13" s="1681" t="s">
        <v>25</v>
      </c>
      <c r="S13" s="1682">
        <f t="shared" si="0"/>
        <v>100</v>
      </c>
      <c r="T13" s="1681" t="s">
        <v>25</v>
      </c>
      <c r="U13" s="1682">
        <f t="shared" si="1"/>
        <v>100</v>
      </c>
      <c r="V13" s="1681" t="s">
        <v>25</v>
      </c>
      <c r="W13" s="1682">
        <f t="shared" si="2"/>
        <v>100</v>
      </c>
      <c r="X13" s="1683"/>
      <c r="Y13" s="3328"/>
      <c r="Z13" s="1693">
        <f t="shared" si="7"/>
        <v>111</v>
      </c>
      <c r="AA13" s="1684">
        <f t="shared" si="3"/>
        <v>1</v>
      </c>
      <c r="AB13" s="1684">
        <f t="shared" si="4"/>
        <v>1</v>
      </c>
      <c r="AC13" s="1684">
        <f t="shared" si="5"/>
        <v>1</v>
      </c>
    </row>
    <row r="14" spans="1:29" ht="15.6"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4"/>
      <c r="M14" s="3000"/>
      <c r="N14" s="3000"/>
      <c r="O14" s="3000"/>
      <c r="P14" s="3493"/>
      <c r="Q14" s="2065">
        <f t="shared" si="6"/>
        <v>111</v>
      </c>
      <c r="R14" s="1681" t="s">
        <v>25</v>
      </c>
      <c r="S14" s="1682">
        <f t="shared" si="0"/>
        <v>100</v>
      </c>
      <c r="T14" s="1681" t="s">
        <v>25</v>
      </c>
      <c r="U14" s="1682">
        <f t="shared" si="1"/>
        <v>100</v>
      </c>
      <c r="V14" s="1681" t="s">
        <v>25</v>
      </c>
      <c r="W14" s="1682">
        <f t="shared" si="2"/>
        <v>100</v>
      </c>
      <c r="X14" s="1683"/>
      <c r="Y14" s="3328"/>
      <c r="Z14" s="1693">
        <f t="shared" si="7"/>
        <v>111</v>
      </c>
      <c r="AA14" s="1684">
        <f t="shared" si="3"/>
        <v>1</v>
      </c>
      <c r="AB14" s="1684">
        <f t="shared" si="4"/>
        <v>1</v>
      </c>
      <c r="AC14" s="1684">
        <f t="shared" si="5"/>
        <v>1</v>
      </c>
    </row>
    <row r="15" spans="1:29" ht="82.8">
      <c r="A15" s="1717" t="s">
        <v>2277</v>
      </c>
      <c r="B15" s="1718" t="s">
        <v>2362</v>
      </c>
      <c r="C15" s="1719" t="str">
        <f>估价对象房地状况!C4</f>
        <v>估价对象位于XX商圈，周边商业氛围成熟，人流量大，商业繁华度好</v>
      </c>
      <c r="D15" s="1720">
        <v>100</v>
      </c>
      <c r="E15" s="1721"/>
      <c r="F15" s="1722">
        <f>SUMIF(76:76,E16,77:77)-SUMIF(76:76,C16,77:77)+100</f>
        <v>105</v>
      </c>
      <c r="G15" s="1723"/>
      <c r="H15" s="1720">
        <f>SUMIF(76:76,G16,77:77)-SUMIF(76:76,C16,77:77)+100</f>
        <v>105</v>
      </c>
      <c r="I15" s="1721"/>
      <c r="J15" s="1720">
        <f>SUMIF(76:76,I16,77:77)-SUMIF(76:76,C16,77:77)+100</f>
        <v>105</v>
      </c>
      <c r="K15" s="2475">
        <v>5</v>
      </c>
      <c r="L15" s="3004"/>
      <c r="M15" s="3000"/>
      <c r="N15" s="3000"/>
      <c r="O15" s="3000"/>
      <c r="P15" s="3471" t="s">
        <v>2278</v>
      </c>
      <c r="Q15" s="2071" t="str">
        <f t="shared" si="6"/>
        <v>商业繁华度</v>
      </c>
      <c r="R15" s="1725" t="s">
        <v>25</v>
      </c>
      <c r="S15" s="1726">
        <f t="shared" si="0"/>
        <v>105</v>
      </c>
      <c r="T15" s="1725" t="s">
        <v>25</v>
      </c>
      <c r="U15" s="1726">
        <f t="shared" si="1"/>
        <v>105</v>
      </c>
      <c r="V15" s="1725" t="s">
        <v>25</v>
      </c>
      <c r="W15" s="1726">
        <f t="shared" si="2"/>
        <v>105</v>
      </c>
      <c r="X15" s="2074"/>
      <c r="Y15" s="3473" t="s">
        <v>2278</v>
      </c>
      <c r="Z15" s="2078" t="str">
        <f t="shared" si="7"/>
        <v>商业繁华度</v>
      </c>
      <c r="AA15" s="2069">
        <f t="shared" si="3"/>
        <v>0.95238095238095233</v>
      </c>
      <c r="AB15" s="2069">
        <f t="shared" si="4"/>
        <v>0.95238095238095233</v>
      </c>
      <c r="AC15" s="2069">
        <f t="shared" si="5"/>
        <v>0.95238095238095233</v>
      </c>
    </row>
    <row r="16" spans="1:29" ht="15">
      <c r="A16" s="1702"/>
      <c r="B16" s="1729"/>
      <c r="C16" s="1730" t="s">
        <v>32</v>
      </c>
      <c r="D16" s="1731"/>
      <c r="E16" s="1730" t="s">
        <v>31</v>
      </c>
      <c r="F16" s="1733"/>
      <c r="G16" s="1730" t="s">
        <v>31</v>
      </c>
      <c r="H16" s="1735"/>
      <c r="I16" s="3199" t="s">
        <v>3050</v>
      </c>
      <c r="J16" s="1731"/>
      <c r="K16" s="2476"/>
      <c r="L16" s="3004"/>
      <c r="M16" s="3000"/>
      <c r="N16" s="3000"/>
      <c r="O16" s="3000"/>
      <c r="P16" s="3472"/>
      <c r="Q16" s="2071"/>
      <c r="R16" s="1725"/>
      <c r="S16" s="1726"/>
      <c r="T16" s="1725"/>
      <c r="U16" s="1726"/>
      <c r="V16" s="1725"/>
      <c r="W16" s="1726"/>
      <c r="X16" s="2074"/>
      <c r="Y16" s="3474"/>
      <c r="Z16" s="2078"/>
      <c r="AA16" s="2069">
        <v>1</v>
      </c>
      <c r="AB16" s="2069">
        <v>1</v>
      </c>
      <c r="AC16" s="2069">
        <v>1</v>
      </c>
    </row>
    <row r="17" spans="1:29" ht="124.2">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5">
        <v>10</v>
      </c>
      <c r="L17" s="3004"/>
      <c r="M17" s="3000"/>
      <c r="N17" s="3000"/>
      <c r="O17" s="3000"/>
      <c r="P17" s="3472"/>
      <c r="Q17" s="2071" t="str">
        <f>B17</f>
        <v>交通便捷度</v>
      </c>
      <c r="R17" s="1725" t="s">
        <v>25</v>
      </c>
      <c r="S17" s="1726">
        <f>F17</f>
        <v>100</v>
      </c>
      <c r="T17" s="1725" t="s">
        <v>25</v>
      </c>
      <c r="U17" s="1726">
        <f>H17</f>
        <v>100</v>
      </c>
      <c r="V17" s="1725" t="s">
        <v>25</v>
      </c>
      <c r="W17" s="1726">
        <f>J17</f>
        <v>100</v>
      </c>
      <c r="X17" s="2074"/>
      <c r="Y17" s="3474"/>
      <c r="Z17" s="2078" t="str">
        <f>Q17</f>
        <v>交通便捷度</v>
      </c>
      <c r="AA17" s="2069">
        <f t="shared" si="3"/>
        <v>1</v>
      </c>
      <c r="AB17" s="2069">
        <f t="shared" si="4"/>
        <v>1</v>
      </c>
      <c r="AC17" s="2069">
        <f t="shared" si="5"/>
        <v>1</v>
      </c>
    </row>
    <row r="18" spans="1:29" ht="15">
      <c r="A18" s="1702"/>
      <c r="B18" s="1743"/>
      <c r="C18" s="1744" t="s">
        <v>31</v>
      </c>
      <c r="D18" s="1735"/>
      <c r="E18" s="1744" t="s">
        <v>31</v>
      </c>
      <c r="F18" s="1740"/>
      <c r="G18" s="1744" t="s">
        <v>31</v>
      </c>
      <c r="H18" s="1731"/>
      <c r="I18" s="3198" t="s">
        <v>31</v>
      </c>
      <c r="J18" s="1731"/>
      <c r="K18" s="2476"/>
      <c r="L18" s="3004"/>
      <c r="M18" s="3000"/>
      <c r="N18" s="3000"/>
      <c r="O18" s="3000"/>
      <c r="P18" s="3472"/>
      <c r="Q18" s="2071"/>
      <c r="R18" s="1725"/>
      <c r="S18" s="1726"/>
      <c r="T18" s="1725"/>
      <c r="U18" s="1726"/>
      <c r="V18" s="1725"/>
      <c r="W18" s="1726"/>
      <c r="X18" s="2074"/>
      <c r="Y18" s="3474"/>
      <c r="Z18" s="2078"/>
      <c r="AA18" s="2069">
        <v>1</v>
      </c>
      <c r="AB18" s="2069">
        <v>1</v>
      </c>
      <c r="AC18" s="2069">
        <v>1</v>
      </c>
    </row>
    <row r="19" spans="1:29" ht="41.4">
      <c r="A19" s="1702"/>
      <c r="B19" s="1737" t="s">
        <v>2363</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2475">
        <v>2</v>
      </c>
      <c r="L19" s="3004"/>
      <c r="M19" s="3000"/>
      <c r="N19" s="3000"/>
      <c r="O19" s="3000"/>
      <c r="P19" s="3472"/>
      <c r="Q19" s="2071" t="str">
        <f>B19</f>
        <v>公共配套设施</v>
      </c>
      <c r="R19" s="1725" t="s">
        <v>25</v>
      </c>
      <c r="S19" s="1726">
        <f>F19</f>
        <v>100</v>
      </c>
      <c r="T19" s="1725" t="s">
        <v>25</v>
      </c>
      <c r="U19" s="1726">
        <f>H19</f>
        <v>100</v>
      </c>
      <c r="V19" s="1725" t="s">
        <v>25</v>
      </c>
      <c r="W19" s="1726">
        <f>J19</f>
        <v>100</v>
      </c>
      <c r="X19" s="2074"/>
      <c r="Y19" s="3474"/>
      <c r="Z19" s="2078" t="str">
        <f>Q19</f>
        <v>公共配套设施</v>
      </c>
      <c r="AA19" s="2069">
        <f t="shared" si="3"/>
        <v>1</v>
      </c>
      <c r="AB19" s="2069">
        <f t="shared" si="4"/>
        <v>1</v>
      </c>
      <c r="AC19" s="2069">
        <f t="shared" si="5"/>
        <v>1</v>
      </c>
    </row>
    <row r="20" spans="1:29" ht="15">
      <c r="A20" s="1702"/>
      <c r="B20" s="1743"/>
      <c r="C20" s="1730" t="s">
        <v>30</v>
      </c>
      <c r="D20" s="1731"/>
      <c r="E20" s="1730" t="s">
        <v>30</v>
      </c>
      <c r="F20" s="1733"/>
      <c r="G20" s="1730" t="s">
        <v>30</v>
      </c>
      <c r="H20" s="1731"/>
      <c r="I20" s="1730" t="s">
        <v>30</v>
      </c>
      <c r="J20" s="1731"/>
      <c r="K20" s="2476"/>
      <c r="L20" s="3004"/>
      <c r="M20" s="3000"/>
      <c r="N20" s="3000"/>
      <c r="O20" s="3000"/>
      <c r="P20" s="3472"/>
      <c r="Q20" s="2071"/>
      <c r="R20" s="1725"/>
      <c r="S20" s="1726"/>
      <c r="T20" s="1725"/>
      <c r="U20" s="1726"/>
      <c r="V20" s="1725"/>
      <c r="W20" s="1726"/>
      <c r="X20" s="2074"/>
      <c r="Y20" s="3474"/>
      <c r="Z20" s="2078"/>
      <c r="AA20" s="2069">
        <v>1</v>
      </c>
      <c r="AB20" s="2069">
        <v>1</v>
      </c>
      <c r="AC20" s="2069">
        <v>1</v>
      </c>
    </row>
    <row r="21" spans="1:29" ht="15">
      <c r="A21" s="1702"/>
      <c r="B21" s="1750" t="s">
        <v>2364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5">
        <v>2</v>
      </c>
      <c r="L21" s="3004"/>
      <c r="M21" s="3000"/>
      <c r="N21" s="3000"/>
      <c r="O21" s="3000"/>
      <c r="P21" s="3472"/>
      <c r="Q21" s="2071" t="str">
        <f>B21</f>
        <v>基础设施水平</v>
      </c>
      <c r="R21" s="1725" t="s">
        <v>25</v>
      </c>
      <c r="S21" s="1726">
        <f>F21</f>
        <v>100</v>
      </c>
      <c r="T21" s="1725" t="s">
        <v>25</v>
      </c>
      <c r="U21" s="1726">
        <f>H21</f>
        <v>100</v>
      </c>
      <c r="V21" s="1725" t="s">
        <v>25</v>
      </c>
      <c r="W21" s="1726">
        <f>J21</f>
        <v>100</v>
      </c>
      <c r="X21" s="2074"/>
      <c r="Y21" s="3474"/>
      <c r="Z21" s="2078" t="str">
        <f>Q21</f>
        <v>基础设施水平</v>
      </c>
      <c r="AA21" s="2069">
        <f t="shared" ref="AA21" si="8">D21/F21</f>
        <v>1</v>
      </c>
      <c r="AB21" s="2069">
        <f t="shared" ref="AB21" si="9">D21/H21</f>
        <v>1</v>
      </c>
      <c r="AC21" s="2069">
        <f t="shared" ref="AC21" si="10">D21/J21</f>
        <v>1</v>
      </c>
    </row>
    <row r="22" spans="1:29" ht="15">
      <c r="A22" s="1702"/>
      <c r="B22" s="1750"/>
      <c r="C22" s="1744" t="s">
        <v>2904</v>
      </c>
      <c r="D22" s="1731"/>
      <c r="E22" s="1744" t="s">
        <v>2904</v>
      </c>
      <c r="F22" s="1733"/>
      <c r="G22" s="1744" t="s">
        <v>2904</v>
      </c>
      <c r="H22" s="1731"/>
      <c r="I22" s="1744" t="s">
        <v>2904</v>
      </c>
      <c r="J22" s="1731"/>
      <c r="K22" s="2477"/>
      <c r="L22" s="3004"/>
      <c r="M22" s="3000"/>
      <c r="N22" s="3000"/>
      <c r="O22" s="3000"/>
      <c r="P22" s="3472"/>
      <c r="Q22" s="2071"/>
      <c r="R22" s="1725"/>
      <c r="S22" s="1726"/>
      <c r="T22" s="1725"/>
      <c r="U22" s="1726"/>
      <c r="V22" s="1725"/>
      <c r="W22" s="1726"/>
      <c r="X22" s="2074"/>
      <c r="Y22" s="3474"/>
      <c r="Z22" s="2078"/>
      <c r="AA22" s="2069">
        <v>1</v>
      </c>
      <c r="AB22" s="2069">
        <v>1</v>
      </c>
      <c r="AC22" s="2069">
        <v>1</v>
      </c>
    </row>
    <row r="23" spans="1:29" ht="55.2">
      <c r="A23" s="1702"/>
      <c r="B23" s="1737" t="s">
        <v>1715</v>
      </c>
      <c r="C23" s="247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5">
        <v>2</v>
      </c>
      <c r="L23" s="3004"/>
      <c r="M23" s="3000"/>
      <c r="N23" s="3000"/>
      <c r="O23" s="3000"/>
      <c r="P23" s="3472"/>
      <c r="Q23" s="2071" t="str">
        <f>B23</f>
        <v>自然及人文环境</v>
      </c>
      <c r="R23" s="1725" t="s">
        <v>25</v>
      </c>
      <c r="S23" s="1726">
        <f>F23</f>
        <v>100</v>
      </c>
      <c r="T23" s="1725" t="s">
        <v>25</v>
      </c>
      <c r="U23" s="1726">
        <f>H23</f>
        <v>100</v>
      </c>
      <c r="V23" s="1725" t="s">
        <v>25</v>
      </c>
      <c r="W23" s="1726">
        <f>J23</f>
        <v>100</v>
      </c>
      <c r="X23" s="2074"/>
      <c r="Y23" s="3474"/>
      <c r="Z23" s="2078" t="str">
        <f>Q23</f>
        <v>自然及人文环境</v>
      </c>
      <c r="AA23" s="2069">
        <f t="shared" si="3"/>
        <v>1</v>
      </c>
      <c r="AB23" s="2069">
        <f t="shared" si="4"/>
        <v>1</v>
      </c>
      <c r="AC23" s="2069">
        <f t="shared" si="5"/>
        <v>1</v>
      </c>
    </row>
    <row r="24" spans="1:29" ht="15">
      <c r="A24" s="1702"/>
      <c r="B24" s="1743"/>
      <c r="C24" s="1730" t="s">
        <v>31</v>
      </c>
      <c r="D24" s="1731"/>
      <c r="E24" s="1730" t="s">
        <v>31</v>
      </c>
      <c r="F24" s="1733"/>
      <c r="G24" s="1730" t="s">
        <v>31</v>
      </c>
      <c r="H24" s="1731"/>
      <c r="I24" s="1730" t="s">
        <v>31</v>
      </c>
      <c r="J24" s="1731"/>
      <c r="K24" s="2476"/>
      <c r="L24" s="3004"/>
      <c r="M24" s="3000"/>
      <c r="N24" s="3000"/>
      <c r="O24" s="3000"/>
      <c r="P24" s="3472"/>
      <c r="Q24" s="2071"/>
      <c r="R24" s="1725"/>
      <c r="S24" s="1726"/>
      <c r="T24" s="1725"/>
      <c r="U24" s="1726"/>
      <c r="V24" s="1725"/>
      <c r="W24" s="1726"/>
      <c r="X24" s="2074"/>
      <c r="Y24" s="3474"/>
      <c r="Z24" s="2078"/>
      <c r="AA24" s="2069">
        <v>1</v>
      </c>
      <c r="AB24" s="2069">
        <v>1</v>
      </c>
      <c r="AC24" s="2069">
        <v>1</v>
      </c>
    </row>
    <row r="25" spans="1:29" ht="15">
      <c r="A25" s="1702"/>
      <c r="B25" s="1695" t="s">
        <v>2365</v>
      </c>
      <c r="C25" s="1991" t="s">
        <v>2905</v>
      </c>
      <c r="D25" s="1711">
        <v>100</v>
      </c>
      <c r="E25" s="1991" t="s">
        <v>2905</v>
      </c>
      <c r="F25" s="1754">
        <f>SUMIF(86:86,E25,87:87)-SUMIF(86:86,C25,87:87)+100</f>
        <v>100</v>
      </c>
      <c r="G25" s="1991" t="s">
        <v>2905</v>
      </c>
      <c r="H25" s="1711">
        <f>SUMIF(86:86,G25,87:87)-SUMIF(86:86,C25,87:87)+100</f>
        <v>100</v>
      </c>
      <c r="I25" s="1991" t="s">
        <v>2905</v>
      </c>
      <c r="J25" s="1711">
        <f>SUMIF(86:86,I25,87:87)-SUMIF(86:86,C25,87:87)+100</f>
        <v>100</v>
      </c>
      <c r="K25" s="1992">
        <v>3</v>
      </c>
      <c r="L25" s="3004"/>
      <c r="M25" s="3000"/>
      <c r="N25" s="3000"/>
      <c r="O25" s="3000"/>
      <c r="P25" s="3472"/>
      <c r="Q25" s="2071" t="str">
        <f t="shared" ref="Q25:Q46" si="11">B25</f>
        <v>临街状况</v>
      </c>
      <c r="R25" s="1725" t="s">
        <v>25</v>
      </c>
      <c r="S25" s="1726">
        <f>F25</f>
        <v>100</v>
      </c>
      <c r="T25" s="1725" t="s">
        <v>25</v>
      </c>
      <c r="U25" s="1726">
        <f>H25</f>
        <v>100</v>
      </c>
      <c r="V25" s="1725" t="s">
        <v>25</v>
      </c>
      <c r="W25" s="1726">
        <f>J25</f>
        <v>100</v>
      </c>
      <c r="X25" s="2074"/>
      <c r="Y25" s="3474"/>
      <c r="Z25" s="2078" t="str">
        <f>Q25</f>
        <v>临街状况</v>
      </c>
      <c r="AA25" s="2069">
        <f t="shared" si="3"/>
        <v>1</v>
      </c>
      <c r="AB25" s="2069">
        <f t="shared" si="4"/>
        <v>1</v>
      </c>
      <c r="AC25" s="2069">
        <f t="shared" si="5"/>
        <v>1</v>
      </c>
    </row>
    <row r="26" spans="1:29" ht="15">
      <c r="A26" s="1702"/>
      <c r="B26" s="1760" t="s">
        <v>2366</v>
      </c>
      <c r="C26" s="1710"/>
      <c r="D26" s="1711">
        <v>100</v>
      </c>
      <c r="E26" s="1710"/>
      <c r="F26" s="1754">
        <f>SUMIF(88:88,E26,89:89)-SUMIF(88:88,C26,89:89)+100</f>
        <v>100</v>
      </c>
      <c r="G26" s="1710"/>
      <c r="H26" s="1711">
        <f>SUMIF(88:88,G26,89:89)-SUMIF(88:88,C26,89:89)+100</f>
        <v>100</v>
      </c>
      <c r="I26" s="1710"/>
      <c r="J26" s="1711">
        <f>SUMIF(88:88,I26,89:89)-SUMIF(88:88,C26,89:89)+100</f>
        <v>100</v>
      </c>
      <c r="K26" s="1989"/>
      <c r="L26" s="3004"/>
      <c r="M26" s="3000"/>
      <c r="N26" s="3000"/>
      <c r="O26" s="3000"/>
      <c r="P26" s="3472"/>
      <c r="Q26" s="2071" t="str">
        <f t="shared" si="11"/>
        <v>平面位置/可视性</v>
      </c>
      <c r="R26" s="1725" t="s">
        <v>25</v>
      </c>
      <c r="S26" s="1726">
        <f>F26</f>
        <v>100</v>
      </c>
      <c r="T26" s="1725" t="s">
        <v>25</v>
      </c>
      <c r="U26" s="1726">
        <f>H26</f>
        <v>100</v>
      </c>
      <c r="V26" s="1725" t="s">
        <v>25</v>
      </c>
      <c r="W26" s="1726">
        <f>J26</f>
        <v>100</v>
      </c>
      <c r="X26" s="2074"/>
      <c r="Y26" s="3474"/>
      <c r="Z26" s="2078" t="str">
        <f>Q26</f>
        <v>平面位置/可视性</v>
      </c>
      <c r="AA26" s="2069">
        <f t="shared" si="3"/>
        <v>1</v>
      </c>
      <c r="AB26" s="2069">
        <f t="shared" si="4"/>
        <v>1</v>
      </c>
      <c r="AC26" s="2069">
        <f t="shared" si="5"/>
        <v>1</v>
      </c>
    </row>
    <row r="27" spans="1:29" s="1685" customFormat="1" ht="15">
      <c r="A27" s="1705"/>
      <c r="B27" s="1737" t="s">
        <v>2367</v>
      </c>
      <c r="C27" s="2479" t="s">
        <v>31</v>
      </c>
      <c r="D27" s="1756">
        <v>100</v>
      </c>
      <c r="E27" s="2479" t="s">
        <v>30</v>
      </c>
      <c r="F27" s="1758">
        <f>SUMIF(90:90,E27,91:91)-SUMIF(90:90,C27,91:91)+100</f>
        <v>120</v>
      </c>
      <c r="G27" s="2479" t="s">
        <v>30</v>
      </c>
      <c r="H27" s="1756">
        <f>SUMIF(90:90,G27,91:91)-SUMIF(90:90,C27,91:91)+100</f>
        <v>120</v>
      </c>
      <c r="I27" s="2479" t="s">
        <v>30</v>
      </c>
      <c r="J27" s="1756">
        <f>SUMIF(90:90,I27,91:91)-SUMIF(90:90,C27,91:91)+100</f>
        <v>120</v>
      </c>
      <c r="K27" s="1992">
        <v>20</v>
      </c>
      <c r="L27" s="2999"/>
      <c r="M27" s="2972"/>
      <c r="N27" s="2972"/>
      <c r="O27" s="2972"/>
      <c r="P27" s="3472"/>
      <c r="Q27" s="2065" t="str">
        <f t="shared" si="11"/>
        <v>人流量</v>
      </c>
      <c r="R27" s="1681" t="s">
        <v>25</v>
      </c>
      <c r="S27" s="1682">
        <f>F27</f>
        <v>120</v>
      </c>
      <c r="T27" s="1681" t="s">
        <v>25</v>
      </c>
      <c r="U27" s="1682">
        <f>H27</f>
        <v>120</v>
      </c>
      <c r="V27" s="1681" t="s">
        <v>25</v>
      </c>
      <c r="W27" s="1682">
        <f>J27</f>
        <v>120</v>
      </c>
      <c r="X27" s="1683"/>
      <c r="Y27" s="3474"/>
      <c r="Z27" s="1693" t="str">
        <f>Q27</f>
        <v>人流量</v>
      </c>
      <c r="AA27" s="2069">
        <f>D27/F27</f>
        <v>0.83333333333333337</v>
      </c>
      <c r="AB27" s="2069">
        <f>D27/H27</f>
        <v>0.83333333333333337</v>
      </c>
      <c r="AC27" s="2069">
        <f>D27/J27</f>
        <v>0.83333333333333337</v>
      </c>
    </row>
    <row r="28" spans="1:29" ht="15">
      <c r="A28" s="1702"/>
      <c r="B28" s="1695" t="s">
        <v>2368</v>
      </c>
      <c r="C28" s="1991" t="s">
        <v>2908</v>
      </c>
      <c r="D28" s="1711">
        <v>100</v>
      </c>
      <c r="E28" s="1991" t="s">
        <v>2908</v>
      </c>
      <c r="F28" s="1754">
        <f>SUMIF(92:92,E28,93:93)-SUMIF(92:92,C28,93:93)+100</f>
        <v>100</v>
      </c>
      <c r="G28" s="1991" t="s">
        <v>2908</v>
      </c>
      <c r="H28" s="1711">
        <f>SUMIF(92:92,G28,93:93)-SUMIF(92:92,C28,93:93)+100</f>
        <v>100</v>
      </c>
      <c r="I28" s="1991" t="s">
        <v>2908</v>
      </c>
      <c r="J28" s="1711">
        <f>SUMIF(92:92,I28,93:93)-SUMIF(92:92,C28,93:93)+100</f>
        <v>100</v>
      </c>
      <c r="K28" s="1989"/>
      <c r="L28" s="3004"/>
      <c r="M28" s="3000"/>
      <c r="N28" s="3000"/>
      <c r="O28" s="3000"/>
      <c r="P28" s="3472"/>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74"/>
      <c r="Z28" s="2078" t="str">
        <f t="shared" ref="Z28:Z46" si="15">Q28</f>
        <v>楼层</v>
      </c>
      <c r="AA28" s="2069">
        <f t="shared" si="3"/>
        <v>1</v>
      </c>
      <c r="AB28" s="2069">
        <f t="shared" si="4"/>
        <v>1</v>
      </c>
      <c r="AC28" s="2069">
        <f t="shared" si="5"/>
        <v>1</v>
      </c>
    </row>
    <row r="29" spans="1:29" ht="15">
      <c r="A29" s="1702"/>
      <c r="B29" s="3154" t="s">
        <v>2916</v>
      </c>
      <c r="C29" s="3155"/>
      <c r="D29" s="1711">
        <v>100</v>
      </c>
      <c r="E29" s="3155"/>
      <c r="F29" s="1754">
        <f>SUMIF(94:94,E29,95:95)-SUMIF(94:94,C29,95:95)+100</f>
        <v>100</v>
      </c>
      <c r="G29" s="3155"/>
      <c r="H29" s="1711">
        <f>SUMIF(94:94,G29,95:95)-SUMIF(94:94,C29,95:95)+100</f>
        <v>100</v>
      </c>
      <c r="I29" s="3155"/>
      <c r="J29" s="1711">
        <f>SUMIF(94:94,I29,95:95)-SUMIF(94:94,C29,95:95)+100</f>
        <v>100</v>
      </c>
      <c r="K29" s="1989"/>
      <c r="L29" s="3004"/>
      <c r="M29" s="3000"/>
      <c r="N29" s="3000"/>
      <c r="O29" s="3000"/>
      <c r="P29" s="3472"/>
      <c r="Q29" s="2071" t="str">
        <f t="shared" si="11"/>
        <v>临道路级别</v>
      </c>
      <c r="R29" s="1725" t="s">
        <v>25</v>
      </c>
      <c r="S29" s="1726">
        <f t="shared" si="12"/>
        <v>100</v>
      </c>
      <c r="T29" s="1725" t="s">
        <v>25</v>
      </c>
      <c r="U29" s="1726">
        <f t="shared" si="13"/>
        <v>100</v>
      </c>
      <c r="V29" s="1725" t="s">
        <v>25</v>
      </c>
      <c r="W29" s="1726">
        <f t="shared" si="14"/>
        <v>100</v>
      </c>
      <c r="X29" s="2074"/>
      <c r="Y29" s="3474"/>
      <c r="Z29" s="2078" t="str">
        <f t="shared" si="15"/>
        <v>临道路级别</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4"/>
      <c r="M30" s="3000"/>
      <c r="N30" s="3000"/>
      <c r="O30" s="3000"/>
      <c r="P30" s="3472"/>
      <c r="Q30" s="2071">
        <f t="shared" si="11"/>
        <v>111</v>
      </c>
      <c r="R30" s="1725" t="s">
        <v>25</v>
      </c>
      <c r="S30" s="1726">
        <f t="shared" si="12"/>
        <v>100</v>
      </c>
      <c r="T30" s="1725" t="s">
        <v>25</v>
      </c>
      <c r="U30" s="1726">
        <f t="shared" si="13"/>
        <v>100</v>
      </c>
      <c r="V30" s="1725" t="s">
        <v>25</v>
      </c>
      <c r="W30" s="1726">
        <f t="shared" si="14"/>
        <v>100</v>
      </c>
      <c r="X30" s="2074"/>
      <c r="Y30" s="3474"/>
      <c r="Z30" s="2078">
        <f t="shared" si="15"/>
        <v>111</v>
      </c>
      <c r="AA30" s="2069">
        <f t="shared" si="3"/>
        <v>1</v>
      </c>
      <c r="AB30" s="2069">
        <f t="shared" si="4"/>
        <v>1</v>
      </c>
      <c r="AC30" s="2069">
        <f t="shared" si="5"/>
        <v>1</v>
      </c>
    </row>
    <row r="31" spans="1:29" ht="15.6"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4"/>
      <c r="M31" s="3000"/>
      <c r="N31" s="3000"/>
      <c r="O31" s="3000"/>
      <c r="P31" s="3472"/>
      <c r="Q31" s="2071">
        <f t="shared" si="11"/>
        <v>111</v>
      </c>
      <c r="R31" s="1725" t="s">
        <v>25</v>
      </c>
      <c r="S31" s="1726">
        <f t="shared" si="12"/>
        <v>100</v>
      </c>
      <c r="T31" s="1725" t="s">
        <v>25</v>
      </c>
      <c r="U31" s="1726">
        <f t="shared" si="13"/>
        <v>100</v>
      </c>
      <c r="V31" s="1725" t="s">
        <v>25</v>
      </c>
      <c r="W31" s="1726">
        <f t="shared" si="14"/>
        <v>100</v>
      </c>
      <c r="X31" s="2074"/>
      <c r="Y31" s="3474"/>
      <c r="Z31" s="2078">
        <f t="shared" si="15"/>
        <v>111</v>
      </c>
      <c r="AA31" s="2069">
        <f t="shared" si="3"/>
        <v>1</v>
      </c>
      <c r="AB31" s="2069">
        <f t="shared" si="4"/>
        <v>1</v>
      </c>
      <c r="AC31" s="2069">
        <f t="shared" si="5"/>
        <v>1</v>
      </c>
    </row>
    <row r="32" spans="1:29" ht="15">
      <c r="A32" s="1717" t="s">
        <v>2282</v>
      </c>
      <c r="B32" s="1688" t="s">
        <v>2369</v>
      </c>
      <c r="C32" s="1761" t="s">
        <v>2921</v>
      </c>
      <c r="D32" s="1762">
        <v>100</v>
      </c>
      <c r="E32" s="1761" t="s">
        <v>2921</v>
      </c>
      <c r="F32" s="1754">
        <v>100</v>
      </c>
      <c r="G32" s="1761" t="s">
        <v>2921</v>
      </c>
      <c r="H32" s="1711">
        <f>SUMIF(100:100,G32,101:101)-SUMIF(100:100,C32,101:101)+100</f>
        <v>100</v>
      </c>
      <c r="I32" s="1761" t="s">
        <v>2921</v>
      </c>
      <c r="J32" s="1762">
        <f>SUMIF(100:100,I32,101:101)-SUMIF(100:100,C32,101:101)+100</f>
        <v>100</v>
      </c>
      <c r="K32" s="1992">
        <v>0</v>
      </c>
      <c r="L32" s="3004"/>
      <c r="M32" s="3000"/>
      <c r="N32" s="3000"/>
      <c r="O32" s="3000"/>
      <c r="P32" s="3475" t="s">
        <v>2284</v>
      </c>
      <c r="Q32" s="2071" t="str">
        <f t="shared" si="11"/>
        <v>商业类型</v>
      </c>
      <c r="R32" s="1725" t="s">
        <v>25</v>
      </c>
      <c r="S32" s="1726">
        <f t="shared" si="12"/>
        <v>100</v>
      </c>
      <c r="T32" s="1725" t="s">
        <v>25</v>
      </c>
      <c r="U32" s="1726">
        <f t="shared" si="13"/>
        <v>100</v>
      </c>
      <c r="V32" s="1725" t="s">
        <v>25</v>
      </c>
      <c r="W32" s="1726">
        <f t="shared" si="14"/>
        <v>100</v>
      </c>
      <c r="X32" s="2074"/>
      <c r="Y32" s="3478" t="s">
        <v>2284</v>
      </c>
      <c r="Z32" s="2078" t="str">
        <f t="shared" si="15"/>
        <v>商业类型</v>
      </c>
      <c r="AA32" s="2069">
        <f t="shared" si="3"/>
        <v>1</v>
      </c>
      <c r="AB32" s="2069">
        <f t="shared" si="4"/>
        <v>1</v>
      </c>
      <c r="AC32" s="2069">
        <f t="shared" si="5"/>
        <v>1</v>
      </c>
    </row>
    <row r="33" spans="1:29" s="1771" customFormat="1" ht="15">
      <c r="A33" s="1764"/>
      <c r="B33" s="1695" t="s">
        <v>2285</v>
      </c>
      <c r="C33" s="1765"/>
      <c r="D33" s="1697">
        <v>100</v>
      </c>
      <c r="E33" s="1704"/>
      <c r="F33" s="1699">
        <f>LOOKUP(E33,103:103,104:104)-LOOKUP(C33,103:103,104:104)+100</f>
        <v>100</v>
      </c>
      <c r="G33" s="1703"/>
      <c r="H33" s="1697">
        <f>LOOKUP(G33,103:103,104:104)-LOOKUP(C33,103:103,104:104)+100</f>
        <v>100</v>
      </c>
      <c r="I33" s="1703"/>
      <c r="J33" s="1697">
        <f>LOOKUP(I33,103:103,104:104)-LOOKUP(C33,103:103,104:104)+100</f>
        <v>100</v>
      </c>
      <c r="K33" s="1989"/>
      <c r="L33" s="3003"/>
      <c r="M33" s="2059"/>
      <c r="N33" s="2059"/>
      <c r="O33" s="2059"/>
      <c r="P33" s="3476"/>
      <c r="Q33" s="1766" t="str">
        <f t="shared" si="11"/>
        <v>项目建筑规模</v>
      </c>
      <c r="R33" s="1767" t="s">
        <v>25</v>
      </c>
      <c r="S33" s="1768">
        <f t="shared" si="12"/>
        <v>100</v>
      </c>
      <c r="T33" s="1767" t="s">
        <v>25</v>
      </c>
      <c r="U33" s="1768">
        <f t="shared" si="13"/>
        <v>100</v>
      </c>
      <c r="V33" s="1767" t="s">
        <v>25</v>
      </c>
      <c r="W33" s="1768">
        <f t="shared" si="14"/>
        <v>100</v>
      </c>
      <c r="X33" s="1769"/>
      <c r="Y33" s="3478"/>
      <c r="Z33" s="1770" t="str">
        <f t="shared" si="15"/>
        <v>项目建筑规模</v>
      </c>
      <c r="AA33" s="2069">
        <f t="shared" si="3"/>
        <v>1</v>
      </c>
      <c r="AB33" s="2069">
        <f t="shared" si="4"/>
        <v>1</v>
      </c>
      <c r="AC33" s="2069">
        <f t="shared" si="5"/>
        <v>1</v>
      </c>
    </row>
    <row r="34" spans="1:29" ht="15">
      <c r="A34" s="1772"/>
      <c r="B34" s="1695" t="s">
        <v>2286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v>1</v>
      </c>
      <c r="L34" s="3004"/>
      <c r="M34" s="3000"/>
      <c r="N34" s="3000"/>
      <c r="O34" s="3000"/>
      <c r="P34" s="3476"/>
      <c r="Q34" s="2071" t="str">
        <f t="shared" si="11"/>
        <v>建筑结构</v>
      </c>
      <c r="R34" s="1725" t="s">
        <v>25</v>
      </c>
      <c r="S34" s="1726">
        <f t="shared" si="12"/>
        <v>100</v>
      </c>
      <c r="T34" s="1725" t="s">
        <v>25</v>
      </c>
      <c r="U34" s="1726">
        <f t="shared" si="13"/>
        <v>100</v>
      </c>
      <c r="V34" s="1725" t="s">
        <v>25</v>
      </c>
      <c r="W34" s="1726">
        <f t="shared" si="14"/>
        <v>100</v>
      </c>
      <c r="X34" s="2074"/>
      <c r="Y34" s="3478"/>
      <c r="Z34" s="2078" t="str">
        <f t="shared" si="15"/>
        <v>建筑结构</v>
      </c>
      <c r="AA34" s="2069">
        <f t="shared" si="3"/>
        <v>1</v>
      </c>
      <c r="AB34" s="2069">
        <f t="shared" si="4"/>
        <v>1</v>
      </c>
      <c r="AC34" s="2069">
        <f t="shared" si="5"/>
        <v>1</v>
      </c>
    </row>
    <row r="35" spans="1:29" ht="15">
      <c r="A35" s="1772"/>
      <c r="B35" s="1695" t="s">
        <v>2370</v>
      </c>
      <c r="C35" s="1755" t="s">
        <v>2911</v>
      </c>
      <c r="D35" s="1711">
        <v>100</v>
      </c>
      <c r="E35" s="1755" t="s">
        <v>2911</v>
      </c>
      <c r="F35" s="1754">
        <f>SUMIF(107:107,E35,108:108)-SUMIF(107:107,C35,108:108)+100</f>
        <v>100</v>
      </c>
      <c r="G35" s="1755" t="s">
        <v>2911</v>
      </c>
      <c r="H35" s="1711">
        <f>SUMIF(107:107,G35,108:108)-SUMIF(107:107,C35,108:108)+100</f>
        <v>100</v>
      </c>
      <c r="I35" s="1755" t="s">
        <v>2911</v>
      </c>
      <c r="J35" s="1711">
        <f>SUMIF(107:107,I35,108:108)-SUMIF(107:107,C35,108:108)+100</f>
        <v>100</v>
      </c>
      <c r="K35" s="1992">
        <v>1</v>
      </c>
      <c r="L35" s="3004"/>
      <c r="M35" s="3000"/>
      <c r="N35" s="3000"/>
      <c r="O35" s="3000"/>
      <c r="P35" s="3476"/>
      <c r="Q35" s="2071" t="str">
        <f t="shared" si="11"/>
        <v>公共部分装修</v>
      </c>
      <c r="R35" s="1725" t="s">
        <v>25</v>
      </c>
      <c r="S35" s="1726">
        <f t="shared" si="12"/>
        <v>100</v>
      </c>
      <c r="T35" s="1725" t="s">
        <v>25</v>
      </c>
      <c r="U35" s="1726">
        <f t="shared" si="13"/>
        <v>100</v>
      </c>
      <c r="V35" s="1725" t="s">
        <v>25</v>
      </c>
      <c r="W35" s="1726">
        <f t="shared" si="14"/>
        <v>100</v>
      </c>
      <c r="X35" s="2074"/>
      <c r="Y35" s="3478"/>
      <c r="Z35" s="2078" t="str">
        <f t="shared" si="15"/>
        <v>公共部分装修</v>
      </c>
      <c r="AA35" s="2069">
        <f t="shared" si="3"/>
        <v>1</v>
      </c>
      <c r="AB35" s="2069">
        <f t="shared" si="4"/>
        <v>1</v>
      </c>
      <c r="AC35" s="2069">
        <f t="shared" si="5"/>
        <v>1</v>
      </c>
    </row>
    <row r="36" spans="1:29" ht="15">
      <c r="A36" s="1772"/>
      <c r="B36" s="1695" t="s">
        <v>2371</v>
      </c>
      <c r="C36" s="1776">
        <v>1</v>
      </c>
      <c r="D36" s="1711">
        <v>100</v>
      </c>
      <c r="E36" s="1776">
        <v>1</v>
      </c>
      <c r="F36" s="1754">
        <f>LOOKUP(E36,110:110,111:111)-LOOKUP(C36,110:110,111:111)+100</f>
        <v>100</v>
      </c>
      <c r="G36" s="1776">
        <v>1</v>
      </c>
      <c r="H36" s="1754">
        <f>LOOKUP(G36,110:110,111:111)-LOOKUP(C36,110:110,111:111)+100</f>
        <v>100</v>
      </c>
      <c r="I36" s="1776">
        <v>1</v>
      </c>
      <c r="J36" s="1711">
        <f>LOOKUP(I36,110:110,111:111)-LOOKUP(C36,110:110,111:111)+100</f>
        <v>100</v>
      </c>
      <c r="K36" s="1992">
        <v>1</v>
      </c>
      <c r="L36" s="3004"/>
      <c r="M36" s="3000"/>
      <c r="N36" s="3000"/>
      <c r="O36" s="3000"/>
      <c r="P36" s="3476"/>
      <c r="Q36" s="2071" t="str">
        <f t="shared" si="11"/>
        <v>成新度</v>
      </c>
      <c r="R36" s="1725" t="s">
        <v>25</v>
      </c>
      <c r="S36" s="1726">
        <f t="shared" si="12"/>
        <v>100</v>
      </c>
      <c r="T36" s="1725" t="s">
        <v>25</v>
      </c>
      <c r="U36" s="1726">
        <f t="shared" si="13"/>
        <v>100</v>
      </c>
      <c r="V36" s="1725" t="s">
        <v>25</v>
      </c>
      <c r="W36" s="1726">
        <f t="shared" si="14"/>
        <v>100</v>
      </c>
      <c r="X36" s="2074"/>
      <c r="Y36" s="3478"/>
      <c r="Z36" s="2078" t="str">
        <f t="shared" si="15"/>
        <v>成新度</v>
      </c>
      <c r="AA36" s="2069">
        <f t="shared" si="3"/>
        <v>1</v>
      </c>
      <c r="AB36" s="2069">
        <f t="shared" si="4"/>
        <v>1</v>
      </c>
      <c r="AC36" s="2069">
        <f t="shared" si="5"/>
        <v>1</v>
      </c>
    </row>
    <row r="37" spans="1:29" s="1685" customFormat="1" ht="15">
      <c r="A37" s="1775"/>
      <c r="B37" s="1695" t="s">
        <v>2372</v>
      </c>
      <c r="C37" s="1755" t="s">
        <v>3043</v>
      </c>
      <c r="D37" s="1697">
        <v>100</v>
      </c>
      <c r="E37" s="1755" t="s">
        <v>3043</v>
      </c>
      <c r="F37" s="1754">
        <f>SUMIF(112:112,E37,113:113)-SUMIF(112:112,C37,113:113)+100</f>
        <v>100</v>
      </c>
      <c r="G37" s="1755" t="s">
        <v>3043</v>
      </c>
      <c r="H37" s="1711">
        <f>SUMIF(112:112,G37,113:113)-SUMIF(112:112,C37,113:113)+100</f>
        <v>100</v>
      </c>
      <c r="I37" s="1755" t="s">
        <v>3043</v>
      </c>
      <c r="J37" s="1711">
        <f>SUMIF(112:112,I37,113:113)-SUMIF(112:112,C37,113:113)+100</f>
        <v>100</v>
      </c>
      <c r="K37" s="1992">
        <v>1</v>
      </c>
      <c r="L37" s="2999"/>
      <c r="M37" s="2972"/>
      <c r="N37" s="2972"/>
      <c r="O37" s="2972"/>
      <c r="P37" s="3476"/>
      <c r="Q37" s="2065" t="str">
        <f t="shared" si="11"/>
        <v>市政基础设施</v>
      </c>
      <c r="R37" s="1681" t="s">
        <v>25</v>
      </c>
      <c r="S37" s="1682">
        <f t="shared" si="12"/>
        <v>100</v>
      </c>
      <c r="T37" s="1681" t="s">
        <v>25</v>
      </c>
      <c r="U37" s="1682">
        <f t="shared" si="13"/>
        <v>100</v>
      </c>
      <c r="V37" s="1681" t="s">
        <v>25</v>
      </c>
      <c r="W37" s="1682">
        <f t="shared" si="14"/>
        <v>100</v>
      </c>
      <c r="X37" s="1683"/>
      <c r="Y37" s="3478"/>
      <c r="Z37" s="1693" t="str">
        <f t="shared" si="15"/>
        <v>市政基础设施</v>
      </c>
      <c r="AA37" s="1684">
        <f t="shared" si="3"/>
        <v>1</v>
      </c>
      <c r="AB37" s="1684">
        <f t="shared" si="4"/>
        <v>1</v>
      </c>
      <c r="AC37" s="1684">
        <f t="shared" si="5"/>
        <v>1</v>
      </c>
    </row>
    <row r="38" spans="1:29" ht="15">
      <c r="A38" s="1772"/>
      <c r="B38" s="1695" t="s">
        <v>2373</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v>1</v>
      </c>
      <c r="L38" s="3004"/>
      <c r="M38" s="3000"/>
      <c r="N38" s="3000"/>
      <c r="O38" s="3000"/>
      <c r="P38" s="3476" t="s">
        <v>2284</v>
      </c>
      <c r="Q38" s="2071" t="str">
        <f t="shared" si="11"/>
        <v>业态</v>
      </c>
      <c r="R38" s="1725" t="s">
        <v>25</v>
      </c>
      <c r="S38" s="1726">
        <f t="shared" si="12"/>
        <v>100</v>
      </c>
      <c r="T38" s="1725" t="s">
        <v>25</v>
      </c>
      <c r="U38" s="1726">
        <f t="shared" si="13"/>
        <v>100</v>
      </c>
      <c r="V38" s="1725" t="s">
        <v>25</v>
      </c>
      <c r="W38" s="1726">
        <f t="shared" si="14"/>
        <v>100</v>
      </c>
      <c r="X38" s="2074"/>
      <c r="Y38" s="3478" t="s">
        <v>2284</v>
      </c>
      <c r="Z38" s="2078" t="str">
        <f t="shared" si="15"/>
        <v>业态</v>
      </c>
      <c r="AA38" s="2069">
        <f t="shared" si="3"/>
        <v>1</v>
      </c>
      <c r="AB38" s="2069">
        <f t="shared" si="4"/>
        <v>1</v>
      </c>
      <c r="AC38" s="2069">
        <f t="shared" si="5"/>
        <v>1</v>
      </c>
    </row>
    <row r="39" spans="1:29" ht="15">
      <c r="A39" s="1772"/>
      <c r="B39" s="1695" t="s">
        <v>2374</v>
      </c>
      <c r="C39" s="1755" t="s">
        <v>2914</v>
      </c>
      <c r="D39" s="1711">
        <v>100</v>
      </c>
      <c r="E39" s="1755" t="s">
        <v>2914</v>
      </c>
      <c r="F39" s="1754">
        <f>SUMIF(116:116,E39,117:117)-SUMIF(116:116,C39,117:117)+100</f>
        <v>100</v>
      </c>
      <c r="G39" s="1755" t="s">
        <v>2914</v>
      </c>
      <c r="H39" s="1711">
        <f>SUMIF(116:116,G39,117:117)-SUMIF(116:116,C39,117:117)+100</f>
        <v>100</v>
      </c>
      <c r="I39" s="1755" t="s">
        <v>2914</v>
      </c>
      <c r="J39" s="1711">
        <f>SUMIF(116:116,I39,117:117)-SUMIF(116:116,C39,117:117)+100</f>
        <v>100</v>
      </c>
      <c r="K39" s="1992">
        <v>1</v>
      </c>
      <c r="L39" s="3004"/>
      <c r="M39" s="3000"/>
      <c r="N39" s="3000"/>
      <c r="O39" s="3000"/>
      <c r="P39" s="3476"/>
      <c r="Q39" s="2071" t="str">
        <f t="shared" si="11"/>
        <v>层高</v>
      </c>
      <c r="R39" s="1725" t="s">
        <v>25</v>
      </c>
      <c r="S39" s="1726">
        <f t="shared" si="12"/>
        <v>100</v>
      </c>
      <c r="T39" s="1725" t="s">
        <v>25</v>
      </c>
      <c r="U39" s="1726">
        <f t="shared" si="13"/>
        <v>100</v>
      </c>
      <c r="V39" s="1725" t="s">
        <v>25</v>
      </c>
      <c r="W39" s="1726">
        <f t="shared" si="14"/>
        <v>100</v>
      </c>
      <c r="X39" s="2074"/>
      <c r="Y39" s="3478"/>
      <c r="Z39" s="2078" t="str">
        <f t="shared" si="15"/>
        <v>层高</v>
      </c>
      <c r="AA39" s="2069">
        <f t="shared" si="3"/>
        <v>1</v>
      </c>
      <c r="AB39" s="2069">
        <f t="shared" si="4"/>
        <v>1</v>
      </c>
      <c r="AC39" s="2069">
        <f t="shared" si="5"/>
        <v>1</v>
      </c>
    </row>
    <row r="40" spans="1:29" ht="15">
      <c r="A40" s="1772"/>
      <c r="B40" s="1695" t="s">
        <v>2375</v>
      </c>
      <c r="C40" s="2480"/>
      <c r="D40" s="1711">
        <v>100</v>
      </c>
      <c r="E40" s="2481"/>
      <c r="F40" s="1754">
        <f>SUMIF(118:118,E40,119:119)-SUMIF(118:118,C40,119:119)+100</f>
        <v>100</v>
      </c>
      <c r="G40" s="2481"/>
      <c r="H40" s="1711">
        <f>SUMIF(118:118,G40,119:119)-SUMIF(118:118,C40,119:119)+100</f>
        <v>100</v>
      </c>
      <c r="I40" s="2481"/>
      <c r="J40" s="1711">
        <f>SUMIF(118:118,I40,119:119)-SUMIF(118:118,C40,119:119)+100</f>
        <v>100</v>
      </c>
      <c r="K40" s="1989"/>
      <c r="L40" s="3004"/>
      <c r="M40" s="3000"/>
      <c r="N40" s="3000"/>
      <c r="O40" s="3000"/>
      <c r="P40" s="3476"/>
      <c r="Q40" s="2071" t="str">
        <f t="shared" si="11"/>
        <v>单套建筑面积</v>
      </c>
      <c r="R40" s="1725" t="s">
        <v>25</v>
      </c>
      <c r="S40" s="1726">
        <f t="shared" si="12"/>
        <v>100</v>
      </c>
      <c r="T40" s="1725" t="s">
        <v>25</v>
      </c>
      <c r="U40" s="1726">
        <f t="shared" si="13"/>
        <v>100</v>
      </c>
      <c r="V40" s="1725" t="s">
        <v>25</v>
      </c>
      <c r="W40" s="1726">
        <f t="shared" si="14"/>
        <v>100</v>
      </c>
      <c r="X40" s="2074"/>
      <c r="Y40" s="3478"/>
      <c r="Z40" s="2078" t="str">
        <f t="shared" si="15"/>
        <v>单套建筑面积</v>
      </c>
      <c r="AA40" s="2069">
        <f t="shared" si="3"/>
        <v>1</v>
      </c>
      <c r="AB40" s="2069">
        <f t="shared" si="4"/>
        <v>1</v>
      </c>
      <c r="AC40" s="2069">
        <f t="shared" si="5"/>
        <v>1</v>
      </c>
    </row>
    <row r="41" spans="1:29" s="1771" customFormat="1" ht="15">
      <c r="A41" s="1764"/>
      <c r="B41" s="2070" t="s">
        <v>2376</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3"/>
      <c r="M41" s="2059"/>
      <c r="N41" s="2059"/>
      <c r="O41" s="2059"/>
      <c r="P41" s="3476"/>
      <c r="Q41" s="1766" t="str">
        <f t="shared" si="11"/>
        <v>进深比</v>
      </c>
      <c r="R41" s="1767" t="s">
        <v>25</v>
      </c>
      <c r="S41" s="1768">
        <f t="shared" si="12"/>
        <v>100</v>
      </c>
      <c r="T41" s="1767" t="s">
        <v>25</v>
      </c>
      <c r="U41" s="1768">
        <f t="shared" si="13"/>
        <v>100</v>
      </c>
      <c r="V41" s="1767" t="s">
        <v>25</v>
      </c>
      <c r="W41" s="1768">
        <f t="shared" si="14"/>
        <v>100</v>
      </c>
      <c r="X41" s="1769"/>
      <c r="Y41" s="3478"/>
      <c r="Z41" s="1770" t="str">
        <f t="shared" si="15"/>
        <v>进深比</v>
      </c>
      <c r="AA41" s="2069">
        <f t="shared" si="3"/>
        <v>1</v>
      </c>
      <c r="AB41" s="2069">
        <f t="shared" si="4"/>
        <v>1</v>
      </c>
      <c r="AC41" s="2069">
        <f t="shared" si="5"/>
        <v>1</v>
      </c>
    </row>
    <row r="42" spans="1:29" ht="15">
      <c r="A42" s="1772"/>
      <c r="B42" s="1695" t="s">
        <v>2377</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4"/>
      <c r="M42" s="3000"/>
      <c r="N42" s="3000"/>
      <c r="O42" s="3000"/>
      <c r="P42" s="3476"/>
      <c r="Q42" s="2071" t="str">
        <f t="shared" si="11"/>
        <v>内部装修</v>
      </c>
      <c r="R42" s="1725" t="s">
        <v>25</v>
      </c>
      <c r="S42" s="1726">
        <f t="shared" si="12"/>
        <v>100</v>
      </c>
      <c r="T42" s="1725" t="s">
        <v>25</v>
      </c>
      <c r="U42" s="1726">
        <f t="shared" si="13"/>
        <v>100</v>
      </c>
      <c r="V42" s="1725" t="s">
        <v>25</v>
      </c>
      <c r="W42" s="1726">
        <f t="shared" si="14"/>
        <v>100</v>
      </c>
      <c r="X42" s="2074"/>
      <c r="Y42" s="3478"/>
      <c r="Z42" s="2078" t="str">
        <f t="shared" si="15"/>
        <v>内部装修</v>
      </c>
      <c r="AA42" s="2069">
        <f t="shared" si="3"/>
        <v>1</v>
      </c>
      <c r="AB42" s="2069">
        <f t="shared" si="4"/>
        <v>1</v>
      </c>
      <c r="AC42" s="2069">
        <f t="shared" si="5"/>
        <v>1</v>
      </c>
    </row>
    <row r="43" spans="1:29" ht="28.8">
      <c r="A43" s="1772"/>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4"/>
      <c r="M43" s="3000"/>
      <c r="N43" s="3000"/>
      <c r="O43" s="3000"/>
      <c r="P43" s="3476"/>
      <c r="Q43" s="2071" t="str">
        <f t="shared" si="11"/>
        <v>内部装修维护情况</v>
      </c>
      <c r="R43" s="1725" t="s">
        <v>25</v>
      </c>
      <c r="S43" s="1726">
        <f t="shared" si="12"/>
        <v>100</v>
      </c>
      <c r="T43" s="1725" t="s">
        <v>25</v>
      </c>
      <c r="U43" s="1726">
        <f t="shared" si="13"/>
        <v>100</v>
      </c>
      <c r="V43" s="1725" t="s">
        <v>25</v>
      </c>
      <c r="W43" s="1726">
        <f t="shared" si="14"/>
        <v>100</v>
      </c>
      <c r="X43" s="2074"/>
      <c r="Y43" s="3478"/>
      <c r="Z43" s="2078" t="str">
        <f t="shared" si="15"/>
        <v>内部装修维护情况</v>
      </c>
      <c r="AA43" s="2069">
        <f t="shared" si="3"/>
        <v>1</v>
      </c>
      <c r="AB43" s="2069">
        <f t="shared" si="4"/>
        <v>1</v>
      </c>
      <c r="AC43" s="2069">
        <f t="shared" si="5"/>
        <v>1</v>
      </c>
    </row>
    <row r="44" spans="1:29" s="1685"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9"/>
      <c r="M44" s="2972"/>
      <c r="N44" s="2972"/>
      <c r="O44" s="2972"/>
      <c r="P44" s="3476"/>
      <c r="Q44" s="2065">
        <f t="shared" si="11"/>
        <v>111</v>
      </c>
      <c r="R44" s="1681" t="s">
        <v>25</v>
      </c>
      <c r="S44" s="1682">
        <f t="shared" si="12"/>
        <v>100</v>
      </c>
      <c r="T44" s="1681" t="s">
        <v>25</v>
      </c>
      <c r="U44" s="1682">
        <f t="shared" si="13"/>
        <v>100</v>
      </c>
      <c r="V44" s="1681" t="s">
        <v>25</v>
      </c>
      <c r="W44" s="1682">
        <f t="shared" si="14"/>
        <v>100</v>
      </c>
      <c r="X44" s="1683"/>
      <c r="Y44" s="3478"/>
      <c r="Z44" s="1693">
        <f t="shared" si="15"/>
        <v>111</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4"/>
      <c r="M45" s="3000"/>
      <c r="N45" s="3000"/>
      <c r="O45" s="3000"/>
      <c r="P45" s="3476"/>
      <c r="Q45" s="2071">
        <f t="shared" si="11"/>
        <v>111</v>
      </c>
      <c r="R45" s="1725" t="s">
        <v>25</v>
      </c>
      <c r="S45" s="1726">
        <f t="shared" si="12"/>
        <v>100</v>
      </c>
      <c r="T45" s="1725" t="s">
        <v>25</v>
      </c>
      <c r="U45" s="1726">
        <f t="shared" si="13"/>
        <v>100</v>
      </c>
      <c r="V45" s="1725" t="s">
        <v>25</v>
      </c>
      <c r="W45" s="1726">
        <f t="shared" si="14"/>
        <v>100</v>
      </c>
      <c r="X45" s="2074"/>
      <c r="Y45" s="3478"/>
      <c r="Z45" s="2078">
        <f t="shared" si="15"/>
        <v>111</v>
      </c>
      <c r="AA45" s="2069">
        <f t="shared" si="3"/>
        <v>1</v>
      </c>
      <c r="AB45" s="2069">
        <f t="shared" si="4"/>
        <v>1</v>
      </c>
      <c r="AC45" s="2069">
        <f t="shared" si="5"/>
        <v>1</v>
      </c>
    </row>
    <row r="46" spans="1:29" ht="15.6"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4"/>
      <c r="M46" s="3000"/>
      <c r="N46" s="3000"/>
      <c r="O46" s="3000"/>
      <c r="P46" s="3477"/>
      <c r="Q46" s="2071">
        <f t="shared" si="11"/>
        <v>111</v>
      </c>
      <c r="R46" s="1725" t="s">
        <v>25</v>
      </c>
      <c r="S46" s="1726">
        <f t="shared" si="12"/>
        <v>100</v>
      </c>
      <c r="T46" s="1725" t="s">
        <v>25</v>
      </c>
      <c r="U46" s="1726">
        <f t="shared" si="13"/>
        <v>100</v>
      </c>
      <c r="V46" s="1725" t="s">
        <v>25</v>
      </c>
      <c r="W46" s="1726">
        <f t="shared" si="14"/>
        <v>100</v>
      </c>
      <c r="X46" s="2074"/>
      <c r="Y46" s="3479"/>
      <c r="Z46" s="2078">
        <f t="shared" si="15"/>
        <v>111</v>
      </c>
      <c r="AA46" s="2069">
        <f t="shared" si="3"/>
        <v>1</v>
      </c>
      <c r="AB46" s="2069">
        <f t="shared" si="4"/>
        <v>1</v>
      </c>
      <c r="AC46" s="2069">
        <f t="shared" si="5"/>
        <v>1</v>
      </c>
    </row>
    <row r="47" spans="1:29" ht="14.4">
      <c r="A47" s="1781" t="s">
        <v>2296</v>
      </c>
      <c r="B47" s="1782"/>
      <c r="C47" s="1783" t="s">
        <v>1</v>
      </c>
      <c r="D47" s="1784"/>
      <c r="E47" s="1785">
        <v>8</v>
      </c>
      <c r="F47" s="1786"/>
      <c r="G47" s="1787">
        <v>7.58</v>
      </c>
      <c r="H47" s="1788"/>
      <c r="I47" s="1785">
        <v>7</v>
      </c>
      <c r="J47" s="1788"/>
      <c r="K47" s="2013"/>
      <c r="L47" s="3005"/>
      <c r="N47" s="3000"/>
      <c r="P47" s="3470" t="str">
        <f>A47</f>
        <v>成交单价（元/平方米）</v>
      </c>
      <c r="Q47" s="3470"/>
      <c r="R47" s="3466">
        <f>E47</f>
        <v>8</v>
      </c>
      <c r="S47" s="3466"/>
      <c r="T47" s="3466">
        <f>G47</f>
        <v>7.58</v>
      </c>
      <c r="U47" s="3466"/>
      <c r="V47" s="3466">
        <f>I47</f>
        <v>7</v>
      </c>
      <c r="W47" s="3466"/>
      <c r="X47" s="1791"/>
      <c r="Y47" s="2073"/>
      <c r="Z47" s="1791"/>
      <c r="AA47" s="1791"/>
      <c r="AB47" s="1791"/>
      <c r="AC47" s="1791"/>
    </row>
    <row r="48" spans="1:29" ht="15" thickBot="1">
      <c r="A48" s="1793" t="s">
        <v>2378</v>
      </c>
      <c r="B48" s="1794"/>
      <c r="C48" s="1795">
        <f>R49</f>
        <v>5.98</v>
      </c>
      <c r="D48" s="1796" t="s">
        <v>2753</v>
      </c>
      <c r="E48" s="1797">
        <f>R48</f>
        <v>6.35</v>
      </c>
      <c r="F48" s="1798"/>
      <c r="G48" s="1795">
        <f>T48</f>
        <v>6.02</v>
      </c>
      <c r="H48" s="1798"/>
      <c r="I48" s="1797">
        <f>V48</f>
        <v>5.56</v>
      </c>
      <c r="J48" s="1798"/>
      <c r="K48" s="2513">
        <f>F48+H48+J48</f>
        <v>0</v>
      </c>
      <c r="L48" s="3005"/>
      <c r="N48" s="3000"/>
      <c r="P48" s="3470" t="str">
        <f>A48</f>
        <v>比较价值（元/平方米）</v>
      </c>
      <c r="Q48" s="3470"/>
      <c r="R48" s="3466">
        <f>IF(E1="售价",ROUND(PRODUCT(R47,AA7:AA46),0),ROUND(PRODUCT(R47,AA7:AA46),2))</f>
        <v>6.35</v>
      </c>
      <c r="S48" s="3466"/>
      <c r="T48" s="3466">
        <f>IF(E1="售价",ROUND(PRODUCT(T47,AB7:AB46),0),ROUND(PRODUCT(T47,AB7:AB46),2))</f>
        <v>6.02</v>
      </c>
      <c r="U48" s="3466"/>
      <c r="V48" s="3466">
        <f>IF(E1="售价",ROUND(PRODUCT(V47,AC7:AC46),0),ROUND(PRODUCT(V47,AC7:AC46),2))</f>
        <v>5.56</v>
      </c>
      <c r="W48" s="3466"/>
      <c r="X48" s="1791"/>
      <c r="Y48" s="1791"/>
      <c r="Z48" s="1791"/>
      <c r="AA48" s="1791"/>
      <c r="AB48" s="1791"/>
      <c r="AC48" s="1791"/>
    </row>
    <row r="49" spans="1:29" ht="15" thickBot="1">
      <c r="A49" s="1799" t="s">
        <v>2379</v>
      </c>
      <c r="B49" s="1800"/>
      <c r="C49" s="1802">
        <f>R49</f>
        <v>5.98</v>
      </c>
      <c r="D49" s="1802"/>
      <c r="E49" s="1802"/>
      <c r="F49" s="1802"/>
      <c r="G49" s="1802"/>
      <c r="H49" s="1802"/>
      <c r="I49" s="1802"/>
      <c r="J49" s="1802"/>
      <c r="K49" s="2018"/>
      <c r="L49" s="3005"/>
      <c r="N49" s="3000"/>
      <c r="P49" s="3467" t="str">
        <f>A49</f>
        <v>估价对象XX用房的比较价值（楼面单价，元/平方米）</v>
      </c>
      <c r="Q49" s="3468"/>
      <c r="R49" s="3469">
        <f>IF(E1="售价",ROUND(IF(D48="简单平均",AVERAGE(R48:V48),R48*F48+T48*H48+V48*J48),0),ROUND(IF(D48="简单平均",AVERAGE(R48:V48),R48*F48+T48*H48+V48*J48),2))</f>
        <v>5.98</v>
      </c>
      <c r="S49" s="3469"/>
      <c r="T49" s="3469"/>
      <c r="U49" s="3469"/>
      <c r="V49" s="3469"/>
      <c r="W49" s="3469"/>
      <c r="X49" s="1791"/>
      <c r="Y49" s="1791"/>
      <c r="Z49" s="1791"/>
      <c r="AA49" s="1791"/>
      <c r="AB49" s="1791"/>
      <c r="AC49" s="1791"/>
    </row>
    <row r="50" spans="1:29">
      <c r="C50" s="1667">
        <f>C49*0.9</f>
        <v>5.3820000000000006</v>
      </c>
      <c r="D50" s="1667">
        <f>C49*1.1</f>
        <v>6.5780000000000012</v>
      </c>
      <c r="G50" s="3009"/>
      <c r="P50" s="2482"/>
      <c r="Q50" s="1790"/>
      <c r="R50" s="1790"/>
      <c r="S50" s="1790"/>
      <c r="T50" s="1790"/>
      <c r="U50" s="1790"/>
      <c r="V50" s="1790"/>
      <c r="W50" s="1790"/>
      <c r="X50" s="1790"/>
      <c r="Y50" s="1790"/>
      <c r="Z50" s="1790"/>
      <c r="AA50" s="1790"/>
      <c r="AB50" s="1790"/>
      <c r="AC50" s="1790"/>
    </row>
    <row r="51" spans="1:29">
      <c r="P51" s="2482"/>
      <c r="Q51" s="1790"/>
      <c r="R51" s="1790"/>
      <c r="S51" s="1790"/>
      <c r="T51" s="1790"/>
      <c r="U51" s="1790"/>
      <c r="V51" s="1790"/>
      <c r="W51" s="1790"/>
      <c r="X51" s="1790"/>
      <c r="Y51" s="1790"/>
      <c r="Z51" s="1790"/>
      <c r="AA51" s="1790"/>
      <c r="AB51" s="1790"/>
      <c r="AC51" s="1790"/>
    </row>
    <row r="52" spans="1:29" ht="13.5" customHeight="1">
      <c r="C52" s="383" t="s">
        <v>2380</v>
      </c>
      <c r="D52" s="1807"/>
      <c r="E52" s="1808">
        <f>IF(E47&lt;E48,E48/E47-1,E47/E48-1)</f>
        <v>0.25984251968503935</v>
      </c>
      <c r="F52" s="1809" t="str">
        <f>IF(OR(E52&gt;=0.3,E52&lt;=-0.3),"超过30%","")</f>
        <v/>
      </c>
      <c r="G52" s="1808">
        <f>IF(G47&lt;G48,G48/G47-1,G47/G48-1)</f>
        <v>0.25913621262458486</v>
      </c>
      <c r="H52" s="1809" t="str">
        <f>IF(OR(G52&gt;=0.3,G52&lt;=-0.3),"超过30%","")</f>
        <v/>
      </c>
      <c r="I52" s="1808">
        <f>IF(I47&lt;I48,I48/I47-1,I47/I48-1)</f>
        <v>0.25899280575539585</v>
      </c>
      <c r="J52" s="1809" t="str">
        <f>IF(OR(I52&gt;=0.3,I52&lt;=-0.3),"超过30%","")</f>
        <v/>
      </c>
      <c r="P52" s="2482"/>
      <c r="Q52" s="1790"/>
      <c r="R52" s="1790"/>
      <c r="S52" s="1790"/>
      <c r="T52" s="1790"/>
      <c r="U52" s="1790"/>
      <c r="V52" s="1790"/>
      <c r="W52" s="1790"/>
      <c r="X52" s="1790"/>
      <c r="Y52" s="1790"/>
      <c r="Z52" s="1790"/>
      <c r="AA52" s="1790"/>
      <c r="AB52" s="1790"/>
      <c r="AC52" s="1790"/>
    </row>
    <row r="53" spans="1:29" ht="13.5" customHeight="1">
      <c r="C53" s="383" t="s">
        <v>2381</v>
      </c>
      <c r="D53" s="1810"/>
      <c r="E53" s="1808">
        <f>IF(E48&lt;G48,G48/E48-1,E48/G48-1)</f>
        <v>5.4817275747508276E-2</v>
      </c>
      <c r="F53" s="1809" t="str">
        <f>IF(OR(E53&gt;=0.2,E53&lt;=-0.2),"超过20%","")</f>
        <v/>
      </c>
      <c r="G53" s="1808">
        <f>IF(G48&lt;I48,I48/G48-1,G48/I48-1)</f>
        <v>8.2733812949640217E-2</v>
      </c>
      <c r="H53" s="1809" t="str">
        <f>IF(OR(G53&gt;=0.2,G53&lt;=-0.2),"超过20%","")</f>
        <v/>
      </c>
      <c r="I53" s="1808">
        <f>IF(I48&lt;E48,E48/I48-1,I48/E48-1)</f>
        <v>0.1420863309352518</v>
      </c>
      <c r="J53" s="1809" t="str">
        <f>IF(OR(I53&gt;=0.2,I53&lt;=-0.2),"超过20%","")</f>
        <v/>
      </c>
      <c r="P53" s="2482"/>
      <c r="Q53" s="1790"/>
      <c r="R53" s="1790"/>
      <c r="S53" s="1790"/>
      <c r="T53" s="1790"/>
      <c r="U53" s="1790"/>
      <c r="V53" s="1790"/>
      <c r="W53" s="1790"/>
      <c r="X53" s="1790"/>
      <c r="Y53" s="1790"/>
      <c r="Z53" s="1790"/>
      <c r="AA53" s="1790"/>
      <c r="AB53" s="1790"/>
      <c r="AC53" s="1790"/>
    </row>
    <row r="54" spans="1:29" s="1813" customFormat="1" ht="13.5" customHeight="1">
      <c r="C54" s="383" t="s">
        <v>2382</v>
      </c>
      <c r="D54" s="1810"/>
      <c r="E54" s="1808">
        <f>IF(E47&lt;G47,G47/E47-1,E47/G47-1)</f>
        <v>5.5408970976253302E-2</v>
      </c>
      <c r="F54" s="1809" t="str">
        <f>IF(OR(E54&gt;=0.3,E54&lt;=-0.3),"超过30%","")</f>
        <v/>
      </c>
      <c r="G54" s="1808">
        <f>IF(G47&lt;I47,I47/G47-1,G47/I47-1)</f>
        <v>8.2857142857142962E-2</v>
      </c>
      <c r="H54" s="1809" t="str">
        <f>IF(OR(G54&gt;=0.3,G54&lt;=-0.3),"超过30%","")</f>
        <v/>
      </c>
      <c r="I54" s="1808">
        <f>IF(I47&lt;E47,E47/I47-1,I47/E47-1)</f>
        <v>0.14285714285714279</v>
      </c>
      <c r="J54" s="1809" t="str">
        <f>IF(OR(I54&gt;=0.3,I54&lt;=-0.3),"超过30%","")</f>
        <v/>
      </c>
      <c r="K54" s="3012"/>
      <c r="L54" s="3006"/>
      <c r="P54" s="2483"/>
      <c r="Q54" s="1811"/>
      <c r="R54" s="1811"/>
      <c r="S54" s="1811"/>
      <c r="T54" s="1811"/>
      <c r="U54" s="1811"/>
      <c r="V54" s="1811"/>
      <c r="W54" s="1811"/>
      <c r="X54" s="1811"/>
      <c r="Y54" s="1811"/>
      <c r="Z54" s="1811"/>
      <c r="AA54" s="1811"/>
      <c r="AB54" s="1811"/>
      <c r="AC54" s="1811"/>
    </row>
    <row r="55" spans="1:29" s="1813" customFormat="1">
      <c r="B55" s="3010"/>
      <c r="C55" s="3011"/>
      <c r="K55" s="3012"/>
      <c r="L55" s="3006"/>
      <c r="P55" s="2483"/>
      <c r="Q55" s="1811"/>
      <c r="R55" s="1811"/>
      <c r="S55" s="1811"/>
      <c r="T55" s="1811"/>
      <c r="U55" s="1811"/>
      <c r="V55" s="1811"/>
      <c r="W55" s="1811"/>
      <c r="X55" s="1811"/>
      <c r="Y55" s="1811"/>
      <c r="Z55" s="1811"/>
      <c r="AA55" s="1811"/>
      <c r="AB55" s="1811"/>
      <c r="AC55" s="1811"/>
    </row>
    <row r="56" spans="1:29">
      <c r="B56" s="3010"/>
      <c r="C56" s="3011"/>
      <c r="P56" s="2482"/>
      <c r="Q56" s="1790"/>
      <c r="R56" s="1790"/>
      <c r="S56" s="1790"/>
      <c r="T56" s="1790"/>
      <c r="U56" s="1790"/>
      <c r="V56" s="1790"/>
      <c r="W56" s="1790"/>
      <c r="X56" s="1790"/>
      <c r="Y56" s="1790"/>
      <c r="Z56" s="1790"/>
      <c r="AA56" s="1790"/>
      <c r="AB56" s="1790"/>
      <c r="AC56" s="1790"/>
    </row>
    <row r="57" spans="1:29" ht="22.2" thickBot="1">
      <c r="A57" s="1816" t="s">
        <v>2383</v>
      </c>
      <c r="B57" s="1791"/>
      <c r="C57" s="1817"/>
      <c r="D57" s="1817"/>
      <c r="E57" s="1817"/>
      <c r="F57" s="1817"/>
      <c r="G57" s="1817"/>
      <c r="H57" s="1817"/>
      <c r="I57" s="1817"/>
      <c r="J57" s="1817"/>
      <c r="K57" s="1818"/>
      <c r="L57" s="2044"/>
      <c r="M57" s="2042"/>
      <c r="N57" s="3008"/>
      <c r="O57" s="3008"/>
      <c r="P57" s="2484"/>
      <c r="Q57" s="2485"/>
      <c r="R57" s="1790"/>
      <c r="S57" s="1790"/>
      <c r="T57" s="1790"/>
      <c r="U57" s="1790"/>
      <c r="V57" s="1790"/>
      <c r="W57" s="1790"/>
      <c r="X57" s="1790"/>
      <c r="Y57" s="1790"/>
      <c r="Z57" s="1790"/>
      <c r="AA57" s="1790"/>
      <c r="AB57" s="1790"/>
      <c r="AC57" s="1790"/>
    </row>
    <row r="58" spans="1:29" s="1827" customFormat="1" ht="14.4">
      <c r="A58" s="1822" t="s">
        <v>2266</v>
      </c>
      <c r="B58" s="1823"/>
      <c r="C58" s="1824" t="str">
        <f>YEAR(C7)&amp;"-"&amp;MONTH(C7)</f>
        <v>2024-9</v>
      </c>
      <c r="D58" s="1825">
        <f>EDATE(C58,-1)</f>
        <v>45505</v>
      </c>
      <c r="E58" s="1825">
        <f t="shared" ref="E58:O58" si="16">EDATE(D58,-1)</f>
        <v>45474</v>
      </c>
      <c r="F58" s="1825">
        <f t="shared" si="16"/>
        <v>45444</v>
      </c>
      <c r="G58" s="1825">
        <f t="shared" si="16"/>
        <v>45413</v>
      </c>
      <c r="H58" s="1825">
        <f t="shared" si="16"/>
        <v>45383</v>
      </c>
      <c r="I58" s="1825">
        <f t="shared" si="16"/>
        <v>45352</v>
      </c>
      <c r="J58" s="1825">
        <f t="shared" si="16"/>
        <v>45323</v>
      </c>
      <c r="K58" s="1825">
        <f t="shared" si="16"/>
        <v>45292</v>
      </c>
      <c r="L58" s="1825">
        <f t="shared" si="16"/>
        <v>45261</v>
      </c>
      <c r="M58" s="1825">
        <f t="shared" si="16"/>
        <v>45231</v>
      </c>
      <c r="N58" s="1825">
        <f t="shared" si="16"/>
        <v>45200</v>
      </c>
      <c r="O58" s="1825">
        <f t="shared" si="16"/>
        <v>45170</v>
      </c>
      <c r="P58" s="1826"/>
    </row>
    <row r="59" spans="1:29" s="1685" customFormat="1">
      <c r="A59" s="1828"/>
      <c r="B59" s="1829"/>
      <c r="C59" s="1830">
        <v>100</v>
      </c>
      <c r="D59" s="1831"/>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2268</v>
      </c>
      <c r="B61" s="1829"/>
      <c r="C61" s="1840" t="s">
        <v>2269</v>
      </c>
      <c r="D61" s="409"/>
      <c r="E61" s="409"/>
      <c r="F61" s="409"/>
      <c r="G61" s="409"/>
      <c r="H61" s="409"/>
      <c r="I61" s="409"/>
      <c r="J61" s="409"/>
      <c r="K61" s="409"/>
      <c r="L61" s="409"/>
      <c r="M61" s="1841"/>
      <c r="N61" s="3017"/>
      <c r="O61" s="3017"/>
      <c r="P61" s="1843"/>
      <c r="Q61" s="1821"/>
    </row>
    <row r="62" spans="1:29" s="1685" customFormat="1" ht="14.4" thickBot="1">
      <c r="A62" s="1839"/>
      <c r="B62" s="1829"/>
      <c r="C62" s="1844">
        <v>100</v>
      </c>
      <c r="D62" s="1831"/>
      <c r="E62" s="1831"/>
      <c r="F62" s="1831"/>
      <c r="G62" s="1831"/>
      <c r="H62" s="1831"/>
      <c r="I62" s="1831"/>
      <c r="J62" s="1831"/>
      <c r="K62" s="1831"/>
      <c r="L62" s="1831"/>
      <c r="M62" s="1845"/>
      <c r="N62" s="3017"/>
      <c r="O62" s="3017"/>
      <c r="P62" s="1833"/>
      <c r="Q62" s="1821"/>
    </row>
    <row r="63" spans="1:29" ht="14.4">
      <c r="A63" s="1846" t="s">
        <v>2306</v>
      </c>
      <c r="B63" s="1847" t="s">
        <v>2272</v>
      </c>
      <c r="C63" s="1848" t="str">
        <f>C9</f>
        <v>商业</v>
      </c>
      <c r="D63" s="1849"/>
      <c r="E63" s="1849"/>
      <c r="F63" s="1849"/>
      <c r="G63" s="1849"/>
      <c r="H63" s="1849"/>
      <c r="I63" s="1849"/>
      <c r="J63" s="1849"/>
      <c r="K63" s="417"/>
      <c r="L63" s="417"/>
      <c r="M63" s="1850"/>
      <c r="N63" s="3018"/>
      <c r="O63" s="3018"/>
      <c r="P63" s="1852"/>
      <c r="Q63" s="1821"/>
    </row>
    <row r="64" spans="1:29" ht="14.4" thickBot="1">
      <c r="A64" s="1853"/>
      <c r="B64" s="1854"/>
      <c r="C64" s="1855">
        <v>100</v>
      </c>
      <c r="D64" s="1855"/>
      <c r="E64" s="1855"/>
      <c r="F64" s="1855"/>
      <c r="G64" s="1855"/>
      <c r="H64" s="1855"/>
      <c r="I64" s="1855"/>
      <c r="J64" s="1855"/>
      <c r="K64" s="1855"/>
      <c r="L64" s="1855"/>
      <c r="M64" s="1856"/>
      <c r="N64" s="3019"/>
      <c r="O64" s="3019"/>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3018"/>
      <c r="O65" s="3018"/>
      <c r="P65" s="1852"/>
      <c r="Q65" s="1821"/>
    </row>
    <row r="66" spans="1:17" ht="14.4" thickBot="1">
      <c r="A66" s="1853"/>
      <c r="B66" s="1861"/>
      <c r="C66" s="1862" t="s">
        <v>36</v>
      </c>
      <c r="D66" s="1862" t="s">
        <v>37</v>
      </c>
      <c r="E66" s="1862" t="s">
        <v>38</v>
      </c>
      <c r="F66" s="1862">
        <v>100</v>
      </c>
      <c r="G66" s="1862">
        <f>F66-$K10</f>
        <v>98</v>
      </c>
      <c r="H66" s="1862">
        <f>G66-$K10</f>
        <v>96</v>
      </c>
      <c r="I66" s="1862">
        <f>H66-$K10</f>
        <v>94</v>
      </c>
      <c r="J66" s="1862"/>
      <c r="K66" s="1862"/>
      <c r="L66" s="1862"/>
      <c r="M66" s="1863"/>
      <c r="N66" s="3019"/>
      <c r="O66" s="3019"/>
      <c r="P66" s="1852"/>
      <c r="Q66" s="1821"/>
    </row>
    <row r="67" spans="1:17" ht="15" thickTop="1">
      <c r="A67" s="1853"/>
      <c r="B67" s="1864" t="s">
        <v>2276</v>
      </c>
      <c r="C67" s="1865" t="str">
        <f>C68&amp;"（含）"&amp;"-"&amp;D68</f>
        <v>0（含）-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9"/>
      <c r="O67" s="3019"/>
      <c r="P67" s="1852"/>
      <c r="Q67" s="1821"/>
    </row>
    <row r="68" spans="1:17">
      <c r="A68" s="1853"/>
      <c r="B68" s="1866"/>
      <c r="C68" s="1867">
        <v>0</v>
      </c>
      <c r="D68" s="1867"/>
      <c r="E68" s="1867"/>
      <c r="F68" s="1867"/>
      <c r="G68" s="1867"/>
      <c r="H68" s="1867"/>
      <c r="I68" s="1867"/>
      <c r="J68" s="1867"/>
      <c r="K68" s="438"/>
      <c r="L68" s="438"/>
      <c r="M68" s="1868"/>
      <c r="N68" s="3018"/>
      <c r="O68" s="3018"/>
      <c r="P68" s="1852"/>
      <c r="Q68" s="1821"/>
    </row>
    <row r="69" spans="1:17" ht="14.4" thickBot="1">
      <c r="A69" s="1853"/>
      <c r="B69" s="1854"/>
      <c r="C69" s="1862">
        <v>100</v>
      </c>
      <c r="D69" s="1862">
        <f t="shared" ref="D69:M69" si="18">C69-$K11</f>
        <v>99</v>
      </c>
      <c r="E69" s="1862">
        <f t="shared" si="18"/>
        <v>98</v>
      </c>
      <c r="F69" s="1862">
        <f t="shared" si="18"/>
        <v>97</v>
      </c>
      <c r="G69" s="1862">
        <f t="shared" si="18"/>
        <v>96</v>
      </c>
      <c r="H69" s="1862">
        <f t="shared" si="18"/>
        <v>95</v>
      </c>
      <c r="I69" s="1862">
        <f t="shared" si="18"/>
        <v>94</v>
      </c>
      <c r="J69" s="1862">
        <f t="shared" si="18"/>
        <v>93</v>
      </c>
      <c r="K69" s="1862">
        <f t="shared" si="18"/>
        <v>92</v>
      </c>
      <c r="L69" s="1862">
        <f t="shared" si="18"/>
        <v>91</v>
      </c>
      <c r="M69" s="1863">
        <f t="shared" si="18"/>
        <v>90</v>
      </c>
      <c r="N69" s="3019"/>
      <c r="O69" s="3019"/>
      <c r="P69" s="1852"/>
      <c r="Q69" s="1821"/>
    </row>
    <row r="70" spans="1:17" s="1771" customFormat="1" ht="14.4" thickTop="1">
      <c r="A70" s="1869"/>
      <c r="B70" s="1858">
        <f>B12</f>
        <v>111</v>
      </c>
      <c r="C70" s="468"/>
      <c r="D70" s="468"/>
      <c r="E70" s="468"/>
      <c r="F70" s="468"/>
      <c r="G70" s="468"/>
      <c r="H70" s="443"/>
      <c r="I70" s="443"/>
      <c r="J70" s="443"/>
      <c r="K70" s="443"/>
      <c r="L70" s="443"/>
      <c r="M70" s="1870"/>
      <c r="N70" s="3020"/>
      <c r="O70" s="3020"/>
      <c r="P70" s="1872"/>
      <c r="Q70" s="1873"/>
    </row>
    <row r="71" spans="1:17" s="1771" customFormat="1" ht="14.4" thickBot="1">
      <c r="A71" s="1869"/>
      <c r="B71" s="1861"/>
      <c r="C71" s="1874"/>
      <c r="D71" s="1855"/>
      <c r="E71" s="1855"/>
      <c r="F71" s="1855"/>
      <c r="G71" s="1855"/>
      <c r="H71" s="1855"/>
      <c r="I71" s="1855"/>
      <c r="J71" s="1855"/>
      <c r="K71" s="1855"/>
      <c r="L71" s="1855"/>
      <c r="M71" s="1856"/>
      <c r="N71" s="3019"/>
      <c r="O71" s="3019"/>
      <c r="P71" s="1872"/>
      <c r="Q71" s="1873"/>
    </row>
    <row r="72" spans="1:17" s="1771" customFormat="1" ht="14.4" thickTop="1">
      <c r="A72" s="1869"/>
      <c r="B72" s="1858">
        <f>B13</f>
        <v>111</v>
      </c>
      <c r="C72" s="468"/>
      <c r="D72" s="468"/>
      <c r="E72" s="468"/>
      <c r="F72" s="468"/>
      <c r="G72" s="468"/>
      <c r="H72" s="443"/>
      <c r="I72" s="443"/>
      <c r="J72" s="443"/>
      <c r="K72" s="443"/>
      <c r="L72" s="443"/>
      <c r="M72" s="1870"/>
      <c r="N72" s="3020"/>
      <c r="O72" s="3020"/>
      <c r="P72" s="1875"/>
      <c r="Q72" s="1876"/>
    </row>
    <row r="73" spans="1:17" s="1771" customFormat="1" ht="14.4" thickBot="1">
      <c r="A73" s="1869"/>
      <c r="B73" s="1861"/>
      <c r="C73" s="1874"/>
      <c r="D73" s="1855"/>
      <c r="E73" s="1855"/>
      <c r="F73" s="1855"/>
      <c r="G73" s="1874"/>
      <c r="H73" s="1877"/>
      <c r="I73" s="1877"/>
      <c r="J73" s="1877"/>
      <c r="K73" s="1877"/>
      <c r="L73" s="1877"/>
      <c r="M73" s="1878"/>
      <c r="N73" s="3020"/>
      <c r="O73" s="3020"/>
      <c r="P73" s="1872"/>
      <c r="Q73" s="1873"/>
    </row>
    <row r="74" spans="1:17" s="1771" customFormat="1" ht="14.4" thickTop="1">
      <c r="A74" s="1869"/>
      <c r="B74" s="1864">
        <f>B14</f>
        <v>111</v>
      </c>
      <c r="C74" s="468"/>
      <c r="D74" s="468"/>
      <c r="E74" s="468"/>
      <c r="F74" s="468"/>
      <c r="G74" s="409"/>
      <c r="H74" s="453"/>
      <c r="I74" s="453"/>
      <c r="J74" s="453"/>
      <c r="K74" s="453"/>
      <c r="L74" s="453"/>
      <c r="M74" s="1879"/>
      <c r="N74" s="3020"/>
      <c r="O74" s="3020"/>
      <c r="P74" s="1872"/>
      <c r="Q74" s="1873"/>
    </row>
    <row r="75" spans="1:17" s="1771" customFormat="1" ht="14.4" thickBot="1">
      <c r="A75" s="1880"/>
      <c r="B75" s="1881"/>
      <c r="C75" s="1882"/>
      <c r="D75" s="1882"/>
      <c r="E75" s="1882"/>
      <c r="F75" s="1882"/>
      <c r="G75" s="1882"/>
      <c r="H75" s="1883"/>
      <c r="I75" s="1883"/>
      <c r="J75" s="1883"/>
      <c r="K75" s="1883"/>
      <c r="L75" s="1883"/>
      <c r="M75" s="1884"/>
      <c r="N75" s="3020"/>
      <c r="O75" s="3020"/>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3018"/>
      <c r="O76" s="3018"/>
      <c r="P76" s="1852"/>
      <c r="Q76" s="1821"/>
    </row>
    <row r="77" spans="1:17" ht="14.4" thickBot="1">
      <c r="A77" s="1853"/>
      <c r="B77" s="1861"/>
      <c r="C77" s="1862">
        <v>100</v>
      </c>
      <c r="D77" s="1862">
        <f>C77-$K15</f>
        <v>95</v>
      </c>
      <c r="E77" s="1862">
        <f>D77-$K15</f>
        <v>90</v>
      </c>
      <c r="F77" s="1862">
        <f>E77-$K15</f>
        <v>85</v>
      </c>
      <c r="G77" s="1862">
        <f>F77-$K15</f>
        <v>80</v>
      </c>
      <c r="H77" s="1862"/>
      <c r="I77" s="1862"/>
      <c r="J77" s="1862"/>
      <c r="K77" s="1862"/>
      <c r="L77" s="1862"/>
      <c r="M77" s="1863"/>
      <c r="N77" s="3019"/>
      <c r="O77" s="3019"/>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3018"/>
      <c r="O78" s="3018"/>
      <c r="P78" s="1852"/>
      <c r="Q78" s="1821"/>
    </row>
    <row r="79" spans="1:17" ht="14.4" thickBot="1">
      <c r="A79" s="1853"/>
      <c r="B79" s="1861"/>
      <c r="C79" s="1862">
        <v>100</v>
      </c>
      <c r="D79" s="1862">
        <f>C79-$K17</f>
        <v>90</v>
      </c>
      <c r="E79" s="1862">
        <f>D79-$K17</f>
        <v>80</v>
      </c>
      <c r="F79" s="1862">
        <f>E79-$K17</f>
        <v>70</v>
      </c>
      <c r="G79" s="1862">
        <f>F79-$K17</f>
        <v>60</v>
      </c>
      <c r="H79" s="1862"/>
      <c r="I79" s="1862"/>
      <c r="J79" s="1862"/>
      <c r="K79" s="1862"/>
      <c r="L79" s="1862"/>
      <c r="M79" s="1863"/>
      <c r="N79" s="3019"/>
      <c r="O79" s="3019"/>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3018"/>
      <c r="O80" s="3018"/>
      <c r="P80" s="1852"/>
      <c r="Q80" s="1821"/>
    </row>
    <row r="81" spans="1:17" ht="14.4" thickBot="1">
      <c r="A81" s="1853"/>
      <c r="B81" s="1861"/>
      <c r="C81" s="1862">
        <v>100</v>
      </c>
      <c r="D81" s="1862">
        <f>C81-$K19</f>
        <v>98</v>
      </c>
      <c r="E81" s="1862">
        <f>D81-$K19</f>
        <v>96</v>
      </c>
      <c r="F81" s="1862">
        <f>E81-$K19</f>
        <v>94</v>
      </c>
      <c r="G81" s="1862">
        <f>F81-$K19</f>
        <v>92</v>
      </c>
      <c r="H81" s="1862"/>
      <c r="I81" s="1862"/>
      <c r="J81" s="1862"/>
      <c r="K81" s="1862"/>
      <c r="L81" s="1862"/>
      <c r="M81" s="1863"/>
      <c r="N81" s="3019"/>
      <c r="O81" s="3019"/>
      <c r="P81" s="1852"/>
      <c r="Q81" s="1821"/>
    </row>
    <row r="82" spans="1:17" ht="15" thickTop="1">
      <c r="A82" s="1853"/>
      <c r="B82" s="1864" t="s">
        <v>2364</v>
      </c>
      <c r="C82" s="1859" t="s">
        <v>2322</v>
      </c>
      <c r="D82" s="1859" t="s">
        <v>2323</v>
      </c>
      <c r="E82" s="1859" t="s">
        <v>2324</v>
      </c>
      <c r="F82" s="1859" t="s">
        <v>2325</v>
      </c>
      <c r="G82" s="1859" t="s">
        <v>2326</v>
      </c>
      <c r="H82" s="1859"/>
      <c r="I82" s="1859"/>
      <c r="J82" s="1859"/>
      <c r="K82" s="1859"/>
      <c r="L82" s="1859"/>
      <c r="M82" s="1887"/>
      <c r="N82" s="3019"/>
      <c r="O82" s="3019"/>
      <c r="P82" s="1852"/>
      <c r="Q82" s="1821"/>
    </row>
    <row r="83" spans="1:17" ht="14.4" thickBot="1">
      <c r="A83" s="1853"/>
      <c r="B83" s="1864"/>
      <c r="C83" s="1862">
        <v>100</v>
      </c>
      <c r="D83" s="1862">
        <f>C83-$K21</f>
        <v>98</v>
      </c>
      <c r="E83" s="1862">
        <f>D83-$K21</f>
        <v>96</v>
      </c>
      <c r="F83" s="1862">
        <f>E83-$K21</f>
        <v>94</v>
      </c>
      <c r="G83" s="1862">
        <f>F83-$K21</f>
        <v>92</v>
      </c>
      <c r="H83" s="1888"/>
      <c r="I83" s="1888"/>
      <c r="J83" s="1888"/>
      <c r="K83" s="1888"/>
      <c r="L83" s="1888"/>
      <c r="M83" s="1735"/>
      <c r="N83" s="3019"/>
      <c r="O83" s="3019"/>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3018"/>
      <c r="O84" s="3018"/>
      <c r="P84" s="1852"/>
      <c r="Q84" s="1821"/>
    </row>
    <row r="85" spans="1:17" ht="14.4" thickBot="1">
      <c r="A85" s="1853"/>
      <c r="B85" s="1861"/>
      <c r="C85" s="1862">
        <v>100</v>
      </c>
      <c r="D85" s="1862">
        <f>C85-$K23</f>
        <v>98</v>
      </c>
      <c r="E85" s="1862">
        <f>D85-$K23</f>
        <v>96</v>
      </c>
      <c r="F85" s="1862">
        <f>E85-$K23</f>
        <v>94</v>
      </c>
      <c r="G85" s="1862">
        <f>F85-$K23</f>
        <v>92</v>
      </c>
      <c r="H85" s="1862"/>
      <c r="I85" s="1862"/>
      <c r="J85" s="1862"/>
      <c r="K85" s="1862"/>
      <c r="L85" s="1862"/>
      <c r="M85" s="1863"/>
      <c r="N85" s="3019"/>
      <c r="O85" s="3019"/>
      <c r="P85" s="1852"/>
      <c r="Q85" s="1821"/>
    </row>
    <row r="86" spans="1:17" s="1685" customFormat="1" ht="15" thickTop="1">
      <c r="A86" s="1889"/>
      <c r="B86" s="1858" t="s">
        <v>2384</v>
      </c>
      <c r="C86" s="3152" t="s">
        <v>2906</v>
      </c>
      <c r="D86" s="468"/>
      <c r="E86" s="468"/>
      <c r="F86" s="468"/>
      <c r="G86" s="468"/>
      <c r="H86" s="468"/>
      <c r="I86" s="468"/>
      <c r="J86" s="468"/>
      <c r="K86" s="468"/>
      <c r="L86" s="468"/>
      <c r="M86" s="1890"/>
      <c r="N86" s="3017"/>
      <c r="O86" s="3017"/>
      <c r="P86" s="1852"/>
      <c r="Q86" s="1821"/>
    </row>
    <row r="87" spans="1:17" s="1685" customFormat="1" ht="14.4" thickBot="1">
      <c r="A87" s="1889"/>
      <c r="B87" s="1861"/>
      <c r="C87" s="1891">
        <v>100</v>
      </c>
      <c r="D87" s="1862">
        <f t="shared" ref="D87:M87" si="19">C87-$K25</f>
        <v>97</v>
      </c>
      <c r="E87" s="1862">
        <f t="shared" si="19"/>
        <v>94</v>
      </c>
      <c r="F87" s="1862">
        <f t="shared" si="19"/>
        <v>91</v>
      </c>
      <c r="G87" s="1862">
        <f t="shared" si="19"/>
        <v>88</v>
      </c>
      <c r="H87" s="1862">
        <f t="shared" si="19"/>
        <v>85</v>
      </c>
      <c r="I87" s="1862">
        <f t="shared" si="19"/>
        <v>82</v>
      </c>
      <c r="J87" s="1862">
        <f t="shared" si="19"/>
        <v>79</v>
      </c>
      <c r="K87" s="1862">
        <f t="shared" si="19"/>
        <v>76</v>
      </c>
      <c r="L87" s="1862">
        <f t="shared" si="19"/>
        <v>73</v>
      </c>
      <c r="M87" s="1862">
        <f t="shared" si="19"/>
        <v>70</v>
      </c>
      <c r="N87" s="3019"/>
      <c r="O87" s="3019"/>
      <c r="P87" s="1852"/>
      <c r="Q87" s="1821"/>
    </row>
    <row r="88" spans="1:17" s="1685" customFormat="1" ht="14.4" thickTop="1">
      <c r="A88" s="1889"/>
      <c r="B88" s="1858" t="str">
        <f>B26</f>
        <v>平面位置/可视性</v>
      </c>
      <c r="C88" s="468"/>
      <c r="D88" s="468"/>
      <c r="E88" s="468"/>
      <c r="F88" s="1892"/>
      <c r="G88" s="468"/>
      <c r="H88" s="468"/>
      <c r="I88" s="468"/>
      <c r="J88" s="468"/>
      <c r="K88" s="468"/>
      <c r="L88" s="468"/>
      <c r="M88" s="1890"/>
      <c r="N88" s="3017"/>
      <c r="O88" s="3017"/>
      <c r="P88" s="1852"/>
      <c r="Q88" s="1821"/>
    </row>
    <row r="89" spans="1:17" s="1685" customFormat="1" ht="14.4" thickBot="1">
      <c r="A89" s="1889"/>
      <c r="B89" s="1861"/>
      <c r="C89" s="1874"/>
      <c r="D89" s="1855"/>
      <c r="E89" s="1855"/>
      <c r="F89" s="1855"/>
      <c r="G89" s="1855"/>
      <c r="H89" s="1855"/>
      <c r="I89" s="1855"/>
      <c r="J89" s="1855"/>
      <c r="K89" s="1855"/>
      <c r="L89" s="1855"/>
      <c r="M89" s="1855"/>
      <c r="N89" s="3019"/>
      <c r="O89" s="3019"/>
      <c r="P89" s="1852"/>
      <c r="Q89" s="1821"/>
    </row>
    <row r="90" spans="1:17" s="1771" customFormat="1" ht="15" thickTop="1">
      <c r="A90" s="1869"/>
      <c r="B90" s="1858" t="str">
        <f>B27</f>
        <v>人流量</v>
      </c>
      <c r="C90" s="3197" t="s">
        <v>3046</v>
      </c>
      <c r="D90" s="3152" t="s">
        <v>3047</v>
      </c>
      <c r="E90" s="3152" t="s">
        <v>2907</v>
      </c>
      <c r="F90" s="468"/>
      <c r="G90" s="468"/>
      <c r="H90" s="443"/>
      <c r="I90" s="443"/>
      <c r="J90" s="443"/>
      <c r="K90" s="443"/>
      <c r="L90" s="443"/>
      <c r="M90" s="1870"/>
      <c r="N90" s="3020"/>
      <c r="O90" s="3020"/>
      <c r="P90" s="1872"/>
      <c r="Q90" s="1873"/>
    </row>
    <row r="91" spans="1:17" s="1771" customFormat="1" ht="14.4" thickBot="1">
      <c r="A91" s="1869"/>
      <c r="B91" s="1861"/>
      <c r="C91" s="1891">
        <v>100</v>
      </c>
      <c r="D91" s="1862">
        <f>C91-$K27</f>
        <v>80</v>
      </c>
      <c r="E91" s="1862">
        <f t="shared" ref="E91:M91" si="20">D91-$K27</f>
        <v>60</v>
      </c>
      <c r="F91" s="1862">
        <f t="shared" si="20"/>
        <v>40</v>
      </c>
      <c r="G91" s="1862">
        <f t="shared" si="20"/>
        <v>20</v>
      </c>
      <c r="H91" s="1862">
        <f t="shared" si="20"/>
        <v>0</v>
      </c>
      <c r="I91" s="1862">
        <f t="shared" si="20"/>
        <v>-20</v>
      </c>
      <c r="J91" s="1862">
        <f t="shared" si="20"/>
        <v>-40</v>
      </c>
      <c r="K91" s="1862">
        <f t="shared" si="20"/>
        <v>-60</v>
      </c>
      <c r="L91" s="1862">
        <f t="shared" si="20"/>
        <v>-80</v>
      </c>
      <c r="M91" s="1862">
        <f t="shared" si="20"/>
        <v>-100</v>
      </c>
      <c r="N91" s="3020"/>
      <c r="O91" s="3020"/>
      <c r="P91" s="1872"/>
      <c r="Q91" s="1873"/>
    </row>
    <row r="92" spans="1:17" ht="15" thickTop="1">
      <c r="A92" s="1853"/>
      <c r="B92" s="1858" t="str">
        <f>B28</f>
        <v>楼层</v>
      </c>
      <c r="C92" s="3152" t="s">
        <v>2909</v>
      </c>
      <c r="D92" s="3152" t="s">
        <v>2910</v>
      </c>
      <c r="E92" s="468"/>
      <c r="F92" s="468"/>
      <c r="G92" s="468"/>
      <c r="H92" s="468"/>
      <c r="I92" s="468"/>
      <c r="J92" s="468"/>
      <c r="K92" s="468"/>
      <c r="L92" s="468"/>
      <c r="M92" s="1890"/>
      <c r="N92" s="3018"/>
      <c r="O92" s="3018"/>
      <c r="P92" s="1852"/>
      <c r="Q92" s="1821"/>
    </row>
    <row r="93" spans="1:17" ht="14.4" thickBot="1">
      <c r="A93" s="1853"/>
      <c r="B93" s="1861"/>
      <c r="C93" s="1855">
        <v>100</v>
      </c>
      <c r="D93" s="1855">
        <v>80</v>
      </c>
      <c r="E93" s="1855"/>
      <c r="F93" s="1855"/>
      <c r="G93" s="1855"/>
      <c r="H93" s="1855"/>
      <c r="I93" s="1855"/>
      <c r="J93" s="1855"/>
      <c r="K93" s="1855"/>
      <c r="L93" s="1855"/>
      <c r="M93" s="1856"/>
      <c r="N93" s="3019"/>
      <c r="O93" s="3019"/>
      <c r="P93" s="1852"/>
      <c r="Q93" s="1821"/>
    </row>
    <row r="94" spans="1:17" ht="15" thickTop="1">
      <c r="A94" s="1853"/>
      <c r="B94" s="1858" t="str">
        <f>B29</f>
        <v>临道路级别</v>
      </c>
      <c r="C94" s="3152" t="s">
        <v>2930</v>
      </c>
      <c r="D94" s="3152" t="s">
        <v>2918</v>
      </c>
      <c r="E94" s="3152" t="s">
        <v>2920</v>
      </c>
      <c r="F94" s="468"/>
      <c r="G94" s="1578"/>
      <c r="H94" s="1578"/>
      <c r="I94" s="1578"/>
      <c r="J94" s="1578"/>
      <c r="K94" s="473"/>
      <c r="L94" s="473"/>
      <c r="M94" s="1893"/>
      <c r="N94" s="3018"/>
      <c r="O94" s="3018"/>
      <c r="P94" s="1852"/>
      <c r="Q94" s="1821"/>
    </row>
    <row r="95" spans="1:17" ht="14.4" thickBot="1">
      <c r="A95" s="1853"/>
      <c r="B95" s="1861"/>
      <c r="C95" s="1874">
        <v>100</v>
      </c>
      <c r="D95" s="1855">
        <v>98</v>
      </c>
      <c r="E95" s="1855">
        <v>97</v>
      </c>
      <c r="F95" s="1855"/>
      <c r="G95" s="1855"/>
      <c r="H95" s="1855"/>
      <c r="I95" s="1855"/>
      <c r="J95" s="1855"/>
      <c r="K95" s="1855"/>
      <c r="L95" s="1855"/>
      <c r="M95" s="1856"/>
      <c r="N95" s="3019"/>
      <c r="O95" s="3019"/>
      <c r="P95" s="1852"/>
      <c r="Q95" s="1821"/>
    </row>
    <row r="96" spans="1:17" ht="14.4" thickTop="1">
      <c r="A96" s="1853"/>
      <c r="B96" s="1858">
        <f>B30</f>
        <v>111</v>
      </c>
      <c r="C96" s="468"/>
      <c r="D96" s="468"/>
      <c r="E96" s="468"/>
      <c r="F96" s="468"/>
      <c r="G96" s="1578"/>
      <c r="H96" s="1578"/>
      <c r="I96" s="1578"/>
      <c r="J96" s="1578"/>
      <c r="K96" s="473"/>
      <c r="L96" s="473"/>
      <c r="M96" s="1893"/>
      <c r="N96" s="3018"/>
      <c r="O96" s="3018"/>
      <c r="P96" s="1852"/>
      <c r="Q96" s="1821"/>
    </row>
    <row r="97" spans="1:17" ht="14.4" thickBot="1">
      <c r="A97" s="1853"/>
      <c r="B97" s="1861"/>
      <c r="C97" s="1874"/>
      <c r="D97" s="1855"/>
      <c r="E97" s="1855"/>
      <c r="F97" s="1855"/>
      <c r="G97" s="1855"/>
      <c r="H97" s="1855"/>
      <c r="I97" s="1855"/>
      <c r="J97" s="1855"/>
      <c r="K97" s="1855"/>
      <c r="L97" s="1855"/>
      <c r="M97" s="1856"/>
      <c r="N97" s="3019"/>
      <c r="O97" s="3019"/>
      <c r="P97" s="1852"/>
      <c r="Q97" s="1821"/>
    </row>
    <row r="98" spans="1:17" ht="14.4" thickTop="1">
      <c r="A98" s="1853"/>
      <c r="B98" s="1864">
        <f>B31</f>
        <v>111</v>
      </c>
      <c r="C98" s="468"/>
      <c r="D98" s="468"/>
      <c r="E98" s="468"/>
      <c r="F98" s="468"/>
      <c r="G98" s="1894"/>
      <c r="H98" s="1894"/>
      <c r="I98" s="1894"/>
      <c r="J98" s="1894"/>
      <c r="K98" s="477"/>
      <c r="L98" s="477"/>
      <c r="M98" s="1895"/>
      <c r="N98" s="3018"/>
      <c r="O98" s="3018"/>
      <c r="P98" s="1852"/>
      <c r="Q98" s="1821"/>
    </row>
    <row r="99" spans="1:17" ht="14.4" thickBot="1">
      <c r="A99" s="1896"/>
      <c r="B99" s="1881"/>
      <c r="C99" s="1882"/>
      <c r="D99" s="1882"/>
      <c r="E99" s="1882"/>
      <c r="F99" s="1882"/>
      <c r="G99" s="1897"/>
      <c r="H99" s="1897"/>
      <c r="I99" s="1897"/>
      <c r="J99" s="1897"/>
      <c r="K99" s="1897"/>
      <c r="L99" s="1897"/>
      <c r="M99" s="1898"/>
      <c r="N99" s="3019"/>
      <c r="O99" s="3019"/>
      <c r="P99" s="1852"/>
      <c r="Q99" s="1821"/>
    </row>
    <row r="100" spans="1:17" ht="14.4">
      <c r="A100" s="1846" t="s">
        <v>2282</v>
      </c>
      <c r="B100" s="1847" t="s">
        <v>2385</v>
      </c>
      <c r="C100" s="3170" t="s">
        <v>3049</v>
      </c>
      <c r="D100" s="3153" t="s">
        <v>2923</v>
      </c>
      <c r="E100" s="3153" t="s">
        <v>2922</v>
      </c>
      <c r="F100" s="1849"/>
      <c r="G100" s="1849"/>
      <c r="H100" s="1849"/>
      <c r="I100" s="1849"/>
      <c r="J100" s="1849"/>
      <c r="K100" s="417"/>
      <c r="L100" s="417"/>
      <c r="M100" s="1850"/>
      <c r="N100" s="3018"/>
      <c r="O100" s="3018"/>
      <c r="P100" s="1852"/>
      <c r="Q100" s="1821"/>
    </row>
    <row r="101" spans="1:17" ht="14.4" thickBot="1">
      <c r="A101" s="1853"/>
      <c r="B101" s="1861"/>
      <c r="C101" s="1862">
        <v>100</v>
      </c>
      <c r="D101" s="1862">
        <f>C101+$K32</f>
        <v>100</v>
      </c>
      <c r="E101" s="1862">
        <f t="shared" ref="E101:M101" si="21">D101-$K32</f>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9"/>
      <c r="O101" s="3019"/>
      <c r="P101" s="1852"/>
      <c r="Q101" s="1821"/>
    </row>
    <row r="102" spans="1:17" ht="15" thickTop="1">
      <c r="A102" s="1853"/>
      <c r="B102" s="1858" t="s">
        <v>2331</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7"/>
      <c r="O102" s="3017"/>
      <c r="P102" s="1852"/>
      <c r="Q102" s="1821"/>
    </row>
    <row r="103" spans="1:17" s="1771" customFormat="1">
      <c r="A103" s="1899"/>
      <c r="B103" s="1900"/>
      <c r="C103" s="1901">
        <v>0</v>
      </c>
      <c r="D103" s="1901"/>
      <c r="E103" s="1901"/>
      <c r="F103" s="1901"/>
      <c r="G103" s="1901"/>
      <c r="H103" s="1901"/>
      <c r="I103" s="1901"/>
      <c r="J103" s="485"/>
      <c r="K103" s="485"/>
      <c r="L103" s="485"/>
      <c r="M103" s="1902"/>
      <c r="N103" s="3020"/>
      <c r="O103" s="3020"/>
      <c r="P103" s="1872"/>
      <c r="Q103" s="1873"/>
    </row>
    <row r="104" spans="1:17" s="1771" customFormat="1" ht="14.4" thickBot="1">
      <c r="A104" s="1869"/>
      <c r="B104" s="1861"/>
      <c r="C104" s="1874"/>
      <c r="D104" s="1855"/>
      <c r="E104" s="1855"/>
      <c r="F104" s="1855"/>
      <c r="G104" s="1855"/>
      <c r="H104" s="1855"/>
      <c r="I104" s="1855"/>
      <c r="J104" s="1855"/>
      <c r="K104" s="1855"/>
      <c r="L104" s="1855"/>
      <c r="M104" s="1856"/>
      <c r="N104" s="3019"/>
      <c r="O104" s="3019"/>
      <c r="P104" s="1872"/>
      <c r="Q104" s="1873"/>
    </row>
    <row r="105" spans="1:17" ht="15" thickTop="1">
      <c r="A105" s="1903"/>
      <c r="B105" s="1858" t="s">
        <v>2332</v>
      </c>
      <c r="C105" s="468"/>
      <c r="D105" s="468"/>
      <c r="E105" s="1578"/>
      <c r="F105" s="1578"/>
      <c r="G105" s="1578"/>
      <c r="H105" s="1578"/>
      <c r="I105" s="1578"/>
      <c r="J105" s="1578"/>
      <c r="K105" s="473"/>
      <c r="L105" s="473"/>
      <c r="M105" s="1893"/>
      <c r="N105" s="3018"/>
      <c r="O105" s="3018"/>
      <c r="P105" s="1852"/>
      <c r="Q105" s="1821"/>
    </row>
    <row r="106" spans="1:17" ht="14.4" thickBot="1">
      <c r="A106" s="1853"/>
      <c r="B106" s="1861"/>
      <c r="C106" s="1862">
        <v>100</v>
      </c>
      <c r="D106" s="1862">
        <f t="shared" ref="D106:M106" si="23">C106-$K34</f>
        <v>99</v>
      </c>
      <c r="E106" s="1862">
        <f t="shared" si="23"/>
        <v>98</v>
      </c>
      <c r="F106" s="1862">
        <f t="shared" si="23"/>
        <v>97</v>
      </c>
      <c r="G106" s="1862">
        <f t="shared" si="23"/>
        <v>96</v>
      </c>
      <c r="H106" s="1862">
        <f t="shared" si="23"/>
        <v>95</v>
      </c>
      <c r="I106" s="1862">
        <f t="shared" si="23"/>
        <v>94</v>
      </c>
      <c r="J106" s="1862">
        <f t="shared" si="23"/>
        <v>93</v>
      </c>
      <c r="K106" s="1862">
        <f t="shared" si="23"/>
        <v>92</v>
      </c>
      <c r="L106" s="1862">
        <f t="shared" si="23"/>
        <v>91</v>
      </c>
      <c r="M106" s="1863">
        <f t="shared" si="23"/>
        <v>90</v>
      </c>
      <c r="N106" s="3019"/>
      <c r="O106" s="3019"/>
      <c r="P106" s="1852"/>
      <c r="Q106" s="1821"/>
    </row>
    <row r="107" spans="1:17" ht="15" thickTop="1">
      <c r="A107" s="1903"/>
      <c r="B107" s="1858" t="s">
        <v>2334</v>
      </c>
      <c r="C107" s="3152" t="s">
        <v>2912</v>
      </c>
      <c r="D107" s="468"/>
      <c r="E107" s="468"/>
      <c r="F107" s="1578"/>
      <c r="G107" s="1578"/>
      <c r="H107" s="1578"/>
      <c r="I107" s="1578"/>
      <c r="J107" s="1578"/>
      <c r="K107" s="473"/>
      <c r="L107" s="473"/>
      <c r="M107" s="1893"/>
      <c r="N107" s="3018"/>
      <c r="O107" s="3018"/>
      <c r="P107" s="1852"/>
      <c r="Q107" s="1821"/>
    </row>
    <row r="108" spans="1:17" ht="14.4" thickBot="1">
      <c r="A108" s="1853"/>
      <c r="B108" s="1861"/>
      <c r="C108" s="1862">
        <v>100</v>
      </c>
      <c r="D108" s="1862">
        <f t="shared" ref="D108:M108" si="24">C108-$K35</f>
        <v>99</v>
      </c>
      <c r="E108" s="1862">
        <f t="shared" si="24"/>
        <v>98</v>
      </c>
      <c r="F108" s="1862">
        <f t="shared" si="24"/>
        <v>97</v>
      </c>
      <c r="G108" s="1862">
        <f t="shared" si="24"/>
        <v>96</v>
      </c>
      <c r="H108" s="1862">
        <f t="shared" si="24"/>
        <v>95</v>
      </c>
      <c r="I108" s="1862">
        <f t="shared" si="24"/>
        <v>94</v>
      </c>
      <c r="J108" s="1862">
        <f t="shared" si="24"/>
        <v>93</v>
      </c>
      <c r="K108" s="1862">
        <f t="shared" si="24"/>
        <v>92</v>
      </c>
      <c r="L108" s="1862">
        <f t="shared" si="24"/>
        <v>91</v>
      </c>
      <c r="M108" s="1863">
        <f t="shared" si="24"/>
        <v>90</v>
      </c>
      <c r="N108" s="3019"/>
      <c r="O108" s="3019"/>
      <c r="P108" s="1852"/>
      <c r="Q108" s="1821"/>
    </row>
    <row r="109" spans="1:17" ht="15" thickTop="1">
      <c r="A109" s="1903"/>
      <c r="B109" s="1858" t="s">
        <v>2335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8"/>
      <c r="O109" s="3018"/>
      <c r="P109" s="1852"/>
      <c r="Q109" s="1821"/>
    </row>
    <row r="110" spans="1:17">
      <c r="A110" s="1903"/>
      <c r="B110" s="1864"/>
      <c r="C110" s="1905">
        <v>0.5</v>
      </c>
      <c r="D110" s="1905">
        <v>0.6</v>
      </c>
      <c r="E110" s="1905">
        <v>0.7</v>
      </c>
      <c r="F110" s="1905">
        <v>0.8</v>
      </c>
      <c r="G110" s="1905">
        <v>0.9</v>
      </c>
      <c r="H110" s="1905">
        <v>1</v>
      </c>
      <c r="I110" s="2486"/>
      <c r="J110" s="2486"/>
      <c r="K110" s="508"/>
      <c r="L110" s="508"/>
      <c r="M110" s="2487"/>
      <c r="N110" s="3018"/>
      <c r="O110" s="3018"/>
      <c r="P110" s="1852"/>
      <c r="Q110" s="1821"/>
    </row>
    <row r="111" spans="1:17" ht="14.4" thickBot="1">
      <c r="A111" s="1853"/>
      <c r="B111" s="1861"/>
      <c r="C111" s="1891">
        <v>100</v>
      </c>
      <c r="D111" s="1862">
        <f>C111+$K36</f>
        <v>101</v>
      </c>
      <c r="E111" s="1862">
        <f t="shared" ref="E111:M111" si="25">D111+$K36</f>
        <v>102</v>
      </c>
      <c r="F111" s="1862">
        <f t="shared" si="25"/>
        <v>103</v>
      </c>
      <c r="G111" s="1862">
        <f t="shared" si="25"/>
        <v>104</v>
      </c>
      <c r="H111" s="1862">
        <f t="shared" si="25"/>
        <v>105</v>
      </c>
      <c r="I111" s="1862">
        <f t="shared" si="25"/>
        <v>106</v>
      </c>
      <c r="J111" s="1862">
        <f t="shared" si="25"/>
        <v>107</v>
      </c>
      <c r="K111" s="1862">
        <f t="shared" si="25"/>
        <v>108</v>
      </c>
      <c r="L111" s="1862">
        <f t="shared" si="25"/>
        <v>109</v>
      </c>
      <c r="M111" s="1862">
        <f t="shared" si="25"/>
        <v>110</v>
      </c>
      <c r="N111" s="3019"/>
      <c r="O111" s="3019"/>
      <c r="P111" s="1852"/>
      <c r="Q111" s="1821"/>
    </row>
    <row r="112" spans="1:17" s="1771" customFormat="1" ht="15" thickTop="1">
      <c r="A112" s="1899"/>
      <c r="B112" s="1858" t="s">
        <v>2337</v>
      </c>
      <c r="C112" s="3152" t="s">
        <v>2913</v>
      </c>
      <c r="D112" s="3152" t="s">
        <v>3044</v>
      </c>
      <c r="E112" s="468"/>
      <c r="F112" s="468"/>
      <c r="G112" s="468"/>
      <c r="H112" s="1578"/>
      <c r="I112" s="1578"/>
      <c r="J112" s="1578"/>
      <c r="K112" s="473"/>
      <c r="L112" s="473"/>
      <c r="M112" s="1893"/>
      <c r="N112" s="3020"/>
      <c r="O112" s="3020"/>
      <c r="P112" s="1872"/>
      <c r="Q112" s="1873"/>
    </row>
    <row r="113" spans="1:17" s="1771" customFormat="1" ht="14.4" thickBot="1">
      <c r="A113" s="1869"/>
      <c r="B113" s="1861"/>
      <c r="C113" s="1862">
        <v>100</v>
      </c>
      <c r="D113" s="1862">
        <f>C113-$K37</f>
        <v>99</v>
      </c>
      <c r="E113" s="1862">
        <f t="shared" ref="E113:M113" si="26">D113-$K37</f>
        <v>98</v>
      </c>
      <c r="F113" s="1862">
        <f t="shared" si="26"/>
        <v>97</v>
      </c>
      <c r="G113" s="1862">
        <f t="shared" si="26"/>
        <v>96</v>
      </c>
      <c r="H113" s="1862">
        <f t="shared" si="26"/>
        <v>95</v>
      </c>
      <c r="I113" s="1862">
        <f t="shared" si="26"/>
        <v>94</v>
      </c>
      <c r="J113" s="1862">
        <f t="shared" si="26"/>
        <v>93</v>
      </c>
      <c r="K113" s="1862">
        <f t="shared" si="26"/>
        <v>92</v>
      </c>
      <c r="L113" s="1862">
        <f t="shared" si="26"/>
        <v>91</v>
      </c>
      <c r="M113" s="1862">
        <f t="shared" si="26"/>
        <v>90</v>
      </c>
      <c r="N113" s="3020"/>
      <c r="O113" s="3020"/>
      <c r="P113" s="1872"/>
      <c r="Q113" s="1873"/>
    </row>
    <row r="114" spans="1:17" ht="15" thickTop="1">
      <c r="A114" s="1903"/>
      <c r="B114" s="1858" t="s">
        <v>2386</v>
      </c>
      <c r="C114" s="468"/>
      <c r="D114" s="468"/>
      <c r="E114" s="1578"/>
      <c r="F114" s="1578"/>
      <c r="G114" s="1578"/>
      <c r="H114" s="1578"/>
      <c r="I114" s="1578"/>
      <c r="J114" s="1578"/>
      <c r="K114" s="473"/>
      <c r="L114" s="473"/>
      <c r="M114" s="1893"/>
      <c r="N114" s="3018"/>
      <c r="O114" s="3018"/>
      <c r="P114" s="1852"/>
      <c r="Q114" s="1821"/>
    </row>
    <row r="115" spans="1:17" ht="14.4" thickBot="1">
      <c r="A115" s="1853"/>
      <c r="B115" s="1861"/>
      <c r="C115" s="1862">
        <v>100</v>
      </c>
      <c r="D115" s="1862">
        <f t="shared" ref="D115:M115" si="27">C115-$K38</f>
        <v>99</v>
      </c>
      <c r="E115" s="1862">
        <f t="shared" si="27"/>
        <v>98</v>
      </c>
      <c r="F115" s="1862">
        <f t="shared" si="27"/>
        <v>97</v>
      </c>
      <c r="G115" s="1862">
        <f t="shared" si="27"/>
        <v>96</v>
      </c>
      <c r="H115" s="1862">
        <f t="shared" si="27"/>
        <v>95</v>
      </c>
      <c r="I115" s="1862">
        <f t="shared" si="27"/>
        <v>94</v>
      </c>
      <c r="J115" s="1862">
        <f t="shared" si="27"/>
        <v>93</v>
      </c>
      <c r="K115" s="1862">
        <f t="shared" si="27"/>
        <v>92</v>
      </c>
      <c r="L115" s="1862">
        <f t="shared" si="27"/>
        <v>91</v>
      </c>
      <c r="M115" s="1863">
        <f t="shared" si="27"/>
        <v>90</v>
      </c>
      <c r="N115" s="3019"/>
      <c r="O115" s="3019"/>
      <c r="P115" s="1852"/>
      <c r="Q115" s="1821"/>
    </row>
    <row r="116" spans="1:17" ht="15" thickTop="1">
      <c r="A116" s="1903"/>
      <c r="B116" s="1858" t="s">
        <v>2387</v>
      </c>
      <c r="C116" s="3152" t="s">
        <v>2915</v>
      </c>
      <c r="D116" s="468"/>
      <c r="E116" s="468"/>
      <c r="F116" s="468"/>
      <c r="G116" s="468"/>
      <c r="H116" s="1578"/>
      <c r="I116" s="1578"/>
      <c r="J116" s="1578"/>
      <c r="K116" s="473"/>
      <c r="L116" s="473"/>
      <c r="M116" s="1893"/>
      <c r="N116" s="3018"/>
      <c r="O116" s="3018"/>
      <c r="P116" s="1852"/>
      <c r="Q116" s="1821"/>
    </row>
    <row r="117" spans="1:17" ht="14.4" thickBot="1">
      <c r="A117" s="1853"/>
      <c r="B117" s="1861"/>
      <c r="C117" s="1862">
        <v>100</v>
      </c>
      <c r="D117" s="1862">
        <f>C117-$K39</f>
        <v>99</v>
      </c>
      <c r="E117" s="1862">
        <f>D117-$K39</f>
        <v>98</v>
      </c>
      <c r="F117" s="1862">
        <f>E117-$K39</f>
        <v>97</v>
      </c>
      <c r="G117" s="1862">
        <f>F117-$K39</f>
        <v>96</v>
      </c>
      <c r="H117" s="1862"/>
      <c r="I117" s="1862"/>
      <c r="J117" s="1862"/>
      <c r="K117" s="1862"/>
      <c r="L117" s="1862"/>
      <c r="M117" s="1863"/>
      <c r="N117" s="3019"/>
      <c r="O117" s="3019"/>
      <c r="P117" s="1852"/>
      <c r="Q117" s="1821"/>
    </row>
    <row r="118" spans="1:17" ht="15" thickTop="1">
      <c r="A118" s="1903"/>
      <c r="B118" s="1858" t="s">
        <v>2388</v>
      </c>
      <c r="C118" s="2488"/>
      <c r="D118" s="2488"/>
      <c r="E118" s="2488"/>
      <c r="F118" s="2488"/>
      <c r="G118" s="2488"/>
      <c r="H118" s="443"/>
      <c r="I118" s="443"/>
      <c r="J118" s="443"/>
      <c r="K118" s="443"/>
      <c r="L118" s="443"/>
      <c r="M118" s="1870"/>
      <c r="N118" s="3018"/>
      <c r="O118" s="3018"/>
      <c r="P118" s="1852"/>
      <c r="Q118" s="1821"/>
    </row>
    <row r="119" spans="1:17" ht="14.4" thickBot="1">
      <c r="A119" s="1853"/>
      <c r="B119" s="1861"/>
      <c r="C119" s="1874"/>
      <c r="D119" s="1855"/>
      <c r="E119" s="1855"/>
      <c r="F119" s="1855"/>
      <c r="G119" s="1855"/>
      <c r="H119" s="1855"/>
      <c r="I119" s="1855"/>
      <c r="J119" s="1855"/>
      <c r="K119" s="1855"/>
      <c r="L119" s="1855"/>
      <c r="M119" s="1856"/>
      <c r="N119" s="3019"/>
      <c r="O119" s="3019"/>
      <c r="P119" s="1852"/>
      <c r="Q119" s="1821"/>
    </row>
    <row r="120" spans="1:17" s="1771" customFormat="1" ht="15" thickTop="1">
      <c r="A120" s="1899"/>
      <c r="B120" s="1858" t="s">
        <v>2389</v>
      </c>
      <c r="C120" s="1578"/>
      <c r="D120" s="1578"/>
      <c r="E120" s="1578"/>
      <c r="F120" s="1578"/>
      <c r="G120" s="443"/>
      <c r="H120" s="443"/>
      <c r="I120" s="443"/>
      <c r="J120" s="443"/>
      <c r="K120" s="443"/>
      <c r="L120" s="443"/>
      <c r="M120" s="1870"/>
      <c r="N120" s="3020"/>
      <c r="O120" s="3020"/>
      <c r="P120" s="1872"/>
      <c r="Q120" s="1873"/>
    </row>
    <row r="121" spans="1:17" s="1771" customFormat="1" ht="14.4"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20"/>
      <c r="O121" s="3020"/>
      <c r="P121" s="1872"/>
      <c r="Q121" s="1873"/>
    </row>
    <row r="122" spans="1:17" ht="15" thickTop="1">
      <c r="A122" s="1903"/>
      <c r="B122" s="1858" t="s">
        <v>2339</v>
      </c>
      <c r="C122" s="468"/>
      <c r="D122" s="468"/>
      <c r="E122" s="468"/>
      <c r="F122" s="1578"/>
      <c r="G122" s="1578"/>
      <c r="H122" s="1578"/>
      <c r="I122" s="1578"/>
      <c r="J122" s="1578"/>
      <c r="K122" s="473"/>
      <c r="L122" s="473"/>
      <c r="M122" s="1893"/>
      <c r="N122" s="3018"/>
      <c r="O122" s="3018"/>
      <c r="P122" s="1852"/>
      <c r="Q122" s="1821"/>
    </row>
    <row r="123" spans="1:17" ht="14.4"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9"/>
      <c r="O123" s="3019"/>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3018"/>
      <c r="O124" s="3018"/>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9"/>
      <c r="O125" s="3019"/>
      <c r="P125" s="1852"/>
      <c r="Q125" s="1821"/>
    </row>
    <row r="126" spans="1:17" s="1771" customFormat="1" ht="15" thickTop="1">
      <c r="A126" s="1899"/>
      <c r="B126" s="1858">
        <f>B44</f>
        <v>111</v>
      </c>
      <c r="C126" s="1710" t="s">
        <v>3040</v>
      </c>
      <c r="D126" s="468" t="s">
        <v>3041</v>
      </c>
      <c r="E126" s="468" t="s">
        <v>3042</v>
      </c>
      <c r="G126" s="468"/>
      <c r="H126" s="443"/>
      <c r="I126" s="443">
        <v>2</v>
      </c>
      <c r="J126" s="443"/>
      <c r="K126" s="443"/>
      <c r="L126" s="443"/>
      <c r="M126" s="1870"/>
      <c r="N126" s="3020"/>
      <c r="O126" s="3020"/>
      <c r="P126" s="1872"/>
      <c r="Q126" s="1873"/>
    </row>
    <row r="127" spans="1:17" s="1771" customFormat="1" ht="14.4" thickBot="1">
      <c r="A127" s="1869"/>
      <c r="B127" s="1861"/>
      <c r="C127" s="1874">
        <f>D127-$I$126</f>
        <v>98</v>
      </c>
      <c r="D127" s="1855">
        <v>100</v>
      </c>
      <c r="E127" s="1855">
        <f>D127+$I$126</f>
        <v>102</v>
      </c>
      <c r="F127" s="1855"/>
      <c r="G127" s="1874"/>
      <c r="H127" s="1877"/>
      <c r="I127" s="1877"/>
      <c r="J127" s="1877"/>
      <c r="K127" s="1877"/>
      <c r="L127" s="1877"/>
      <c r="M127" s="1878"/>
      <c r="N127" s="3020"/>
      <c r="O127" s="3020"/>
      <c r="P127" s="1872"/>
      <c r="Q127" s="1873"/>
    </row>
    <row r="128" spans="1:17" ht="14.4" thickTop="1">
      <c r="A128" s="1903"/>
      <c r="B128" s="1858">
        <f>B45</f>
        <v>111</v>
      </c>
      <c r="C128" s="468"/>
      <c r="D128" s="468"/>
      <c r="E128" s="468"/>
      <c r="F128" s="468"/>
      <c r="G128" s="1578"/>
      <c r="H128" s="1578"/>
      <c r="I128" s="1578"/>
      <c r="J128" s="1578"/>
      <c r="K128" s="473"/>
      <c r="L128" s="473"/>
      <c r="M128" s="1893"/>
      <c r="N128" s="3018"/>
      <c r="O128" s="3018"/>
      <c r="P128" s="1852"/>
      <c r="Q128" s="1821"/>
    </row>
    <row r="129" spans="1:17" ht="14.4" thickBot="1">
      <c r="A129" s="1853"/>
      <c r="B129" s="1861"/>
      <c r="C129" s="1874"/>
      <c r="D129" s="1855"/>
      <c r="E129" s="1855"/>
      <c r="F129" s="1855"/>
      <c r="G129" s="1855"/>
      <c r="H129" s="1855"/>
      <c r="I129" s="1855"/>
      <c r="J129" s="1855"/>
      <c r="K129" s="1855"/>
      <c r="L129" s="1855"/>
      <c r="M129" s="1856"/>
      <c r="N129" s="3019"/>
      <c r="O129" s="3019"/>
      <c r="P129" s="1852"/>
      <c r="Q129" s="1821"/>
    </row>
    <row r="130" spans="1:17" ht="14.4" thickTop="1">
      <c r="A130" s="1903"/>
      <c r="B130" s="1864">
        <f>B46</f>
        <v>111</v>
      </c>
      <c r="C130" s="468"/>
      <c r="D130" s="468"/>
      <c r="E130" s="468"/>
      <c r="F130" s="468"/>
      <c r="G130" s="1894"/>
      <c r="H130" s="1894"/>
      <c r="I130" s="1894"/>
      <c r="J130" s="1894"/>
      <c r="K130" s="409"/>
      <c r="L130" s="409"/>
      <c r="M130" s="1895"/>
      <c r="N130" s="3018"/>
      <c r="O130" s="3018"/>
      <c r="P130" s="1852"/>
      <c r="Q130" s="1821"/>
    </row>
    <row r="131" spans="1:17" ht="14.4" thickBot="1">
      <c r="A131" s="1896"/>
      <c r="B131" s="1881"/>
      <c r="C131" s="1882"/>
      <c r="D131" s="1882"/>
      <c r="E131" s="1882"/>
      <c r="F131" s="1882"/>
      <c r="G131" s="1897"/>
      <c r="H131" s="1897"/>
      <c r="I131" s="1897"/>
      <c r="J131" s="1897"/>
      <c r="K131" s="1897"/>
      <c r="L131" s="1897"/>
      <c r="M131" s="1898"/>
      <c r="N131" s="3019"/>
      <c r="O131" s="3019"/>
      <c r="P131" s="1852"/>
      <c r="Q131" s="1821"/>
    </row>
  </sheetData>
  <sheetProtection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C18 E18 G18 I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3" sqref="P23"/>
    </sheetView>
  </sheetViews>
  <sheetFormatPr defaultRowHeight="14.4"/>
  <sheetData/>
  <phoneticPr fontId="14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5" zoomScaleNormal="70" zoomScaleSheetLayoutView="85" workbookViewId="0">
      <selection activeCell="C54" sqref="C54"/>
    </sheetView>
  </sheetViews>
  <sheetFormatPr defaultColWidth="9" defaultRowHeight="13.8"/>
  <cols>
    <col min="1" max="1" width="10.44140625" style="1667" customWidth="1"/>
    <col min="2" max="2" width="15.6640625" style="1667" customWidth="1"/>
    <col min="3" max="3" width="15.10937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1288</v>
      </c>
      <c r="B3" s="1660">
        <f>ROUND(IF(D2="——",C49,IF(C2="万元",B2*10000/D3,B2/D3)),0)</f>
        <v>229</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4.4">
      <c r="A4" s="1663" t="s">
        <v>2253</v>
      </c>
      <c r="B4" s="1664"/>
      <c r="C4" s="3498" t="s">
        <v>2254</v>
      </c>
      <c r="D4" s="3499"/>
      <c r="E4" s="3500" t="s">
        <v>2255</v>
      </c>
      <c r="F4" s="3501"/>
      <c r="G4" s="3498" t="s">
        <v>2256</v>
      </c>
      <c r="H4" s="3499"/>
      <c r="I4" s="3498" t="s">
        <v>2257</v>
      </c>
      <c r="J4" s="3499"/>
      <c r="K4" s="1665" t="s">
        <v>2258</v>
      </c>
      <c r="L4" s="2999"/>
      <c r="M4" s="3000"/>
      <c r="N4" s="3000"/>
      <c r="O4" s="3000"/>
      <c r="P4" s="3502" t="s">
        <v>2259</v>
      </c>
      <c r="Q4" s="3503"/>
      <c r="R4" s="3486" t="s">
        <v>2255</v>
      </c>
      <c r="S4" s="3487"/>
      <c r="T4" s="3486" t="s">
        <v>2256</v>
      </c>
      <c r="U4" s="3487"/>
      <c r="V4" s="3508" t="s">
        <v>2257</v>
      </c>
      <c r="W4" s="3508"/>
      <c r="X4" s="3192"/>
      <c r="Y4" s="3486" t="s">
        <v>2259</v>
      </c>
      <c r="Z4" s="3487"/>
      <c r="AA4" s="3495" t="s">
        <v>2255</v>
      </c>
      <c r="AB4" s="3495" t="s">
        <v>2256</v>
      </c>
      <c r="AC4" s="3495" t="s">
        <v>2257</v>
      </c>
    </row>
    <row r="5" spans="1:29" ht="30.75" customHeight="1">
      <c r="A5" s="1668"/>
      <c r="B5" s="1669"/>
      <c r="C5" s="3509" t="s">
        <v>3045</v>
      </c>
      <c r="D5" s="3510"/>
      <c r="E5" s="3482" t="s">
        <v>3051</v>
      </c>
      <c r="F5" s="3483"/>
      <c r="G5" s="3482" t="s">
        <v>3052</v>
      </c>
      <c r="H5" s="3483"/>
      <c r="I5" s="3482" t="s">
        <v>3051</v>
      </c>
      <c r="J5" s="3483"/>
      <c r="K5" s="1670"/>
      <c r="L5" s="2999"/>
      <c r="M5" s="3000"/>
      <c r="N5" s="3000"/>
      <c r="O5" s="3000"/>
      <c r="P5" s="3504"/>
      <c r="Q5" s="3505"/>
      <c r="R5" s="3488"/>
      <c r="S5" s="3489"/>
      <c r="T5" s="3488"/>
      <c r="U5" s="3489"/>
      <c r="V5" s="3508"/>
      <c r="W5" s="3508"/>
      <c r="X5" s="3192"/>
      <c r="Y5" s="3488"/>
      <c r="Z5" s="3489"/>
      <c r="AA5" s="3496"/>
      <c r="AB5" s="3496"/>
      <c r="AC5" s="3496"/>
    </row>
    <row r="6" spans="1:29" ht="29.25" customHeight="1" thickBot="1">
      <c r="A6" s="1671"/>
      <c r="B6" s="1672"/>
      <c r="C6" s="3494" t="s">
        <v>3037</v>
      </c>
      <c r="D6" s="3481"/>
      <c r="E6" s="3494"/>
      <c r="F6" s="3481"/>
      <c r="G6" s="3494"/>
      <c r="H6" s="3481"/>
      <c r="I6" s="3480"/>
      <c r="J6" s="3481"/>
      <c r="K6" s="1670" t="s">
        <v>2265</v>
      </c>
      <c r="L6" s="2999"/>
      <c r="M6" s="3000"/>
      <c r="N6" s="3000"/>
      <c r="O6" s="3000"/>
      <c r="P6" s="3506"/>
      <c r="Q6" s="3507"/>
      <c r="R6" s="3488"/>
      <c r="S6" s="3489"/>
      <c r="T6" s="3490"/>
      <c r="U6" s="3491"/>
      <c r="V6" s="3508"/>
      <c r="W6" s="3508"/>
      <c r="X6" s="3192"/>
      <c r="Y6" s="3490"/>
      <c r="Z6" s="3491"/>
      <c r="AA6" s="3497"/>
      <c r="AB6" s="3497"/>
      <c r="AC6" s="3497"/>
    </row>
    <row r="7" spans="1:29" s="1685" customFormat="1" ht="15" thickBot="1">
      <c r="A7" s="1673" t="s">
        <v>2266</v>
      </c>
      <c r="B7" s="1674"/>
      <c r="C7" s="1675">
        <f>'数据-取费表'!B2</f>
        <v>45558</v>
      </c>
      <c r="D7" s="1676">
        <v>100</v>
      </c>
      <c r="E7" s="1677">
        <f>C7</f>
        <v>45558</v>
      </c>
      <c r="F7" s="1678">
        <f>SUMIF(58:58,YEAR(E7)&amp;"-"&amp;MONTH(E7),59:59)</f>
        <v>100</v>
      </c>
      <c r="G7" s="1677">
        <f>E7</f>
        <v>45558</v>
      </c>
      <c r="H7" s="1676">
        <f>SUMIF(58:58,YEAR(G7)&amp;"-"&amp;MONTH(G7),59:59)</f>
        <v>100</v>
      </c>
      <c r="I7" s="1677">
        <f>E7</f>
        <v>45558</v>
      </c>
      <c r="J7" s="1676">
        <f>SUMIF(58:58,YEAR(I7)&amp;"-"&amp;MONTH(I7),59:59)</f>
        <v>100</v>
      </c>
      <c r="K7" s="1679"/>
      <c r="L7" s="2999"/>
      <c r="M7" s="2972"/>
      <c r="N7" s="2972"/>
      <c r="O7" s="2972"/>
      <c r="P7" s="3484" t="s">
        <v>2267</v>
      </c>
      <c r="Q7" s="3492"/>
      <c r="R7" s="1681" t="s">
        <v>25</v>
      </c>
      <c r="S7" s="1682">
        <f t="shared" ref="S7:S15" si="0">F7</f>
        <v>100</v>
      </c>
      <c r="T7" s="1681" t="s">
        <v>25</v>
      </c>
      <c r="U7" s="1682">
        <f t="shared" ref="U7:U15" si="1">H7</f>
        <v>100</v>
      </c>
      <c r="V7" s="1681" t="s">
        <v>25</v>
      </c>
      <c r="W7" s="1682">
        <f t="shared" ref="W7:W15" si="2">J7</f>
        <v>100</v>
      </c>
      <c r="X7" s="1683"/>
      <c r="Y7" s="3484" t="s">
        <v>2267</v>
      </c>
      <c r="Z7" s="3485"/>
      <c r="AA7" s="1684">
        <f>D7/F7</f>
        <v>1</v>
      </c>
      <c r="AB7" s="1684">
        <f>D7/H7</f>
        <v>1</v>
      </c>
      <c r="AC7" s="1684">
        <f>D7/J7</f>
        <v>1</v>
      </c>
    </row>
    <row r="8" spans="1:29" s="1685" customFormat="1" ht="1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84" t="s">
        <v>2270</v>
      </c>
      <c r="Q8" s="3485"/>
      <c r="R8" s="1681" t="s">
        <v>25</v>
      </c>
      <c r="S8" s="1682">
        <f t="shared" si="0"/>
        <v>100</v>
      </c>
      <c r="T8" s="1681" t="s">
        <v>25</v>
      </c>
      <c r="U8" s="1682">
        <f t="shared" si="1"/>
        <v>100</v>
      </c>
      <c r="V8" s="1681" t="s">
        <v>25</v>
      </c>
      <c r="W8" s="1682">
        <f t="shared" si="2"/>
        <v>100</v>
      </c>
      <c r="X8" s="1683"/>
      <c r="Y8" s="3484" t="s">
        <v>2270</v>
      </c>
      <c r="Z8" s="3485"/>
      <c r="AA8" s="1684">
        <f t="shared" ref="AA8:AA46" si="3">D8/F8</f>
        <v>1</v>
      </c>
      <c r="AB8" s="1684">
        <f t="shared" ref="AB8:AB46" si="4">D8/H8</f>
        <v>1</v>
      </c>
      <c r="AC8" s="1684">
        <f t="shared" ref="AC8:AC46" si="5">D8/J8</f>
        <v>1</v>
      </c>
    </row>
    <row r="9" spans="1:29" s="1685" customFormat="1" ht="15" thickBot="1">
      <c r="A9" s="3190"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493" t="s">
        <v>2273</v>
      </c>
      <c r="Q9" s="3189" t="str">
        <f t="shared" ref="Q9:Q15" si="6">B9</f>
        <v>用途</v>
      </c>
      <c r="R9" s="1681" t="s">
        <v>25</v>
      </c>
      <c r="S9" s="1682">
        <f t="shared" si="0"/>
        <v>100</v>
      </c>
      <c r="T9" s="1681" t="s">
        <v>25</v>
      </c>
      <c r="U9" s="1682">
        <f t="shared" si="1"/>
        <v>100</v>
      </c>
      <c r="V9" s="1681" t="s">
        <v>25</v>
      </c>
      <c r="W9" s="1682">
        <f t="shared" si="2"/>
        <v>100</v>
      </c>
      <c r="X9" s="1683"/>
      <c r="Y9" s="3328" t="s">
        <v>2274</v>
      </c>
      <c r="Z9" s="1693" t="str">
        <f t="shared" ref="Z9:Z15" si="7">Q9</f>
        <v>用途</v>
      </c>
      <c r="AA9" s="1684">
        <f t="shared" si="3"/>
        <v>1</v>
      </c>
      <c r="AB9" s="1684">
        <f t="shared" si="4"/>
        <v>1</v>
      </c>
      <c r="AC9" s="1684">
        <f t="shared" si="5"/>
        <v>1</v>
      </c>
    </row>
    <row r="10" spans="1:29" s="1701" customFormat="1" ht="29.4" hidden="1" thickBot="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493"/>
      <c r="Q10" s="3189" t="str">
        <f t="shared" si="6"/>
        <v>土地使用年限（年）</v>
      </c>
      <c r="R10" s="1681" t="s">
        <v>25</v>
      </c>
      <c r="S10" s="1682">
        <f t="shared" si="0"/>
        <v>100</v>
      </c>
      <c r="T10" s="1681" t="s">
        <v>25</v>
      </c>
      <c r="U10" s="1682">
        <f t="shared" si="1"/>
        <v>100</v>
      </c>
      <c r="V10" s="1681" t="s">
        <v>25</v>
      </c>
      <c r="W10" s="1682">
        <f t="shared" si="2"/>
        <v>100</v>
      </c>
      <c r="X10" s="1683"/>
      <c r="Y10" s="3328"/>
      <c r="Z10" s="1693" t="str">
        <f t="shared" si="7"/>
        <v>土地使用年限（年）</v>
      </c>
      <c r="AA10" s="1684">
        <f t="shared" si="3"/>
        <v>1</v>
      </c>
      <c r="AB10" s="1684">
        <f t="shared" si="4"/>
        <v>1</v>
      </c>
      <c r="AC10" s="1684">
        <f t="shared" si="5"/>
        <v>1</v>
      </c>
    </row>
    <row r="11" spans="1:29" ht="15.6" hidden="1" thickBot="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493"/>
      <c r="Q11" s="3189" t="str">
        <f t="shared" si="6"/>
        <v>容积率</v>
      </c>
      <c r="R11" s="1681" t="s">
        <v>25</v>
      </c>
      <c r="S11" s="1682">
        <f t="shared" si="0"/>
        <v>100</v>
      </c>
      <c r="T11" s="1681" t="s">
        <v>25</v>
      </c>
      <c r="U11" s="1682">
        <f t="shared" si="1"/>
        <v>100</v>
      </c>
      <c r="V11" s="1681" t="s">
        <v>25</v>
      </c>
      <c r="W11" s="1682">
        <f t="shared" si="2"/>
        <v>100</v>
      </c>
      <c r="X11" s="1683"/>
      <c r="Y11" s="3328"/>
      <c r="Z11" s="1693" t="str">
        <f t="shared" si="7"/>
        <v>容积率</v>
      </c>
      <c r="AA11" s="1684">
        <f t="shared" si="3"/>
        <v>1</v>
      </c>
      <c r="AB11" s="1684">
        <f t="shared" si="4"/>
        <v>1</v>
      </c>
      <c r="AC11" s="1684">
        <f t="shared" si="5"/>
        <v>1</v>
      </c>
    </row>
    <row r="12" spans="1:29" s="1685" customFormat="1" ht="15.6" hidden="1" thickBot="1">
      <c r="A12" s="3191"/>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493"/>
      <c r="Q12" s="3189">
        <f t="shared" si="6"/>
        <v>111</v>
      </c>
      <c r="R12" s="1681" t="s">
        <v>25</v>
      </c>
      <c r="S12" s="1682">
        <f t="shared" si="0"/>
        <v>100</v>
      </c>
      <c r="T12" s="1681" t="s">
        <v>25</v>
      </c>
      <c r="U12" s="1682">
        <f t="shared" si="1"/>
        <v>100</v>
      </c>
      <c r="V12" s="1681" t="s">
        <v>25</v>
      </c>
      <c r="W12" s="1682">
        <f t="shared" si="2"/>
        <v>100</v>
      </c>
      <c r="X12" s="1683"/>
      <c r="Y12" s="3328"/>
      <c r="Z12" s="1693">
        <f t="shared" si="7"/>
        <v>111</v>
      </c>
      <c r="AA12" s="1684">
        <f>D12/F12</f>
        <v>1</v>
      </c>
      <c r="AB12" s="1684">
        <f>D12/H12</f>
        <v>1</v>
      </c>
      <c r="AC12" s="1684">
        <f>D12/J12</f>
        <v>1</v>
      </c>
    </row>
    <row r="13" spans="1:29" ht="15.6" hidden="1" thickBot="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493"/>
      <c r="Q13" s="3189">
        <f t="shared" si="6"/>
        <v>111</v>
      </c>
      <c r="R13" s="1681" t="s">
        <v>25</v>
      </c>
      <c r="S13" s="1682">
        <f t="shared" si="0"/>
        <v>100</v>
      </c>
      <c r="T13" s="1681" t="s">
        <v>25</v>
      </c>
      <c r="U13" s="1682">
        <f t="shared" si="1"/>
        <v>100</v>
      </c>
      <c r="V13" s="1681" t="s">
        <v>25</v>
      </c>
      <c r="W13" s="1682">
        <f t="shared" si="2"/>
        <v>100</v>
      </c>
      <c r="X13" s="1683"/>
      <c r="Y13" s="3328"/>
      <c r="Z13" s="1693">
        <f t="shared" si="7"/>
        <v>111</v>
      </c>
      <c r="AA13" s="1684">
        <f t="shared" si="3"/>
        <v>1</v>
      </c>
      <c r="AB13" s="1684">
        <f t="shared" si="4"/>
        <v>1</v>
      </c>
      <c r="AC13" s="1684">
        <f t="shared" si="5"/>
        <v>1</v>
      </c>
    </row>
    <row r="14" spans="1:29" ht="15.6"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493"/>
      <c r="Q14" s="3189">
        <f t="shared" si="6"/>
        <v>111</v>
      </c>
      <c r="R14" s="1681" t="s">
        <v>25</v>
      </c>
      <c r="S14" s="1682">
        <f t="shared" si="0"/>
        <v>100</v>
      </c>
      <c r="T14" s="1681" t="s">
        <v>25</v>
      </c>
      <c r="U14" s="1682">
        <f t="shared" si="1"/>
        <v>100</v>
      </c>
      <c r="V14" s="1681" t="s">
        <v>25</v>
      </c>
      <c r="W14" s="1682">
        <f t="shared" si="2"/>
        <v>100</v>
      </c>
      <c r="X14" s="1683"/>
      <c r="Y14" s="3328"/>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110</v>
      </c>
      <c r="G15" s="1723"/>
      <c r="H15" s="1720">
        <f>SUMIF(76:76,G16,77:77)-SUMIF(76:76,C16,77:77)+100</f>
        <v>110</v>
      </c>
      <c r="I15" s="1721"/>
      <c r="J15" s="1720">
        <f>SUMIF(76:76,I16,77:77)-SUMIF(76:76,C16,77:77)+100</f>
        <v>110</v>
      </c>
      <c r="K15" s="1724">
        <v>10</v>
      </c>
      <c r="L15" s="3004"/>
      <c r="M15" s="3000"/>
      <c r="N15" s="3000"/>
      <c r="O15" s="3000"/>
      <c r="P15" s="3471" t="s">
        <v>2278</v>
      </c>
      <c r="Q15" s="3195" t="str">
        <f t="shared" si="6"/>
        <v>居住社区成熟度</v>
      </c>
      <c r="R15" s="1725" t="s">
        <v>25</v>
      </c>
      <c r="S15" s="1726">
        <f t="shared" si="0"/>
        <v>110</v>
      </c>
      <c r="T15" s="1725" t="s">
        <v>25</v>
      </c>
      <c r="U15" s="1726">
        <f t="shared" si="1"/>
        <v>110</v>
      </c>
      <c r="V15" s="1725" t="s">
        <v>25</v>
      </c>
      <c r="W15" s="1726">
        <f t="shared" si="2"/>
        <v>110</v>
      </c>
      <c r="X15" s="3192"/>
      <c r="Y15" s="3473" t="s">
        <v>2278</v>
      </c>
      <c r="Z15" s="3193" t="str">
        <f t="shared" si="7"/>
        <v>居住社区成熟度</v>
      </c>
      <c r="AA15" s="3196">
        <f t="shared" si="3"/>
        <v>0.90909090909090906</v>
      </c>
      <c r="AB15" s="3196">
        <f t="shared" si="4"/>
        <v>0.90909090909090906</v>
      </c>
      <c r="AC15" s="3196">
        <f t="shared" si="5"/>
        <v>0.90909090909090906</v>
      </c>
    </row>
    <row r="16" spans="1:29" ht="15">
      <c r="A16" s="1702"/>
      <c r="B16" s="1729"/>
      <c r="C16" s="1730" t="s">
        <v>31</v>
      </c>
      <c r="D16" s="1731"/>
      <c r="E16" s="1732" t="s">
        <v>30</v>
      </c>
      <c r="F16" s="1733"/>
      <c r="G16" s="1734" t="s">
        <v>30</v>
      </c>
      <c r="H16" s="1735"/>
      <c r="I16" s="1732" t="s">
        <v>30</v>
      </c>
      <c r="J16" s="1731"/>
      <c r="K16" s="1736"/>
      <c r="L16" s="3004"/>
      <c r="M16" s="3000"/>
      <c r="N16" s="3000"/>
      <c r="O16" s="3000"/>
      <c r="P16" s="3472"/>
      <c r="Q16" s="3195"/>
      <c r="R16" s="1725"/>
      <c r="S16" s="1726"/>
      <c r="T16" s="1725"/>
      <c r="U16" s="1726"/>
      <c r="V16" s="1725"/>
      <c r="W16" s="1726"/>
      <c r="X16" s="3192"/>
      <c r="Y16" s="3474"/>
      <c r="Z16" s="3193"/>
      <c r="AA16" s="3196">
        <v>1</v>
      </c>
      <c r="AB16" s="3196">
        <v>1</v>
      </c>
      <c r="AC16" s="3196">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115</v>
      </c>
      <c r="G17" s="1741"/>
      <c r="H17" s="1742">
        <f>SUMIF(78:78,G18,79:79)-SUMIF(78:78,C18,79:79)+100</f>
        <v>115</v>
      </c>
      <c r="I17" s="1739"/>
      <c r="J17" s="1742">
        <f>SUMIF(78:78,I18,79:79)-SUMIF(78:78,C18,79:79)+100</f>
        <v>115</v>
      </c>
      <c r="K17" s="1724">
        <v>15</v>
      </c>
      <c r="L17" s="3004"/>
      <c r="M17" s="3000"/>
      <c r="N17" s="3000"/>
      <c r="O17" s="3000"/>
      <c r="P17" s="3472"/>
      <c r="Q17" s="3195" t="str">
        <f>B17</f>
        <v>交通便捷度</v>
      </c>
      <c r="R17" s="1725" t="s">
        <v>25</v>
      </c>
      <c r="S17" s="1726">
        <f>F17</f>
        <v>115</v>
      </c>
      <c r="T17" s="1725" t="s">
        <v>25</v>
      </c>
      <c r="U17" s="1726">
        <f>H17</f>
        <v>115</v>
      </c>
      <c r="V17" s="1725" t="s">
        <v>25</v>
      </c>
      <c r="W17" s="1726">
        <f>J17</f>
        <v>115</v>
      </c>
      <c r="X17" s="3192"/>
      <c r="Y17" s="3474"/>
      <c r="Z17" s="3193" t="str">
        <f>Q17</f>
        <v>交通便捷度</v>
      </c>
      <c r="AA17" s="3196">
        <f t="shared" si="3"/>
        <v>0.86956521739130432</v>
      </c>
      <c r="AB17" s="3196">
        <f t="shared" si="4"/>
        <v>0.86956521739130432</v>
      </c>
      <c r="AC17" s="3196">
        <f t="shared" si="5"/>
        <v>0.86956521739130432</v>
      </c>
    </row>
    <row r="18" spans="1:29" ht="15">
      <c r="A18" s="1702"/>
      <c r="B18" s="1743"/>
      <c r="C18" s="1744" t="s">
        <v>31</v>
      </c>
      <c r="D18" s="1735"/>
      <c r="E18" s="1745" t="s">
        <v>30</v>
      </c>
      <c r="F18" s="1740"/>
      <c r="G18" s="1746" t="s">
        <v>30</v>
      </c>
      <c r="H18" s="1731"/>
      <c r="I18" s="1745" t="s">
        <v>30</v>
      </c>
      <c r="J18" s="1731"/>
      <c r="K18" s="1736"/>
      <c r="L18" s="3004"/>
      <c r="M18" s="3000"/>
      <c r="N18" s="3000"/>
      <c r="O18" s="3000"/>
      <c r="P18" s="3472"/>
      <c r="Q18" s="3195"/>
      <c r="R18" s="1725"/>
      <c r="S18" s="1726"/>
      <c r="T18" s="1725"/>
      <c r="U18" s="1726"/>
      <c r="V18" s="1725"/>
      <c r="W18" s="1726"/>
      <c r="X18" s="3192"/>
      <c r="Y18" s="3474"/>
      <c r="Z18" s="3193"/>
      <c r="AA18" s="3196">
        <v>1</v>
      </c>
      <c r="AB18" s="3196">
        <v>1</v>
      </c>
      <c r="AC18" s="3196">
        <v>1</v>
      </c>
    </row>
    <row r="19" spans="1:29" ht="41.4">
      <c r="A19" s="1702"/>
      <c r="B19" s="1737" t="s">
        <v>1712</v>
      </c>
      <c r="C19" s="1738" t="str">
        <f>估价对象房地状况!C7</f>
        <v>估价对象所在区域公共配套设施较齐备</v>
      </c>
      <c r="D19" s="1742">
        <v>100</v>
      </c>
      <c r="E19" s="1747"/>
      <c r="F19" s="1748">
        <f>SUMIF(80:80,E20,81:81)-SUMIF(80:80,C20,81:81)+100</f>
        <v>115</v>
      </c>
      <c r="G19" s="1749"/>
      <c r="H19" s="1735">
        <f>SUMIF(80:80,G20,81:81)-SUMIF(80:80,C20,81:81)+100</f>
        <v>115</v>
      </c>
      <c r="I19" s="1747"/>
      <c r="J19" s="1735">
        <f>SUMIF(80:80,I20,81:81)-SUMIF(80:80,C20,81:81)+100</f>
        <v>115</v>
      </c>
      <c r="K19" s="1724">
        <v>15</v>
      </c>
      <c r="L19" s="3004"/>
      <c r="M19" s="3000"/>
      <c r="N19" s="3000"/>
      <c r="O19" s="3000"/>
      <c r="P19" s="3472"/>
      <c r="Q19" s="3195" t="str">
        <f>B19</f>
        <v>公共配套设施</v>
      </c>
      <c r="R19" s="1725" t="s">
        <v>25</v>
      </c>
      <c r="S19" s="1726">
        <f>F19</f>
        <v>115</v>
      </c>
      <c r="T19" s="1725" t="s">
        <v>25</v>
      </c>
      <c r="U19" s="1726">
        <f>H19</f>
        <v>115</v>
      </c>
      <c r="V19" s="1725" t="s">
        <v>25</v>
      </c>
      <c r="W19" s="1726">
        <f>J19</f>
        <v>115</v>
      </c>
      <c r="X19" s="3192"/>
      <c r="Y19" s="3474"/>
      <c r="Z19" s="3193" t="str">
        <f>Q19</f>
        <v>公共配套设施</v>
      </c>
      <c r="AA19" s="3196">
        <f t="shared" si="3"/>
        <v>0.86956521739130432</v>
      </c>
      <c r="AB19" s="3196">
        <f t="shared" si="4"/>
        <v>0.86956521739130432</v>
      </c>
      <c r="AC19" s="3196">
        <f t="shared" si="5"/>
        <v>0.86956521739130432</v>
      </c>
    </row>
    <row r="20" spans="1:29" ht="15">
      <c r="A20" s="1702"/>
      <c r="B20" s="1743"/>
      <c r="C20" s="1730" t="s">
        <v>31</v>
      </c>
      <c r="D20" s="1731"/>
      <c r="E20" s="1732" t="s">
        <v>30</v>
      </c>
      <c r="F20" s="1733"/>
      <c r="G20" s="1734" t="s">
        <v>30</v>
      </c>
      <c r="H20" s="1731"/>
      <c r="I20" s="1732" t="s">
        <v>30</v>
      </c>
      <c r="J20" s="1731"/>
      <c r="K20" s="1736"/>
      <c r="L20" s="3004"/>
      <c r="M20" s="3000"/>
      <c r="N20" s="3000"/>
      <c r="O20" s="3000"/>
      <c r="P20" s="3472"/>
      <c r="Q20" s="3195"/>
      <c r="R20" s="1725"/>
      <c r="S20" s="1726"/>
      <c r="T20" s="1725"/>
      <c r="U20" s="1726"/>
      <c r="V20" s="1725"/>
      <c r="W20" s="1726"/>
      <c r="X20" s="3192"/>
      <c r="Y20" s="3474"/>
      <c r="Z20" s="3193"/>
      <c r="AA20" s="3196">
        <v>1</v>
      </c>
      <c r="AB20" s="3196">
        <v>1</v>
      </c>
      <c r="AC20" s="3196">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472"/>
      <c r="Q21" s="3195" t="str">
        <f>B21</f>
        <v>基础设施水平</v>
      </c>
      <c r="R21" s="1725" t="s">
        <v>25</v>
      </c>
      <c r="S21" s="1726">
        <f>F21</f>
        <v>100</v>
      </c>
      <c r="T21" s="1725" t="s">
        <v>25</v>
      </c>
      <c r="U21" s="1726">
        <f>H21</f>
        <v>100</v>
      </c>
      <c r="V21" s="1725" t="s">
        <v>25</v>
      </c>
      <c r="W21" s="1726">
        <f>J21</f>
        <v>100</v>
      </c>
      <c r="X21" s="3192"/>
      <c r="Y21" s="3474"/>
      <c r="Z21" s="3193" t="str">
        <f>Q21</f>
        <v>基础设施水平</v>
      </c>
      <c r="AA21" s="3196">
        <f t="shared" ref="AA21" si="8">D21/F21</f>
        <v>1</v>
      </c>
      <c r="AB21" s="3196">
        <f t="shared" ref="AB21" si="9">D21/H21</f>
        <v>1</v>
      </c>
      <c r="AC21" s="3196">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472"/>
      <c r="Q22" s="3195"/>
      <c r="R22" s="1725"/>
      <c r="S22" s="1726"/>
      <c r="T22" s="1725"/>
      <c r="U22" s="1726"/>
      <c r="V22" s="1725"/>
      <c r="W22" s="1726"/>
      <c r="X22" s="3192"/>
      <c r="Y22" s="3474"/>
      <c r="Z22" s="3193"/>
      <c r="AA22" s="3196">
        <v>1</v>
      </c>
      <c r="AB22" s="3196">
        <v>1</v>
      </c>
      <c r="AC22" s="3196">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472"/>
      <c r="Q23" s="3195" t="str">
        <f>B23</f>
        <v>自然及人文环境</v>
      </c>
      <c r="R23" s="1725" t="s">
        <v>25</v>
      </c>
      <c r="S23" s="1726">
        <f>F23</f>
        <v>100</v>
      </c>
      <c r="T23" s="1725" t="s">
        <v>25</v>
      </c>
      <c r="U23" s="1726">
        <f>H23</f>
        <v>100</v>
      </c>
      <c r="V23" s="1725" t="s">
        <v>25</v>
      </c>
      <c r="W23" s="1726">
        <f>J23</f>
        <v>100</v>
      </c>
      <c r="X23" s="3192"/>
      <c r="Y23" s="3474"/>
      <c r="Z23" s="3193" t="str">
        <f>Q23</f>
        <v>自然及人文环境</v>
      </c>
      <c r="AA23" s="3196">
        <f t="shared" si="3"/>
        <v>1</v>
      </c>
      <c r="AB23" s="3196">
        <f t="shared" si="4"/>
        <v>1</v>
      </c>
      <c r="AC23" s="3196">
        <f t="shared" si="5"/>
        <v>1</v>
      </c>
    </row>
    <row r="24" spans="1:29" ht="15.6" thickBot="1">
      <c r="A24" s="1702"/>
      <c r="B24" s="1743"/>
      <c r="C24" s="1730" t="s">
        <v>31</v>
      </c>
      <c r="D24" s="1731"/>
      <c r="E24" s="1732" t="s">
        <v>31</v>
      </c>
      <c r="F24" s="1733"/>
      <c r="G24" s="1734" t="s">
        <v>31</v>
      </c>
      <c r="H24" s="1731"/>
      <c r="I24" s="1732" t="s">
        <v>31</v>
      </c>
      <c r="J24" s="1731"/>
      <c r="K24" s="1736"/>
      <c r="L24" s="3004"/>
      <c r="M24" s="3000"/>
      <c r="N24" s="3000"/>
      <c r="O24" s="3000"/>
      <c r="P24" s="3472"/>
      <c r="Q24" s="3195"/>
      <c r="R24" s="1725"/>
      <c r="S24" s="1726"/>
      <c r="T24" s="1725"/>
      <c r="U24" s="1726"/>
      <c r="V24" s="1725"/>
      <c r="W24" s="1726"/>
      <c r="X24" s="3192"/>
      <c r="Y24" s="3474"/>
      <c r="Z24" s="3193"/>
      <c r="AA24" s="3196">
        <v>1</v>
      </c>
      <c r="AB24" s="3196">
        <v>1</v>
      </c>
      <c r="AC24" s="3196">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472"/>
      <c r="Q25" s="3195" t="str">
        <f t="shared" ref="Q25:Q46" si="11">B25</f>
        <v>楼层-1</v>
      </c>
      <c r="R25" s="1725" t="s">
        <v>25</v>
      </c>
      <c r="S25" s="1726">
        <f>F25</f>
        <v>100</v>
      </c>
      <c r="T25" s="1725" t="s">
        <v>25</v>
      </c>
      <c r="U25" s="1726">
        <f>H25</f>
        <v>100</v>
      </c>
      <c r="V25" s="1725" t="s">
        <v>25</v>
      </c>
      <c r="W25" s="1726">
        <f>J25</f>
        <v>100</v>
      </c>
      <c r="X25" s="3192"/>
      <c r="Y25" s="3474"/>
      <c r="Z25" s="3193" t="str">
        <f>Q25</f>
        <v>楼层-1</v>
      </c>
      <c r="AA25" s="3196">
        <f t="shared" si="3"/>
        <v>1</v>
      </c>
      <c r="AB25" s="3196">
        <f t="shared" si="4"/>
        <v>1</v>
      </c>
      <c r="AC25" s="3196">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472"/>
      <c r="Q26" s="3195" t="str">
        <f t="shared" si="11"/>
        <v>朝向</v>
      </c>
      <c r="R26" s="1725" t="s">
        <v>25</v>
      </c>
      <c r="S26" s="1726">
        <f>F26</f>
        <v>100</v>
      </c>
      <c r="T26" s="1725" t="s">
        <v>25</v>
      </c>
      <c r="U26" s="1726">
        <f>H26</f>
        <v>100</v>
      </c>
      <c r="V26" s="1725" t="s">
        <v>25</v>
      </c>
      <c r="W26" s="1726">
        <f>J26</f>
        <v>100</v>
      </c>
      <c r="X26" s="3192"/>
      <c r="Y26" s="3474"/>
      <c r="Z26" s="3193" t="str">
        <f>Q26</f>
        <v>朝向</v>
      </c>
      <c r="AA26" s="3196">
        <f t="shared" si="3"/>
        <v>1</v>
      </c>
      <c r="AB26" s="3196">
        <f t="shared" si="4"/>
        <v>1</v>
      </c>
      <c r="AC26" s="3196">
        <f t="shared" si="5"/>
        <v>1</v>
      </c>
    </row>
    <row r="27" spans="1:29" s="1685" customFormat="1" ht="15" hidden="1">
      <c r="A27" s="3191"/>
      <c r="B27" s="1706" t="s">
        <v>2281</v>
      </c>
      <c r="C27" s="3163"/>
      <c r="D27" s="1756">
        <v>100</v>
      </c>
      <c r="E27" s="3186"/>
      <c r="F27" s="3172">
        <f>SUMIF(90:90,E27,91:91)-SUMIF(90:90,C27,91:91)+100</f>
        <v>100</v>
      </c>
      <c r="G27" s="3163">
        <f>C27</f>
        <v>0</v>
      </c>
      <c r="H27" s="1756">
        <f>SUMIF(90:90,G27,91:91)-SUMIF(90:90,C27,91:91)+100</f>
        <v>100</v>
      </c>
      <c r="I27" s="3186">
        <f>C27</f>
        <v>0</v>
      </c>
      <c r="J27" s="1756">
        <f>SUMIF(90:90,I27,91:91)-SUMIF(90:90,C27,91:91)+100</f>
        <v>100</v>
      </c>
      <c r="K27" s="1709"/>
      <c r="L27" s="2999"/>
      <c r="M27" s="2972"/>
      <c r="N27" s="2972"/>
      <c r="O27" s="2972"/>
      <c r="P27" s="3472"/>
      <c r="Q27" s="3189" t="str">
        <f t="shared" si="11"/>
        <v>道路级别</v>
      </c>
      <c r="R27" s="1681" t="s">
        <v>25</v>
      </c>
      <c r="S27" s="1682">
        <f>F27</f>
        <v>100</v>
      </c>
      <c r="T27" s="1681" t="s">
        <v>25</v>
      </c>
      <c r="U27" s="1682">
        <f>H27</f>
        <v>100</v>
      </c>
      <c r="V27" s="1681" t="s">
        <v>25</v>
      </c>
      <c r="W27" s="1682">
        <f>J27</f>
        <v>100</v>
      </c>
      <c r="X27" s="1683"/>
      <c r="Y27" s="3474"/>
      <c r="Z27" s="1693" t="str">
        <f>Q27</f>
        <v>道路级别</v>
      </c>
      <c r="AA27" s="3196">
        <f>D27/F27</f>
        <v>1</v>
      </c>
      <c r="AB27" s="3196">
        <f>D27/H27</f>
        <v>1</v>
      </c>
      <c r="AC27" s="3196">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472"/>
      <c r="Q28" s="3195">
        <f t="shared" si="11"/>
        <v>111</v>
      </c>
      <c r="R28" s="1725" t="s">
        <v>25</v>
      </c>
      <c r="S28" s="1726">
        <f t="shared" ref="S28:S46" si="12">F28</f>
        <v>100</v>
      </c>
      <c r="T28" s="1725" t="s">
        <v>25</v>
      </c>
      <c r="U28" s="1726">
        <f t="shared" ref="U28:U46" si="13">H28</f>
        <v>100</v>
      </c>
      <c r="V28" s="1725" t="s">
        <v>25</v>
      </c>
      <c r="W28" s="1726">
        <f t="shared" ref="W28:W46" si="14">J28</f>
        <v>100</v>
      </c>
      <c r="X28" s="3192"/>
      <c r="Y28" s="3474"/>
      <c r="Z28" s="3193">
        <f t="shared" ref="Z28:Z46" si="15">Q28</f>
        <v>111</v>
      </c>
      <c r="AA28" s="3196">
        <f t="shared" si="3"/>
        <v>1</v>
      </c>
      <c r="AB28" s="3196">
        <f t="shared" si="4"/>
        <v>1</v>
      </c>
      <c r="AC28" s="3196">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472"/>
      <c r="Q29" s="3195">
        <f t="shared" si="11"/>
        <v>111</v>
      </c>
      <c r="R29" s="1725" t="s">
        <v>25</v>
      </c>
      <c r="S29" s="1726">
        <f t="shared" si="12"/>
        <v>100</v>
      </c>
      <c r="T29" s="1725" t="s">
        <v>25</v>
      </c>
      <c r="U29" s="1726">
        <f t="shared" si="13"/>
        <v>100</v>
      </c>
      <c r="V29" s="1725" t="s">
        <v>25</v>
      </c>
      <c r="W29" s="1726">
        <f t="shared" si="14"/>
        <v>100</v>
      </c>
      <c r="X29" s="3192"/>
      <c r="Y29" s="3474"/>
      <c r="Z29" s="3193">
        <f t="shared" si="15"/>
        <v>111</v>
      </c>
      <c r="AA29" s="3196">
        <f t="shared" si="3"/>
        <v>1</v>
      </c>
      <c r="AB29" s="3196">
        <f t="shared" si="4"/>
        <v>1</v>
      </c>
      <c r="AC29" s="3196">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472"/>
      <c r="Q30" s="3195">
        <f t="shared" si="11"/>
        <v>111</v>
      </c>
      <c r="R30" s="1725" t="s">
        <v>25</v>
      </c>
      <c r="S30" s="1726">
        <f t="shared" si="12"/>
        <v>100</v>
      </c>
      <c r="T30" s="1725" t="s">
        <v>25</v>
      </c>
      <c r="U30" s="1726">
        <f t="shared" si="13"/>
        <v>100</v>
      </c>
      <c r="V30" s="1725" t="s">
        <v>25</v>
      </c>
      <c r="W30" s="1726">
        <f t="shared" si="14"/>
        <v>100</v>
      </c>
      <c r="X30" s="3192"/>
      <c r="Y30" s="3474"/>
      <c r="Z30" s="3193">
        <f t="shared" si="15"/>
        <v>111</v>
      </c>
      <c r="AA30" s="3196">
        <f t="shared" si="3"/>
        <v>1</v>
      </c>
      <c r="AB30" s="3196">
        <f t="shared" si="4"/>
        <v>1</v>
      </c>
      <c r="AC30" s="3196">
        <f t="shared" si="5"/>
        <v>1</v>
      </c>
    </row>
    <row r="31" spans="1:29" ht="15.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472"/>
      <c r="Q31" s="3195">
        <f t="shared" si="11"/>
        <v>111</v>
      </c>
      <c r="R31" s="1725" t="s">
        <v>25</v>
      </c>
      <c r="S31" s="1726">
        <f t="shared" si="12"/>
        <v>100</v>
      </c>
      <c r="T31" s="1725" t="s">
        <v>25</v>
      </c>
      <c r="U31" s="1726">
        <f t="shared" si="13"/>
        <v>100</v>
      </c>
      <c r="V31" s="1725" t="s">
        <v>25</v>
      </c>
      <c r="W31" s="1726">
        <f t="shared" si="14"/>
        <v>100</v>
      </c>
      <c r="X31" s="3192"/>
      <c r="Y31" s="3474"/>
      <c r="Z31" s="3193">
        <f t="shared" si="15"/>
        <v>111</v>
      </c>
      <c r="AA31" s="3196">
        <f t="shared" si="3"/>
        <v>1</v>
      </c>
      <c r="AB31" s="3196">
        <f t="shared" si="4"/>
        <v>1</v>
      </c>
      <c r="AC31" s="3196">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475" t="s">
        <v>2284</v>
      </c>
      <c r="Q32" s="3195" t="str">
        <f t="shared" si="11"/>
        <v>建筑类型</v>
      </c>
      <c r="R32" s="1725" t="s">
        <v>25</v>
      </c>
      <c r="S32" s="1726">
        <f t="shared" si="12"/>
        <v>100</v>
      </c>
      <c r="T32" s="1725" t="s">
        <v>25</v>
      </c>
      <c r="U32" s="1726">
        <f t="shared" si="13"/>
        <v>100</v>
      </c>
      <c r="V32" s="1725" t="s">
        <v>25</v>
      </c>
      <c r="W32" s="1726">
        <f t="shared" si="14"/>
        <v>100</v>
      </c>
      <c r="X32" s="3192"/>
      <c r="Y32" s="3478" t="s">
        <v>2284</v>
      </c>
      <c r="Z32" s="3193" t="str">
        <f t="shared" si="15"/>
        <v>建筑类型</v>
      </c>
      <c r="AA32" s="3196">
        <f t="shared" si="3"/>
        <v>1</v>
      </c>
      <c r="AB32" s="3196">
        <f t="shared" si="4"/>
        <v>1</v>
      </c>
      <c r="AC32" s="3196">
        <f t="shared" si="5"/>
        <v>1</v>
      </c>
    </row>
    <row r="33" spans="1:29" s="1771" customFormat="1" ht="15">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76"/>
      <c r="Q33" s="1766" t="str">
        <f t="shared" si="11"/>
        <v>项目建筑规模</v>
      </c>
      <c r="R33" s="1767" t="s">
        <v>25</v>
      </c>
      <c r="S33" s="1768">
        <f t="shared" si="12"/>
        <v>100</v>
      </c>
      <c r="T33" s="1767" t="s">
        <v>25</v>
      </c>
      <c r="U33" s="1768">
        <f t="shared" si="13"/>
        <v>100</v>
      </c>
      <c r="V33" s="1767" t="s">
        <v>25</v>
      </c>
      <c r="W33" s="1768">
        <f t="shared" si="14"/>
        <v>100</v>
      </c>
      <c r="X33" s="1769"/>
      <c r="Y33" s="3478"/>
      <c r="Z33" s="1770" t="str">
        <f t="shared" si="15"/>
        <v>项目建筑规模</v>
      </c>
      <c r="AA33" s="3196">
        <f t="shared" si="3"/>
        <v>1</v>
      </c>
      <c r="AB33" s="3196">
        <f t="shared" si="4"/>
        <v>1</v>
      </c>
      <c r="AC33" s="3196">
        <f t="shared" si="5"/>
        <v>1</v>
      </c>
    </row>
    <row r="34" spans="1:29" ht="15">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476"/>
      <c r="Q34" s="3195" t="str">
        <f t="shared" si="11"/>
        <v>建筑结构</v>
      </c>
      <c r="R34" s="1725" t="s">
        <v>25</v>
      </c>
      <c r="S34" s="1726">
        <f t="shared" si="12"/>
        <v>100</v>
      </c>
      <c r="T34" s="1725" t="s">
        <v>25</v>
      </c>
      <c r="U34" s="1726">
        <f t="shared" si="13"/>
        <v>100</v>
      </c>
      <c r="V34" s="1725" t="s">
        <v>25</v>
      </c>
      <c r="W34" s="1726">
        <f t="shared" si="14"/>
        <v>100</v>
      </c>
      <c r="X34" s="3192"/>
      <c r="Y34" s="3478"/>
      <c r="Z34" s="3193" t="str">
        <f t="shared" si="15"/>
        <v>建筑结构</v>
      </c>
      <c r="AA34" s="3196">
        <f t="shared" si="3"/>
        <v>1</v>
      </c>
      <c r="AB34" s="3196">
        <f t="shared" si="4"/>
        <v>1</v>
      </c>
      <c r="AC34" s="3196">
        <f t="shared" si="5"/>
        <v>1</v>
      </c>
    </row>
    <row r="35" spans="1:29" ht="15">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76"/>
      <c r="Q35" s="3195" t="str">
        <f t="shared" si="11"/>
        <v>建筑品质</v>
      </c>
      <c r="R35" s="1725" t="s">
        <v>25</v>
      </c>
      <c r="S35" s="1726">
        <f t="shared" si="12"/>
        <v>100</v>
      </c>
      <c r="T35" s="1725" t="s">
        <v>25</v>
      </c>
      <c r="U35" s="1726">
        <f t="shared" si="13"/>
        <v>100</v>
      </c>
      <c r="V35" s="1725" t="s">
        <v>25</v>
      </c>
      <c r="W35" s="1726">
        <f t="shared" si="14"/>
        <v>100</v>
      </c>
      <c r="X35" s="3192"/>
      <c r="Y35" s="3478"/>
      <c r="Z35" s="3193" t="str">
        <f t="shared" si="15"/>
        <v>建筑品质</v>
      </c>
      <c r="AA35" s="3196">
        <f t="shared" si="3"/>
        <v>1</v>
      </c>
      <c r="AB35" s="3196">
        <f t="shared" si="4"/>
        <v>1</v>
      </c>
      <c r="AC35" s="3196">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476"/>
      <c r="Q36" s="3195" t="str">
        <f t="shared" si="11"/>
        <v>公共部分装修</v>
      </c>
      <c r="R36" s="1725" t="s">
        <v>25</v>
      </c>
      <c r="S36" s="1726">
        <f t="shared" si="12"/>
        <v>100</v>
      </c>
      <c r="T36" s="1725" t="s">
        <v>25</v>
      </c>
      <c r="U36" s="1726">
        <f t="shared" si="13"/>
        <v>100</v>
      </c>
      <c r="V36" s="1725" t="s">
        <v>25</v>
      </c>
      <c r="W36" s="1726">
        <f t="shared" si="14"/>
        <v>100</v>
      </c>
      <c r="X36" s="3192"/>
      <c r="Y36" s="3478"/>
      <c r="Z36" s="3193" t="str">
        <f t="shared" si="15"/>
        <v>公共部分装修</v>
      </c>
      <c r="AA36" s="3196">
        <f t="shared" si="3"/>
        <v>1</v>
      </c>
      <c r="AB36" s="3196">
        <f t="shared" si="4"/>
        <v>1</v>
      </c>
      <c r="AC36" s="3196">
        <f t="shared" si="5"/>
        <v>1</v>
      </c>
    </row>
    <row r="37" spans="1:29" s="1685" customFormat="1" ht="15" hidden="1">
      <c r="A37" s="1775"/>
      <c r="B37" s="1695" t="s">
        <v>2289</v>
      </c>
      <c r="C37" s="1776">
        <v>1</v>
      </c>
      <c r="D37" s="1697">
        <v>100</v>
      </c>
      <c r="E37" s="1777">
        <v>1</v>
      </c>
      <c r="F37" s="1699">
        <v>100</v>
      </c>
      <c r="G37" s="1778">
        <v>1</v>
      </c>
      <c r="H37" s="1697">
        <v>100</v>
      </c>
      <c r="I37" s="1777">
        <v>1</v>
      </c>
      <c r="J37" s="1697">
        <v>100</v>
      </c>
      <c r="K37" s="3171">
        <v>0.5</v>
      </c>
      <c r="L37" s="2999"/>
      <c r="M37" s="2972"/>
      <c r="N37" s="2972"/>
      <c r="O37" s="2972"/>
      <c r="P37" s="3476"/>
      <c r="Q37" s="3189" t="str">
        <f t="shared" si="11"/>
        <v>成新度</v>
      </c>
      <c r="R37" s="1681" t="s">
        <v>25</v>
      </c>
      <c r="S37" s="1682">
        <f t="shared" si="12"/>
        <v>100</v>
      </c>
      <c r="T37" s="1681" t="s">
        <v>25</v>
      </c>
      <c r="U37" s="1682">
        <f t="shared" si="13"/>
        <v>100</v>
      </c>
      <c r="V37" s="1681" t="s">
        <v>25</v>
      </c>
      <c r="W37" s="1682">
        <f t="shared" si="14"/>
        <v>100</v>
      </c>
      <c r="X37" s="1683"/>
      <c r="Y37" s="3478"/>
      <c r="Z37" s="1693" t="str">
        <f t="shared" si="15"/>
        <v>成新度</v>
      </c>
      <c r="AA37" s="1684">
        <f t="shared" si="3"/>
        <v>1</v>
      </c>
      <c r="AB37" s="1684">
        <f t="shared" si="4"/>
        <v>1</v>
      </c>
      <c r="AC37" s="1684">
        <f t="shared" si="5"/>
        <v>1</v>
      </c>
    </row>
    <row r="38" spans="1:29" ht="15.6" thickBot="1">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476" t="s">
        <v>2284</v>
      </c>
      <c r="Q38" s="3195" t="str">
        <f t="shared" si="11"/>
        <v>物业管理</v>
      </c>
      <c r="R38" s="1725" t="s">
        <v>25</v>
      </c>
      <c r="S38" s="1726">
        <f t="shared" si="12"/>
        <v>100</v>
      </c>
      <c r="T38" s="1725" t="s">
        <v>25</v>
      </c>
      <c r="U38" s="1726">
        <f t="shared" si="13"/>
        <v>100</v>
      </c>
      <c r="V38" s="1725" t="s">
        <v>25</v>
      </c>
      <c r="W38" s="1726">
        <f t="shared" si="14"/>
        <v>100</v>
      </c>
      <c r="X38" s="3192"/>
      <c r="Y38" s="3478" t="s">
        <v>2284</v>
      </c>
      <c r="Z38" s="3193" t="str">
        <f t="shared" si="15"/>
        <v>物业管理</v>
      </c>
      <c r="AA38" s="3196">
        <f t="shared" si="3"/>
        <v>1</v>
      </c>
      <c r="AB38" s="3196">
        <f t="shared" si="4"/>
        <v>1</v>
      </c>
      <c r="AC38" s="3196">
        <f t="shared" si="5"/>
        <v>1</v>
      </c>
    </row>
    <row r="39" spans="1:29" ht="15" hidden="1">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476"/>
      <c r="Q39" s="3195" t="str">
        <f t="shared" si="11"/>
        <v>市政基础设施</v>
      </c>
      <c r="R39" s="1725" t="s">
        <v>25</v>
      </c>
      <c r="S39" s="1726">
        <f t="shared" si="12"/>
        <v>100</v>
      </c>
      <c r="T39" s="1725" t="s">
        <v>25</v>
      </c>
      <c r="U39" s="1726">
        <f t="shared" si="13"/>
        <v>100</v>
      </c>
      <c r="V39" s="1725" t="s">
        <v>25</v>
      </c>
      <c r="W39" s="1726">
        <f t="shared" si="14"/>
        <v>100</v>
      </c>
      <c r="X39" s="3192"/>
      <c r="Y39" s="3478"/>
      <c r="Z39" s="3193" t="str">
        <f t="shared" si="15"/>
        <v>市政基础设施</v>
      </c>
      <c r="AA39" s="3196">
        <f t="shared" si="3"/>
        <v>1</v>
      </c>
      <c r="AB39" s="3196">
        <f t="shared" si="4"/>
        <v>1</v>
      </c>
      <c r="AC39" s="3196">
        <f t="shared" si="5"/>
        <v>1</v>
      </c>
    </row>
    <row r="40" spans="1:29" ht="15" hidden="1">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476"/>
      <c r="Q40" s="3195" t="str">
        <f t="shared" si="11"/>
        <v>房型</v>
      </c>
      <c r="R40" s="1725" t="s">
        <v>25</v>
      </c>
      <c r="S40" s="1726">
        <f t="shared" si="12"/>
        <v>100</v>
      </c>
      <c r="T40" s="1725" t="s">
        <v>25</v>
      </c>
      <c r="U40" s="1726">
        <f t="shared" si="13"/>
        <v>100</v>
      </c>
      <c r="V40" s="1725" t="s">
        <v>25</v>
      </c>
      <c r="W40" s="1726">
        <f t="shared" si="14"/>
        <v>100</v>
      </c>
      <c r="X40" s="3192"/>
      <c r="Y40" s="3478"/>
      <c r="Z40" s="3193" t="str">
        <f t="shared" si="15"/>
        <v>房型</v>
      </c>
      <c r="AA40" s="3196">
        <f t="shared" si="3"/>
        <v>1</v>
      </c>
      <c r="AB40" s="3196">
        <f t="shared" si="4"/>
        <v>1</v>
      </c>
      <c r="AC40" s="3196">
        <f t="shared" si="5"/>
        <v>1</v>
      </c>
    </row>
    <row r="41" spans="1:29" s="1771" customFormat="1" ht="28.8"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476"/>
      <c r="Q41" s="1766" t="str">
        <f t="shared" si="11"/>
        <v>单套/主力户型建筑面积</v>
      </c>
      <c r="R41" s="1767" t="s">
        <v>25</v>
      </c>
      <c r="S41" s="1768">
        <f t="shared" si="12"/>
        <v>100</v>
      </c>
      <c r="T41" s="1767" t="s">
        <v>25</v>
      </c>
      <c r="U41" s="1768">
        <f t="shared" si="13"/>
        <v>100</v>
      </c>
      <c r="V41" s="1767" t="s">
        <v>25</v>
      </c>
      <c r="W41" s="1768">
        <f t="shared" si="14"/>
        <v>100</v>
      </c>
      <c r="X41" s="1769"/>
      <c r="Y41" s="3478"/>
      <c r="Z41" s="1770" t="str">
        <f t="shared" si="15"/>
        <v>单套/主力户型建筑面积</v>
      </c>
      <c r="AA41" s="3196">
        <f t="shared" si="3"/>
        <v>1</v>
      </c>
      <c r="AB41" s="3196">
        <f t="shared" si="4"/>
        <v>1</v>
      </c>
      <c r="AC41" s="3196">
        <f t="shared" si="5"/>
        <v>1</v>
      </c>
    </row>
    <row r="42" spans="1:29" ht="15" hidden="1">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476"/>
      <c r="Q42" s="3195" t="str">
        <f t="shared" si="11"/>
        <v>内部装修</v>
      </c>
      <c r="R42" s="1725" t="s">
        <v>25</v>
      </c>
      <c r="S42" s="1726">
        <f t="shared" si="12"/>
        <v>100</v>
      </c>
      <c r="T42" s="1725" t="s">
        <v>25</v>
      </c>
      <c r="U42" s="1726">
        <f t="shared" si="13"/>
        <v>100</v>
      </c>
      <c r="V42" s="1725" t="s">
        <v>25</v>
      </c>
      <c r="W42" s="1726">
        <f t="shared" si="14"/>
        <v>100</v>
      </c>
      <c r="X42" s="3192"/>
      <c r="Y42" s="3478"/>
      <c r="Z42" s="3193" t="str">
        <f t="shared" si="15"/>
        <v>内部装修</v>
      </c>
      <c r="AA42" s="3196">
        <f t="shared" si="3"/>
        <v>1</v>
      </c>
      <c r="AB42" s="3196">
        <f t="shared" si="4"/>
        <v>1</v>
      </c>
      <c r="AC42" s="3196">
        <f t="shared" si="5"/>
        <v>1</v>
      </c>
    </row>
    <row r="43" spans="1:29" ht="29.4" hidden="1"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76"/>
      <c r="Q43" s="3195" t="str">
        <f t="shared" si="11"/>
        <v>内部装修维护情况</v>
      </c>
      <c r="R43" s="1725" t="s">
        <v>25</v>
      </c>
      <c r="S43" s="1726">
        <f t="shared" si="12"/>
        <v>100</v>
      </c>
      <c r="T43" s="1725" t="s">
        <v>25</v>
      </c>
      <c r="U43" s="1726">
        <f t="shared" si="13"/>
        <v>100</v>
      </c>
      <c r="V43" s="1725" t="s">
        <v>25</v>
      </c>
      <c r="W43" s="1726">
        <f t="shared" si="14"/>
        <v>100</v>
      </c>
      <c r="X43" s="3192"/>
      <c r="Y43" s="3478"/>
      <c r="Z43" s="3193" t="str">
        <f t="shared" si="15"/>
        <v>内部装修维护情况</v>
      </c>
      <c r="AA43" s="3196">
        <f t="shared" si="3"/>
        <v>1</v>
      </c>
      <c r="AB43" s="3196">
        <f t="shared" si="4"/>
        <v>1</v>
      </c>
      <c r="AC43" s="3196">
        <f t="shared" si="5"/>
        <v>1</v>
      </c>
    </row>
    <row r="44" spans="1:29" s="1685" customFormat="1" ht="15.6"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76"/>
      <c r="Q44" s="3189" t="str">
        <f t="shared" si="11"/>
        <v>建成年代</v>
      </c>
      <c r="R44" s="1681" t="s">
        <v>25</v>
      </c>
      <c r="S44" s="1682">
        <f t="shared" si="12"/>
        <v>100</v>
      </c>
      <c r="T44" s="1681" t="s">
        <v>25</v>
      </c>
      <c r="U44" s="1682">
        <f t="shared" si="13"/>
        <v>100</v>
      </c>
      <c r="V44" s="1681" t="s">
        <v>25</v>
      </c>
      <c r="W44" s="1682">
        <f t="shared" si="14"/>
        <v>100</v>
      </c>
      <c r="X44" s="1683"/>
      <c r="Y44" s="3478"/>
      <c r="Z44" s="1693" t="str">
        <f t="shared" si="15"/>
        <v>建成年代</v>
      </c>
      <c r="AA44" s="1684">
        <f t="shared" si="3"/>
        <v>1</v>
      </c>
      <c r="AB44" s="1684">
        <f t="shared" si="4"/>
        <v>1</v>
      </c>
      <c r="AC44" s="1684">
        <f t="shared" si="5"/>
        <v>1</v>
      </c>
    </row>
    <row r="45" spans="1:29" ht="29.4" hidden="1" thickBot="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76"/>
      <c r="Q45" s="3195" t="str">
        <f t="shared" si="11"/>
        <v>设备设施维护情况</v>
      </c>
      <c r="R45" s="1725" t="s">
        <v>25</v>
      </c>
      <c r="S45" s="1726">
        <f t="shared" si="12"/>
        <v>100</v>
      </c>
      <c r="T45" s="1725" t="s">
        <v>25</v>
      </c>
      <c r="U45" s="1726">
        <f t="shared" si="13"/>
        <v>100</v>
      </c>
      <c r="V45" s="1725" t="s">
        <v>25</v>
      </c>
      <c r="W45" s="1726">
        <f t="shared" si="14"/>
        <v>100</v>
      </c>
      <c r="X45" s="3192"/>
      <c r="Y45" s="3478"/>
      <c r="Z45" s="3193" t="str">
        <f t="shared" si="15"/>
        <v>设备设施维护情况</v>
      </c>
      <c r="AA45" s="3196">
        <f t="shared" si="3"/>
        <v>1</v>
      </c>
      <c r="AB45" s="3196">
        <f t="shared" si="4"/>
        <v>1</v>
      </c>
      <c r="AC45" s="3196">
        <f t="shared" si="5"/>
        <v>1</v>
      </c>
    </row>
    <row r="46" spans="1:29" ht="15.6"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477"/>
      <c r="Q46" s="3195">
        <f t="shared" si="11"/>
        <v>111</v>
      </c>
      <c r="R46" s="1725" t="s">
        <v>25</v>
      </c>
      <c r="S46" s="1726">
        <f t="shared" si="12"/>
        <v>100</v>
      </c>
      <c r="T46" s="1725" t="s">
        <v>25</v>
      </c>
      <c r="U46" s="1726">
        <f t="shared" si="13"/>
        <v>100</v>
      </c>
      <c r="V46" s="1725" t="s">
        <v>25</v>
      </c>
      <c r="W46" s="1726">
        <f t="shared" si="14"/>
        <v>100</v>
      </c>
      <c r="X46" s="3192"/>
      <c r="Y46" s="3479"/>
      <c r="Z46" s="3193">
        <f t="shared" si="15"/>
        <v>111</v>
      </c>
      <c r="AA46" s="3196">
        <f t="shared" si="3"/>
        <v>1</v>
      </c>
      <c r="AB46" s="3196">
        <f t="shared" si="4"/>
        <v>1</v>
      </c>
      <c r="AC46" s="3196">
        <f t="shared" si="5"/>
        <v>1</v>
      </c>
    </row>
    <row r="47" spans="1:29" ht="14.4">
      <c r="A47" s="1781" t="s">
        <v>2296</v>
      </c>
      <c r="B47" s="1782"/>
      <c r="C47" s="1783" t="s">
        <v>1</v>
      </c>
      <c r="D47" s="1784"/>
      <c r="E47" s="1785">
        <v>350</v>
      </c>
      <c r="F47" s="1786"/>
      <c r="G47" s="1787">
        <v>350</v>
      </c>
      <c r="H47" s="1788"/>
      <c r="I47" s="1787">
        <v>300</v>
      </c>
      <c r="J47" s="1788"/>
      <c r="K47" s="1789"/>
      <c r="L47" s="3170" t="s">
        <v>2978</v>
      </c>
      <c r="N47" s="3000"/>
      <c r="P47" s="3470" t="str">
        <f>A47</f>
        <v>成交单价（元/平方米）</v>
      </c>
      <c r="Q47" s="3470"/>
      <c r="R47" s="3466">
        <f>E47</f>
        <v>350</v>
      </c>
      <c r="S47" s="3466"/>
      <c r="T47" s="3466">
        <f>G47</f>
        <v>350</v>
      </c>
      <c r="U47" s="3466"/>
      <c r="V47" s="3466">
        <f>I47</f>
        <v>300</v>
      </c>
      <c r="W47" s="3466"/>
      <c r="X47" s="1791"/>
      <c r="Y47" s="3194"/>
      <c r="Z47" s="1791"/>
      <c r="AA47" s="1791"/>
      <c r="AB47" s="1791"/>
      <c r="AC47" s="1791"/>
    </row>
    <row r="48" spans="1:29" ht="15" thickBot="1">
      <c r="A48" s="1793" t="s">
        <v>2297</v>
      </c>
      <c r="B48" s="1794"/>
      <c r="C48" s="1795">
        <f>R49</f>
        <v>229.13</v>
      </c>
      <c r="D48" s="1796" t="s">
        <v>2753</v>
      </c>
      <c r="E48" s="1797">
        <f>R48</f>
        <v>240.59</v>
      </c>
      <c r="F48" s="1798"/>
      <c r="G48" s="1795">
        <f>T48</f>
        <v>240.59</v>
      </c>
      <c r="H48" s="1798"/>
      <c r="I48" s="1797">
        <f>V48</f>
        <v>206.22</v>
      </c>
      <c r="J48" s="1798"/>
      <c r="K48" s="2514">
        <f>F48+H48+J48</f>
        <v>0</v>
      </c>
      <c r="L48" s="3005"/>
      <c r="P48" s="3470" t="str">
        <f>A48</f>
        <v>比较价值（元/平方米）</v>
      </c>
      <c r="Q48" s="3470"/>
      <c r="R48" s="3466">
        <f>IF(E1="售价",ROUND(PRODUCT(R47,AA7:AA46),0),ROUND(PRODUCT(R47,AA7:AA46),2))</f>
        <v>240.59</v>
      </c>
      <c r="S48" s="3466"/>
      <c r="T48" s="3464">
        <f>IF(E1="售价",ROUND(PRODUCT(T47,AB7:AB46),0),ROUND(PRODUCT(T47,AB7:AB46),2))</f>
        <v>240.59</v>
      </c>
      <c r="U48" s="3465"/>
      <c r="V48" s="3466">
        <f>IF(E1="售价",ROUND(PRODUCT(V47,AC7:AC46),0),ROUND(PRODUCT(V47,AC7:AC46),2))</f>
        <v>206.22</v>
      </c>
      <c r="W48" s="3466"/>
      <c r="X48" s="1791"/>
      <c r="Y48" s="1791"/>
      <c r="Z48" s="1791"/>
      <c r="AA48" s="1791"/>
      <c r="AB48" s="1791"/>
      <c r="AC48" s="1791"/>
    </row>
    <row r="49" spans="1:29" ht="15" thickBot="1">
      <c r="A49" s="1799" t="s">
        <v>2969</v>
      </c>
      <c r="B49" s="1800"/>
      <c r="C49" s="1801">
        <f>R49</f>
        <v>229.13</v>
      </c>
      <c r="D49" s="1802"/>
      <c r="E49" s="1802"/>
      <c r="F49" s="1802"/>
      <c r="G49" s="1802"/>
      <c r="H49" s="1802"/>
      <c r="I49" s="1802"/>
      <c r="J49" s="1802"/>
      <c r="K49" s="1803"/>
      <c r="L49" s="3005"/>
      <c r="P49" s="3467" t="str">
        <f>A49</f>
        <v>估价对象住宅用房的比较价值（楼面单价，元/平方米）</v>
      </c>
      <c r="Q49" s="3468"/>
      <c r="R49" s="3469">
        <f>IF(E1="售价",ROUND(IF(D48="简单平均",AVERAGE(R48:V48),R48*F48+T48*H48+V48*J48),0),ROUND(IF(D48="简单平均",AVERAGE(R48:V48),R48*F48+T48*H48+V48*J48),2))</f>
        <v>229.13</v>
      </c>
      <c r="S49" s="3469"/>
      <c r="T49" s="3469"/>
      <c r="U49" s="3469"/>
      <c r="V49" s="3469"/>
      <c r="W49" s="3469"/>
      <c r="X49" s="1791"/>
      <c r="Y49" s="1791"/>
      <c r="Z49" s="1791"/>
      <c r="AA49" s="1791"/>
      <c r="AB49" s="1791"/>
      <c r="AC49" s="1791"/>
    </row>
    <row r="50" spans="1:29">
      <c r="B50" s="1667">
        <f>C49</f>
        <v>229.13</v>
      </c>
      <c r="C50" s="3188">
        <f>ROUND(B50*0.9,2)</f>
        <v>206.22</v>
      </c>
      <c r="D50" s="1667">
        <f>ROUND(B50*1.1,2)</f>
        <v>252.04</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0.45475705557171953</v>
      </c>
      <c r="F52" s="1809" t="str">
        <f>IF(OR(E52&gt;=0.3,E52&lt;=-0.3),"超过30%","")</f>
        <v>超过30%</v>
      </c>
      <c r="G52" s="1808">
        <f>IF(G47&lt;G48,G48/G47-1,G47/G48-1)</f>
        <v>0.45475705557171953</v>
      </c>
      <c r="H52" s="1809" t="str">
        <f>IF(OR(G52&gt;=0.3,G52&lt;=-0.3),"超过30%","")</f>
        <v>超过30%</v>
      </c>
      <c r="I52" s="1808">
        <f>IF(I47&lt;I48,I48/I47-1,I47/I48-1)</f>
        <v>0.45475705557171953</v>
      </c>
      <c r="J52" s="1809" t="str">
        <f>IF(OR(I52&gt;=0.3,I52&lt;=-0.3),"超过30%","")</f>
        <v>超过30%</v>
      </c>
    </row>
    <row r="53" spans="1:29" ht="13.5" customHeight="1">
      <c r="C53" s="383" t="s">
        <v>2299</v>
      </c>
      <c r="D53" s="1810"/>
      <c r="E53" s="1808">
        <f>IF(E48&lt;G48,G48/E48-1,E48/G48-1)</f>
        <v>0</v>
      </c>
      <c r="F53" s="1809" t="str">
        <f>IF(OR(E53&gt;=0.2,E53&lt;=-0.2),"超过20%","")</f>
        <v/>
      </c>
      <c r="G53" s="1808">
        <f>IF(G48&lt;I48,I48/G48-1,G48/I48-1)</f>
        <v>0.16666666666666674</v>
      </c>
      <c r="H53" s="1809" t="str">
        <f>IF(OR(G53&gt;=0.2,G53&lt;=-0.2),"超过20%","")</f>
        <v/>
      </c>
      <c r="I53" s="1808">
        <f>IF(I48&lt;E48,E48/I48-1,I48/E48-1)</f>
        <v>0.16666666666666674</v>
      </c>
      <c r="J53" s="1809" t="str">
        <f>IF(OR(I53&gt;=0.2,I53&lt;=-0.2),"超过20%","")</f>
        <v/>
      </c>
    </row>
    <row r="54" spans="1:29" s="1813" customFormat="1" ht="13.5" customHeight="1">
      <c r="C54" s="383" t="s">
        <v>2300</v>
      </c>
      <c r="D54" s="1810"/>
      <c r="E54" s="1808">
        <f>IF(E47&lt;G47,G47/E47-1,E47/G47-1)</f>
        <v>0</v>
      </c>
      <c r="F54" s="1809" t="str">
        <f>IF(OR(E54&gt;=0.3,E54&lt;=-0.3),"超过30%","")</f>
        <v/>
      </c>
      <c r="G54" s="1808">
        <f>IF(G47&lt;I47,I47/G47-1,G47/I47-1)</f>
        <v>0.16666666666666674</v>
      </c>
      <c r="H54" s="1809" t="str">
        <f>IF(OR(G54&gt;=0.3,G54&lt;=-0.3),"超过30%","")</f>
        <v/>
      </c>
      <c r="I54" s="1808">
        <f>IF(I47&lt;E47,E47/I47-1,I47/E47-1)</f>
        <v>0.16666666666666674</v>
      </c>
      <c r="J54" s="1809" t="str">
        <f>IF(OR(I54&gt;=0.3,I54&lt;=-0.3),"超过30%","")</f>
        <v/>
      </c>
      <c r="K54" s="3012"/>
      <c r="L54" s="3006"/>
      <c r="P54" s="1812"/>
    </row>
    <row r="55" spans="1:29" s="1813" customFormat="1">
      <c r="B55" s="3010"/>
      <c r="C55" s="3011"/>
      <c r="K55" s="3012"/>
      <c r="L55" s="3006"/>
      <c r="P55" s="1812"/>
    </row>
    <row r="56" spans="1:29">
      <c r="B56" s="3010"/>
      <c r="C56" s="3011"/>
    </row>
    <row r="57" spans="1:29" ht="22.2"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4.4">
      <c r="A58" s="1822" t="s">
        <v>2302</v>
      </c>
      <c r="B58" s="1823"/>
      <c r="C58" s="1824" t="str">
        <f>YEAR(C7)&amp;"-"&amp;MONTH(C7)</f>
        <v>2024-9</v>
      </c>
      <c r="D58" s="1825">
        <f>EDATE(C58,-1)</f>
        <v>45505</v>
      </c>
      <c r="E58" s="1825">
        <f t="shared" ref="E58:O58" si="16">EDATE(D58,-1)</f>
        <v>45474</v>
      </c>
      <c r="F58" s="1825">
        <f t="shared" si="16"/>
        <v>45444</v>
      </c>
      <c r="G58" s="1825">
        <f t="shared" si="16"/>
        <v>45413</v>
      </c>
      <c r="H58" s="1825">
        <f t="shared" si="16"/>
        <v>45383</v>
      </c>
      <c r="I58" s="1825">
        <f t="shared" si="16"/>
        <v>45352</v>
      </c>
      <c r="J58" s="1825">
        <f t="shared" si="16"/>
        <v>45323</v>
      </c>
      <c r="K58" s="1825">
        <f t="shared" si="16"/>
        <v>45292</v>
      </c>
      <c r="L58" s="1825">
        <f t="shared" si="16"/>
        <v>45261</v>
      </c>
      <c r="M58" s="1825">
        <f t="shared" si="16"/>
        <v>45231</v>
      </c>
      <c r="N58" s="1825">
        <f t="shared" si="16"/>
        <v>45200</v>
      </c>
      <c r="O58" s="1825">
        <f t="shared" si="16"/>
        <v>45170</v>
      </c>
      <c r="P58" s="1826"/>
    </row>
    <row r="59" spans="1:29" s="1685" customFormat="1">
      <c r="A59" s="1828"/>
      <c r="B59" s="1829"/>
      <c r="C59" s="1830">
        <v>100</v>
      </c>
      <c r="D59" s="1831">
        <v>100</v>
      </c>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1</v>
      </c>
      <c r="D68" s="1867">
        <v>5</v>
      </c>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4.4" thickBot="1">
      <c r="A77" s="1853"/>
      <c r="B77" s="1861"/>
      <c r="C77" s="1862">
        <v>100</v>
      </c>
      <c r="D77" s="1862">
        <f>C77-$K15</f>
        <v>90</v>
      </c>
      <c r="E77" s="1862">
        <f>D77-$K15</f>
        <v>80</v>
      </c>
      <c r="F77" s="1862">
        <f>E77-$K15</f>
        <v>70</v>
      </c>
      <c r="G77" s="1862">
        <f>F77-$K15</f>
        <v>60</v>
      </c>
      <c r="H77" s="1862"/>
      <c r="I77" s="1862"/>
      <c r="J77" s="1862"/>
      <c r="K77" s="1862"/>
      <c r="L77" s="1862"/>
      <c r="M77" s="1863"/>
      <c r="N77" s="1857"/>
      <c r="O77" s="1857"/>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4.4" thickBot="1">
      <c r="A79" s="1853"/>
      <c r="B79" s="1861"/>
      <c r="C79" s="1862">
        <v>100</v>
      </c>
      <c r="D79" s="1862">
        <f>C79-$K17</f>
        <v>85</v>
      </c>
      <c r="E79" s="1862">
        <f>D79-$K17</f>
        <v>70</v>
      </c>
      <c r="F79" s="1862">
        <f>E79-$K17</f>
        <v>55</v>
      </c>
      <c r="G79" s="1862">
        <f>F79-$K17</f>
        <v>40</v>
      </c>
      <c r="H79" s="1862"/>
      <c r="I79" s="1862"/>
      <c r="J79" s="1862"/>
      <c r="K79" s="1862"/>
      <c r="L79" s="1862"/>
      <c r="M79" s="1863"/>
      <c r="N79" s="1857"/>
      <c r="O79" s="1857"/>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4.4" thickBot="1">
      <c r="A81" s="1853"/>
      <c r="B81" s="1861"/>
      <c r="C81" s="1862">
        <v>100</v>
      </c>
      <c r="D81" s="1862">
        <f>C81-$K19</f>
        <v>85</v>
      </c>
      <c r="E81" s="1862">
        <f>D81-$K19</f>
        <v>70</v>
      </c>
      <c r="F81" s="1862">
        <f>E81-$K19</f>
        <v>55</v>
      </c>
      <c r="G81" s="1862">
        <f>F81-$K19</f>
        <v>40</v>
      </c>
      <c r="H81" s="1862"/>
      <c r="I81" s="1862"/>
      <c r="J81" s="1862"/>
      <c r="K81" s="1862"/>
      <c r="L81" s="1862"/>
      <c r="M81" s="1863"/>
      <c r="N81" s="1857"/>
      <c r="O81" s="1857"/>
      <c r="P81" s="1852"/>
      <c r="Q81" s="1821"/>
    </row>
    <row r="82" spans="1:17" ht="1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4.4"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 thickTop="1">
      <c r="A86" s="1889"/>
      <c r="B86" s="1858" t="s">
        <v>2328</v>
      </c>
      <c r="C86" s="468"/>
      <c r="D86" s="468"/>
      <c r="E86" s="468"/>
      <c r="F86" s="468"/>
      <c r="G86" s="468"/>
      <c r="H86" s="468"/>
      <c r="I86" s="468"/>
      <c r="J86" s="468"/>
      <c r="K86" s="468"/>
      <c r="L86" s="468"/>
      <c r="M86" s="1890"/>
      <c r="N86" s="1842"/>
      <c r="O86" s="1842"/>
      <c r="P86" s="1852"/>
      <c r="Q86" s="1821"/>
    </row>
    <row r="87" spans="1:17" s="1685"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4.4" thickTop="1">
      <c r="A90" s="1869"/>
      <c r="B90" s="1858" t="str">
        <f>B27</f>
        <v>道路级别</v>
      </c>
      <c r="C90" s="468">
        <f>C27</f>
        <v>0</v>
      </c>
      <c r="D90" s="3164">
        <f>G27</f>
        <v>0</v>
      </c>
      <c r="E90" s="3164">
        <f>I27</f>
        <v>0</v>
      </c>
      <c r="F90" s="3164">
        <f>E27</f>
        <v>0</v>
      </c>
      <c r="G90" s="468"/>
      <c r="H90" s="443"/>
      <c r="I90" s="443"/>
      <c r="J90" s="443"/>
      <c r="K90" s="443"/>
      <c r="L90" s="443"/>
      <c r="M90" s="1870"/>
      <c r="N90" s="1871"/>
      <c r="O90" s="1871"/>
      <c r="P90" s="1872"/>
      <c r="Q90" s="1873"/>
    </row>
    <row r="91" spans="1:17" s="1771" customFormat="1" ht="14.4"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8"/>
      <c r="H92" s="1578"/>
      <c r="I92" s="1578"/>
      <c r="J92" s="1578"/>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8"/>
      <c r="H94" s="1578"/>
      <c r="I94" s="1578"/>
      <c r="J94" s="1578"/>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8"/>
      <c r="H96" s="1578"/>
      <c r="I96" s="1578"/>
      <c r="J96" s="1578"/>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4.4"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4.4" thickBot="1">
      <c r="A113" s="1869"/>
      <c r="B113" s="1861"/>
      <c r="C113" s="1891">
        <v>100</v>
      </c>
      <c r="D113" s="1862">
        <f>C113-$K37</f>
        <v>99.5</v>
      </c>
      <c r="E113" s="1862">
        <f t="shared" ref="E113:H113" si="27">D113-$K37</f>
        <v>99</v>
      </c>
      <c r="F113" s="1862">
        <f t="shared" si="27"/>
        <v>98.5</v>
      </c>
      <c r="G113" s="1862">
        <f t="shared" si="27"/>
        <v>98</v>
      </c>
      <c r="H113" s="1862">
        <f t="shared" si="27"/>
        <v>97.5</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4.4"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4.4"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4.4"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9.4"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4.4"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4.4"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4.4"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28.2"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4.4"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6.2"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ht="14.4">
      <c r="B147" s="1573" t="s">
        <v>2359</v>
      </c>
    </row>
    <row r="148" spans="2:11" ht="14.4">
      <c r="B148" s="1573" t="s">
        <v>2360</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7" priority="18" stopIfTrue="1" operator="containsText" text="超过">
      <formula>NOT(ISERROR(SEARCH("超过",F52)))</formula>
    </cfRule>
  </conditionalFormatting>
  <conditionalFormatting sqref="J54">
    <cfRule type="containsText" dxfId="136" priority="17" stopIfTrue="1" operator="containsText" text="超过">
      <formula>NOT(ISERROR(SEARCH("超过",J54)))</formula>
    </cfRule>
  </conditionalFormatting>
  <conditionalFormatting sqref="H54">
    <cfRule type="containsText" dxfId="135" priority="16" stopIfTrue="1" operator="containsText" text="超过">
      <formula>NOT(ISERROR(SEARCH("超过",H54)))</formula>
    </cfRule>
  </conditionalFormatting>
  <conditionalFormatting sqref="F54">
    <cfRule type="containsText" dxfId="134" priority="15" stopIfTrue="1" operator="containsText" text="超过">
      <formula>NOT(ISERROR(SEARCH("超过",F54)))</formula>
    </cfRule>
  </conditionalFormatting>
  <conditionalFormatting sqref="F53 H53 J53">
    <cfRule type="containsText" dxfId="133" priority="14" stopIfTrue="1" operator="containsText" text="超过">
      <formula>NOT(ISERROR(SEARCH("超过",F53)))</formula>
    </cfRule>
  </conditionalFormatting>
  <conditionalFormatting sqref="E52">
    <cfRule type="expression" dxfId="132" priority="13"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A40" sqref="A40"/>
    </sheetView>
  </sheetViews>
  <sheetFormatPr defaultRowHeight="14.4"/>
  <sheetData/>
  <phoneticPr fontId="146"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election activeCell="O32" sqref="O32"/>
    </sheetView>
  </sheetViews>
  <sheetFormatPr defaultColWidth="10.44140625" defaultRowHeight="15.6"/>
  <cols>
    <col min="1" max="1" width="29.33203125" style="3180" customWidth="1"/>
    <col min="2" max="2" width="9.21875" style="3180" customWidth="1"/>
    <col min="3" max="16384" width="10.44140625" style="3180"/>
  </cols>
  <sheetData>
    <row r="1" spans="1:14">
      <c r="A1" s="3513" t="s">
        <v>2952</v>
      </c>
      <c r="C1" s="3165">
        <v>44866.333831018521</v>
      </c>
      <c r="D1" s="3165">
        <v>44835.333831018521</v>
      </c>
      <c r="E1" s="3165">
        <v>44805.333831018521</v>
      </c>
      <c r="F1" s="3165">
        <v>44774.333831018521</v>
      </c>
      <c r="G1" s="3165">
        <v>44743.333831018521</v>
      </c>
      <c r="H1" s="3165">
        <v>44713.333831018521</v>
      </c>
      <c r="I1" s="3165">
        <v>44682.333831018521</v>
      </c>
      <c r="J1" s="3165">
        <v>44652.333831018521</v>
      </c>
      <c r="K1" s="3165">
        <v>44621.333831018521</v>
      </c>
      <c r="L1" s="3165">
        <v>44593.333831018521</v>
      </c>
      <c r="M1" s="3165">
        <v>44562.333831018521</v>
      </c>
      <c r="N1" s="3165">
        <v>44531.333831018521</v>
      </c>
    </row>
    <row r="2" spans="1:14">
      <c r="A2" s="3513"/>
      <c r="C2" s="3180" t="s">
        <v>2973</v>
      </c>
      <c r="D2" s="3180" t="s">
        <v>2973</v>
      </c>
      <c r="E2" s="3180" t="s">
        <v>2973</v>
      </c>
      <c r="F2" s="3180" t="s">
        <v>2973</v>
      </c>
      <c r="G2" s="3180" t="s">
        <v>2973</v>
      </c>
      <c r="H2" s="3180" t="s">
        <v>2973</v>
      </c>
      <c r="I2" s="3180" t="s">
        <v>2973</v>
      </c>
      <c r="J2" s="3180" t="s">
        <v>2973</v>
      </c>
      <c r="K2" s="3180" t="s">
        <v>2973</v>
      </c>
      <c r="L2" s="3180" t="s">
        <v>2973</v>
      </c>
      <c r="M2" s="3180" t="s">
        <v>2973</v>
      </c>
      <c r="N2" s="3180" t="s">
        <v>2973</v>
      </c>
    </row>
    <row r="3" spans="1:14">
      <c r="A3" s="3180" t="s">
        <v>2994</v>
      </c>
      <c r="B3" s="3181">
        <f>ROUND(AVERAGE(C3:N3),1)</f>
        <v>164.1</v>
      </c>
      <c r="C3" s="3180">
        <v>148.9</v>
      </c>
      <c r="D3" s="3180">
        <v>171.04</v>
      </c>
      <c r="E3" s="3180">
        <v>171.02</v>
      </c>
      <c r="F3" s="3180">
        <v>157.4</v>
      </c>
      <c r="G3" s="3180">
        <v>164.84</v>
      </c>
      <c r="H3" s="3180" t="s">
        <v>1203</v>
      </c>
      <c r="I3" s="3180">
        <v>159.9</v>
      </c>
      <c r="J3" s="3180" t="s">
        <v>1203</v>
      </c>
      <c r="K3" s="3180" t="s">
        <v>1203</v>
      </c>
      <c r="L3" s="3180">
        <v>163.63</v>
      </c>
      <c r="M3" s="3180">
        <v>175.36</v>
      </c>
      <c r="N3" s="3180">
        <v>164.89</v>
      </c>
    </row>
    <row r="4" spans="1:14">
      <c r="A4" s="3180" t="s">
        <v>2995</v>
      </c>
      <c r="B4" s="3181">
        <f t="shared" ref="B4:B40" si="0">ROUND(AVERAGE(C4:N4),1)</f>
        <v>144.5</v>
      </c>
      <c r="C4" s="3180">
        <v>145.69999999999999</v>
      </c>
      <c r="D4" s="3180">
        <v>145.46</v>
      </c>
      <c r="E4" s="3180" t="s">
        <v>1203</v>
      </c>
      <c r="F4" s="3180" t="s">
        <v>1203</v>
      </c>
      <c r="G4" s="3180" t="s">
        <v>1203</v>
      </c>
      <c r="H4" s="3180" t="s">
        <v>1203</v>
      </c>
      <c r="I4" s="3180" t="s">
        <v>1203</v>
      </c>
      <c r="J4" s="3180" t="s">
        <v>1203</v>
      </c>
      <c r="K4" s="3180" t="s">
        <v>1203</v>
      </c>
      <c r="L4" s="3180">
        <v>142.78</v>
      </c>
      <c r="M4" s="3180">
        <v>145.22</v>
      </c>
      <c r="N4" s="3180">
        <v>143.16999999999999</v>
      </c>
    </row>
    <row r="5" spans="1:14">
      <c r="A5" s="3180" t="s">
        <v>2996</v>
      </c>
      <c r="B5" s="3181">
        <f t="shared" si="0"/>
        <v>97</v>
      </c>
      <c r="C5" s="3180">
        <v>111.83</v>
      </c>
      <c r="D5" s="3180">
        <v>101.8</v>
      </c>
      <c r="E5" s="3180">
        <v>77.37</v>
      </c>
      <c r="F5" s="3180" t="s">
        <v>1203</v>
      </c>
      <c r="G5" s="3180" t="s">
        <v>1203</v>
      </c>
      <c r="H5" s="3180" t="s">
        <v>1203</v>
      </c>
      <c r="I5" s="3180" t="s">
        <v>1203</v>
      </c>
      <c r="J5" s="3180" t="s">
        <v>1203</v>
      </c>
      <c r="K5" s="3180" t="s">
        <v>1203</v>
      </c>
      <c r="L5" s="3180" t="s">
        <v>1203</v>
      </c>
      <c r="M5" s="3180" t="s">
        <v>1203</v>
      </c>
      <c r="N5" s="3180" t="s">
        <v>1203</v>
      </c>
    </row>
    <row r="6" spans="1:14">
      <c r="A6" s="3180" t="s">
        <v>2997</v>
      </c>
      <c r="B6" s="3181">
        <f t="shared" si="0"/>
        <v>88.9</v>
      </c>
      <c r="C6" s="3180">
        <v>103.57</v>
      </c>
      <c r="D6" s="3180">
        <v>103.21</v>
      </c>
      <c r="E6" s="3180">
        <v>93.06</v>
      </c>
      <c r="F6" s="3180">
        <v>82.18</v>
      </c>
      <c r="G6" s="3180">
        <v>77.5</v>
      </c>
      <c r="H6" s="3180">
        <v>79.319999999999993</v>
      </c>
      <c r="I6" s="3180">
        <v>82.3</v>
      </c>
      <c r="J6" s="3180">
        <v>99.11</v>
      </c>
      <c r="K6" s="3180">
        <v>100.39</v>
      </c>
      <c r="L6" s="3180">
        <v>80.37</v>
      </c>
      <c r="M6" s="3180">
        <v>79.260000000000005</v>
      </c>
      <c r="N6" s="3180">
        <v>87.02</v>
      </c>
    </row>
    <row r="7" spans="1:14">
      <c r="A7" s="3180" t="s">
        <v>2998</v>
      </c>
      <c r="B7" s="3181">
        <f t="shared" si="0"/>
        <v>89.7</v>
      </c>
      <c r="C7" s="3180">
        <v>92.25</v>
      </c>
      <c r="D7" s="3180">
        <v>90.86</v>
      </c>
      <c r="E7" s="3180">
        <v>90.87</v>
      </c>
      <c r="F7" s="3180">
        <v>92.13</v>
      </c>
      <c r="G7" s="3180">
        <v>90.39</v>
      </c>
      <c r="H7" s="3180">
        <v>93.35</v>
      </c>
      <c r="I7" s="3180">
        <v>84.25</v>
      </c>
      <c r="J7" s="3180">
        <v>88.61</v>
      </c>
      <c r="K7" s="3180">
        <v>89.37</v>
      </c>
      <c r="L7" s="3180">
        <v>94.88</v>
      </c>
      <c r="M7" s="3180">
        <v>83.38</v>
      </c>
      <c r="N7" s="3180">
        <v>86.44</v>
      </c>
    </row>
    <row r="8" spans="1:14">
      <c r="A8" s="3180" t="s">
        <v>2999</v>
      </c>
      <c r="B8" s="3181">
        <f t="shared" si="0"/>
        <v>94.6</v>
      </c>
      <c r="C8" s="3180">
        <v>90.97</v>
      </c>
      <c r="D8" s="3180">
        <v>97.01</v>
      </c>
      <c r="E8" s="3180">
        <v>100.78</v>
      </c>
      <c r="F8" s="3180">
        <v>96.51</v>
      </c>
      <c r="G8" s="3180">
        <v>92.41</v>
      </c>
      <c r="H8" s="3180">
        <v>85.88</v>
      </c>
      <c r="I8" s="3180">
        <v>92.05</v>
      </c>
      <c r="J8" s="3180">
        <v>102.62</v>
      </c>
      <c r="K8" s="3180">
        <v>104.78</v>
      </c>
      <c r="L8" s="3180">
        <v>91.84</v>
      </c>
      <c r="M8" s="3180">
        <v>88.61</v>
      </c>
      <c r="N8" s="3180">
        <v>91.38</v>
      </c>
    </row>
    <row r="9" spans="1:14">
      <c r="A9" s="3180" t="s">
        <v>3000</v>
      </c>
      <c r="B9" s="3181">
        <f t="shared" si="0"/>
        <v>87</v>
      </c>
      <c r="C9" s="3180">
        <v>90.19</v>
      </c>
      <c r="D9" s="3180">
        <v>89.68</v>
      </c>
      <c r="E9" s="3180">
        <v>91.06</v>
      </c>
      <c r="F9" s="3180">
        <v>88.69</v>
      </c>
      <c r="G9" s="3180">
        <v>87.16</v>
      </c>
      <c r="H9" s="3180">
        <v>87.54</v>
      </c>
      <c r="I9" s="3180">
        <v>84.31</v>
      </c>
      <c r="J9" s="3180">
        <v>83.26</v>
      </c>
      <c r="K9" s="3180">
        <v>89.02</v>
      </c>
      <c r="L9" s="3180">
        <v>84.03</v>
      </c>
      <c r="M9" s="3180">
        <v>83.91</v>
      </c>
      <c r="N9" s="3180">
        <v>85.49</v>
      </c>
    </row>
    <row r="10" spans="1:14">
      <c r="A10" s="3180" t="s">
        <v>3001</v>
      </c>
      <c r="B10" s="3181">
        <f t="shared" si="0"/>
        <v>88.1</v>
      </c>
      <c r="C10" s="3180">
        <v>90.13</v>
      </c>
      <c r="D10" s="3180">
        <v>87.55</v>
      </c>
      <c r="E10" s="3180">
        <v>94.75</v>
      </c>
      <c r="F10" s="3180">
        <v>97.22</v>
      </c>
      <c r="G10" s="3180">
        <v>99.15</v>
      </c>
      <c r="H10" s="3180" t="s">
        <v>1203</v>
      </c>
      <c r="I10" s="3180" t="s">
        <v>1203</v>
      </c>
      <c r="J10" s="3180" t="s">
        <v>1203</v>
      </c>
      <c r="K10" s="3180" t="s">
        <v>1203</v>
      </c>
      <c r="L10" s="3180">
        <v>82.87</v>
      </c>
      <c r="M10" s="3180">
        <v>76.69</v>
      </c>
      <c r="N10" s="3180">
        <v>76.819999999999993</v>
      </c>
    </row>
    <row r="11" spans="1:14">
      <c r="A11" s="3180" t="s">
        <v>3002</v>
      </c>
      <c r="B11" s="3181">
        <f t="shared" si="0"/>
        <v>80.5</v>
      </c>
      <c r="C11" s="3180">
        <v>84.62</v>
      </c>
      <c r="D11" s="3180">
        <v>86.22</v>
      </c>
      <c r="E11" s="3180">
        <v>86.69</v>
      </c>
      <c r="F11" s="3180">
        <v>87.6</v>
      </c>
      <c r="G11" s="3180">
        <v>84.27</v>
      </c>
      <c r="H11" s="3180">
        <v>81.2</v>
      </c>
      <c r="I11" s="3180">
        <v>77.92</v>
      </c>
      <c r="J11" s="3180">
        <v>78.69</v>
      </c>
      <c r="K11" s="3180">
        <v>76.22</v>
      </c>
      <c r="L11" s="3180">
        <v>74.599999999999994</v>
      </c>
      <c r="M11" s="3180">
        <v>74.2</v>
      </c>
      <c r="N11" s="3180">
        <v>73.510000000000005</v>
      </c>
    </row>
    <row r="12" spans="1:14">
      <c r="A12" s="3180" t="s">
        <v>3003</v>
      </c>
      <c r="B12" s="3181">
        <f t="shared" si="0"/>
        <v>85.3</v>
      </c>
      <c r="C12" s="3180">
        <v>83.97</v>
      </c>
      <c r="D12" s="3180">
        <v>88.75</v>
      </c>
      <c r="E12" s="3180">
        <v>90.28</v>
      </c>
      <c r="F12" s="3180">
        <v>90.45</v>
      </c>
      <c r="G12" s="3180">
        <v>91.86</v>
      </c>
      <c r="H12" s="3180">
        <v>88.73</v>
      </c>
      <c r="I12" s="3180">
        <v>85.41</v>
      </c>
      <c r="J12" s="3180">
        <v>86.78</v>
      </c>
      <c r="K12" s="3180">
        <v>83.16</v>
      </c>
      <c r="L12" s="3180">
        <v>79.069999999999993</v>
      </c>
      <c r="M12" s="3180">
        <v>75.44</v>
      </c>
      <c r="N12" s="3180">
        <v>79.28</v>
      </c>
    </row>
    <row r="13" spans="1:14">
      <c r="A13" s="3180" t="s">
        <v>3004</v>
      </c>
      <c r="B13" s="3181">
        <f t="shared" si="0"/>
        <v>80.3</v>
      </c>
      <c r="C13" s="3180">
        <v>83.29</v>
      </c>
      <c r="D13" s="3180">
        <v>82.76</v>
      </c>
      <c r="E13" s="3180">
        <v>82.72</v>
      </c>
      <c r="F13" s="3180">
        <v>81.760000000000005</v>
      </c>
      <c r="G13" s="3180">
        <v>82.08</v>
      </c>
      <c r="H13" s="3180">
        <v>79.83</v>
      </c>
      <c r="I13" s="3180">
        <v>79.209999999999994</v>
      </c>
      <c r="J13" s="3180">
        <v>78.5</v>
      </c>
      <c r="K13" s="3180">
        <v>77.69</v>
      </c>
      <c r="L13" s="3180">
        <v>77.650000000000006</v>
      </c>
      <c r="M13" s="3180">
        <v>78.17</v>
      </c>
      <c r="N13" s="3180">
        <v>80.150000000000006</v>
      </c>
    </row>
    <row r="14" spans="1:14" s="3184" customFormat="1">
      <c r="A14" s="3184" t="s">
        <v>3005</v>
      </c>
      <c r="B14" s="3185">
        <f t="shared" si="0"/>
        <v>84.9</v>
      </c>
      <c r="C14" s="3184">
        <v>82.7</v>
      </c>
      <c r="D14" s="3184">
        <v>88.66</v>
      </c>
      <c r="E14" s="3184">
        <v>83.31</v>
      </c>
      <c r="F14" s="3184" t="s">
        <v>1203</v>
      </c>
      <c r="G14" s="3184" t="s">
        <v>1203</v>
      </c>
      <c r="H14" s="3184" t="s">
        <v>1203</v>
      </c>
      <c r="I14" s="3184" t="s">
        <v>1203</v>
      </c>
      <c r="J14" s="3184" t="s">
        <v>1203</v>
      </c>
      <c r="K14" s="3184" t="s">
        <v>1203</v>
      </c>
      <c r="L14" s="3184" t="s">
        <v>1203</v>
      </c>
      <c r="M14" s="3184" t="s">
        <v>1203</v>
      </c>
      <c r="N14" s="3184" t="s">
        <v>1203</v>
      </c>
    </row>
    <row r="15" spans="1:14" s="3184" customFormat="1">
      <c r="A15" s="3184" t="s">
        <v>3006</v>
      </c>
      <c r="B15" s="3185">
        <f t="shared" si="0"/>
        <v>81.400000000000006</v>
      </c>
      <c r="C15" s="3184">
        <v>82.64</v>
      </c>
      <c r="D15" s="3184">
        <v>82.8</v>
      </c>
      <c r="E15" s="3184">
        <v>83.21</v>
      </c>
      <c r="F15" s="3184">
        <v>81.28</v>
      </c>
      <c r="G15" s="3184">
        <v>83.6</v>
      </c>
      <c r="H15" s="3184">
        <v>79.790000000000006</v>
      </c>
      <c r="I15" s="3184">
        <v>82.76</v>
      </c>
      <c r="J15" s="3184">
        <v>81.900000000000006</v>
      </c>
      <c r="K15" s="3184">
        <v>78.39</v>
      </c>
      <c r="L15" s="3184">
        <v>81.47</v>
      </c>
      <c r="M15" s="3184">
        <v>79.290000000000006</v>
      </c>
      <c r="N15" s="3184">
        <v>79.81</v>
      </c>
    </row>
    <row r="16" spans="1:14">
      <c r="A16" s="3180" t="s">
        <v>3007</v>
      </c>
      <c r="B16" s="3181">
        <f t="shared" si="0"/>
        <v>79</v>
      </c>
      <c r="C16" s="3180">
        <v>82.57</v>
      </c>
      <c r="D16" s="3180">
        <v>81.569999999999993</v>
      </c>
      <c r="E16" s="3180">
        <v>79.36</v>
      </c>
      <c r="F16" s="3180" t="s">
        <v>1203</v>
      </c>
      <c r="G16" s="3180" t="s">
        <v>1203</v>
      </c>
      <c r="H16" s="3180">
        <v>76.52</v>
      </c>
      <c r="I16" s="3180" t="s">
        <v>1203</v>
      </c>
      <c r="J16" s="3180" t="s">
        <v>1203</v>
      </c>
      <c r="K16" s="3180" t="s">
        <v>1203</v>
      </c>
      <c r="L16" s="3180" t="s">
        <v>1203</v>
      </c>
      <c r="M16" s="3180" t="s">
        <v>1203</v>
      </c>
      <c r="N16" s="3180">
        <v>74.78</v>
      </c>
    </row>
    <row r="17" spans="1:14">
      <c r="A17" s="3180" t="s">
        <v>3008</v>
      </c>
      <c r="B17" s="3181">
        <f t="shared" si="0"/>
        <v>81.8</v>
      </c>
      <c r="C17" s="3180">
        <v>82.36</v>
      </c>
      <c r="D17" s="3180">
        <v>81.63</v>
      </c>
      <c r="E17" s="3180">
        <v>81.37</v>
      </c>
      <c r="F17" s="3180" t="s">
        <v>1203</v>
      </c>
      <c r="G17" s="3180" t="s">
        <v>1203</v>
      </c>
      <c r="H17" s="3180" t="s">
        <v>1203</v>
      </c>
      <c r="I17" s="3180" t="s">
        <v>1203</v>
      </c>
      <c r="J17" s="3180" t="s">
        <v>1203</v>
      </c>
      <c r="K17" s="3180" t="s">
        <v>1203</v>
      </c>
      <c r="L17" s="3180" t="s">
        <v>1203</v>
      </c>
      <c r="M17" s="3180" t="s">
        <v>1203</v>
      </c>
      <c r="N17" s="3180" t="s">
        <v>1203</v>
      </c>
    </row>
    <row r="18" spans="1:14">
      <c r="A18" s="3180" t="s">
        <v>3009</v>
      </c>
      <c r="B18" s="3181">
        <f t="shared" si="0"/>
        <v>83.3</v>
      </c>
      <c r="C18" s="3180">
        <v>82.05</v>
      </c>
      <c r="D18" s="3180">
        <v>83.94</v>
      </c>
      <c r="E18" s="3180">
        <v>84.54</v>
      </c>
      <c r="F18" s="3180">
        <v>83.73</v>
      </c>
      <c r="G18" s="3180">
        <v>83.66</v>
      </c>
      <c r="H18" s="3180">
        <v>84.12</v>
      </c>
      <c r="I18" s="3180">
        <v>82.2</v>
      </c>
      <c r="J18" s="3180">
        <v>82.51</v>
      </c>
      <c r="K18" s="3180">
        <v>77.959999999999994</v>
      </c>
      <c r="L18" s="3180">
        <v>82.73</v>
      </c>
      <c r="M18" s="3180">
        <v>88.08</v>
      </c>
      <c r="N18" s="3180">
        <v>83.85</v>
      </c>
    </row>
    <row r="19" spans="1:14">
      <c r="A19" s="3180" t="s">
        <v>3010</v>
      </c>
      <c r="B19" s="3181">
        <f t="shared" si="0"/>
        <v>79.7</v>
      </c>
      <c r="C19" s="3180">
        <v>81.97</v>
      </c>
      <c r="D19" s="3180">
        <v>81.67</v>
      </c>
      <c r="E19" s="3180">
        <v>81.92</v>
      </c>
      <c r="F19" s="3180">
        <v>81.05</v>
      </c>
      <c r="G19" s="3180">
        <v>80.650000000000006</v>
      </c>
      <c r="H19" s="3180">
        <v>79.31</v>
      </c>
      <c r="I19" s="3180">
        <v>79.95</v>
      </c>
      <c r="J19" s="3180">
        <v>80.27</v>
      </c>
      <c r="K19" s="3180">
        <v>80.069999999999993</v>
      </c>
      <c r="L19" s="3180">
        <v>77.040000000000006</v>
      </c>
      <c r="M19" s="3180">
        <v>76.73</v>
      </c>
      <c r="N19" s="3180">
        <v>75.66</v>
      </c>
    </row>
    <row r="20" spans="1:14">
      <c r="A20" s="3180" t="s">
        <v>3011</v>
      </c>
      <c r="B20" s="3181">
        <f t="shared" si="0"/>
        <v>81.400000000000006</v>
      </c>
      <c r="C20" s="3180">
        <v>81.510000000000005</v>
      </c>
      <c r="D20" s="3180">
        <v>83.54</v>
      </c>
      <c r="E20" s="3180">
        <v>83.62</v>
      </c>
      <c r="F20" s="3180">
        <v>83.42</v>
      </c>
      <c r="G20" s="3180">
        <v>82.73</v>
      </c>
      <c r="H20" s="3180">
        <v>81.760000000000005</v>
      </c>
      <c r="I20" s="3180">
        <v>81.290000000000006</v>
      </c>
      <c r="J20" s="3180">
        <v>81.97</v>
      </c>
      <c r="K20" s="3180">
        <v>78.95</v>
      </c>
      <c r="L20" s="3180" t="s">
        <v>1203</v>
      </c>
      <c r="M20" s="3180">
        <v>79.52</v>
      </c>
      <c r="N20" s="3180">
        <v>77.47</v>
      </c>
    </row>
    <row r="21" spans="1:14">
      <c r="A21" s="3180" t="s">
        <v>3012</v>
      </c>
      <c r="B21" s="3181">
        <f t="shared" si="0"/>
        <v>80.2</v>
      </c>
      <c r="C21" s="3180">
        <v>81.489999999999995</v>
      </c>
      <c r="D21" s="3180">
        <v>83.54</v>
      </c>
      <c r="E21" s="3180">
        <v>86.77</v>
      </c>
      <c r="F21" s="3180">
        <v>88.59</v>
      </c>
      <c r="G21" s="3180">
        <v>86.13</v>
      </c>
      <c r="H21" s="3180" t="s">
        <v>1203</v>
      </c>
      <c r="I21" s="3180">
        <v>74.56</v>
      </c>
      <c r="J21" s="3180">
        <v>77.900000000000006</v>
      </c>
      <c r="K21" s="3180">
        <v>76.650000000000006</v>
      </c>
      <c r="L21" s="3180">
        <v>73.680000000000007</v>
      </c>
      <c r="M21" s="3180">
        <v>76.33</v>
      </c>
      <c r="N21" s="3180">
        <v>76.05</v>
      </c>
    </row>
    <row r="22" spans="1:14">
      <c r="A22" s="3180" t="s">
        <v>3013</v>
      </c>
      <c r="B22" s="3181">
        <f t="shared" si="0"/>
        <v>76.400000000000006</v>
      </c>
      <c r="C22" s="3180">
        <v>79.430000000000007</v>
      </c>
      <c r="D22" s="3180">
        <v>82.42</v>
      </c>
      <c r="E22" s="3180">
        <v>80.010000000000005</v>
      </c>
      <c r="F22" s="3180">
        <v>74.81</v>
      </c>
      <c r="G22" s="3180">
        <v>73.56</v>
      </c>
      <c r="H22" s="3180" t="s">
        <v>1203</v>
      </c>
      <c r="I22" s="3180">
        <v>75.09</v>
      </c>
      <c r="J22" s="3180">
        <v>74.31</v>
      </c>
      <c r="K22" s="3180">
        <v>73.59</v>
      </c>
      <c r="L22" s="3180">
        <v>78.510000000000005</v>
      </c>
      <c r="M22" s="3180">
        <v>75.91</v>
      </c>
      <c r="N22" s="3180">
        <v>72.58</v>
      </c>
    </row>
    <row r="23" spans="1:14">
      <c r="A23" s="3180" t="s">
        <v>3014</v>
      </c>
      <c r="B23" s="3181">
        <f t="shared" si="0"/>
        <v>74.099999999999994</v>
      </c>
      <c r="C23" s="3180">
        <v>77.930000000000007</v>
      </c>
      <c r="D23" s="3180">
        <v>76.14</v>
      </c>
      <c r="E23" s="3180">
        <v>76.569999999999993</v>
      </c>
      <c r="F23" s="3180">
        <v>75.430000000000007</v>
      </c>
      <c r="G23" s="3180">
        <v>76.180000000000007</v>
      </c>
      <c r="H23" s="3180">
        <v>71.819999999999993</v>
      </c>
      <c r="I23" s="3180">
        <v>72.48</v>
      </c>
      <c r="J23" s="3180" t="s">
        <v>1203</v>
      </c>
      <c r="K23" s="3180">
        <v>74.260000000000005</v>
      </c>
      <c r="L23" s="3180">
        <v>72.27</v>
      </c>
      <c r="M23" s="3180">
        <v>70.83</v>
      </c>
      <c r="N23" s="3180">
        <v>71.62</v>
      </c>
    </row>
    <row r="24" spans="1:14">
      <c r="A24" s="3180" t="s">
        <v>3015</v>
      </c>
      <c r="B24" s="3181">
        <f t="shared" si="0"/>
        <v>75.400000000000006</v>
      </c>
      <c r="C24" s="3180">
        <v>75.98</v>
      </c>
      <c r="D24" s="3180">
        <v>76.540000000000006</v>
      </c>
      <c r="E24" s="3180">
        <v>76.52</v>
      </c>
      <c r="F24" s="3180">
        <v>76.3</v>
      </c>
      <c r="G24" s="3180">
        <v>75.75</v>
      </c>
      <c r="H24" s="3180">
        <v>75.92</v>
      </c>
      <c r="I24" s="3180">
        <v>75.86</v>
      </c>
      <c r="J24" s="3180">
        <v>75.63</v>
      </c>
      <c r="K24" s="3180">
        <v>76.599999999999994</v>
      </c>
      <c r="L24" s="3180">
        <v>73.38</v>
      </c>
      <c r="M24" s="3180">
        <v>71.39</v>
      </c>
      <c r="N24" s="3180">
        <v>74.459999999999994</v>
      </c>
    </row>
    <row r="25" spans="1:14">
      <c r="A25" s="3180" t="s">
        <v>3016</v>
      </c>
      <c r="B25" s="3181">
        <f t="shared" si="0"/>
        <v>72.2</v>
      </c>
      <c r="C25" s="3180">
        <v>75.650000000000006</v>
      </c>
      <c r="D25" s="3180">
        <v>75.89</v>
      </c>
      <c r="E25" s="3180">
        <v>70</v>
      </c>
      <c r="F25" s="3180" t="s">
        <v>1203</v>
      </c>
      <c r="G25" s="3180" t="s">
        <v>1203</v>
      </c>
      <c r="H25" s="3180">
        <v>68.19</v>
      </c>
      <c r="I25" s="3180">
        <v>69.89</v>
      </c>
      <c r="J25" s="3180" t="s">
        <v>1203</v>
      </c>
      <c r="K25" s="3180">
        <v>73.319999999999993</v>
      </c>
      <c r="L25" s="3180">
        <v>72.86</v>
      </c>
      <c r="M25" s="3180">
        <v>72.239999999999995</v>
      </c>
      <c r="N25" s="3180">
        <v>71.739999999999995</v>
      </c>
    </row>
    <row r="26" spans="1:14">
      <c r="A26" s="3180" t="s">
        <v>3017</v>
      </c>
      <c r="B26" s="3181">
        <f t="shared" si="0"/>
        <v>73.900000000000006</v>
      </c>
      <c r="C26" s="3180">
        <v>73.819999999999993</v>
      </c>
      <c r="D26" s="3180">
        <v>75.17</v>
      </c>
      <c r="E26" s="3180" t="s">
        <v>1203</v>
      </c>
      <c r="F26" s="3180" t="s">
        <v>1203</v>
      </c>
      <c r="G26" s="3180" t="s">
        <v>1203</v>
      </c>
      <c r="H26" s="3180" t="s">
        <v>1203</v>
      </c>
      <c r="I26" s="3180" t="s">
        <v>1203</v>
      </c>
      <c r="J26" s="3180" t="s">
        <v>1203</v>
      </c>
      <c r="K26" s="3180">
        <v>76.900000000000006</v>
      </c>
      <c r="L26" s="3180">
        <v>69.69</v>
      </c>
      <c r="M26" s="3180" t="s">
        <v>1203</v>
      </c>
      <c r="N26" s="3180" t="s">
        <v>1203</v>
      </c>
    </row>
    <row r="27" spans="1:14" s="3182" customFormat="1">
      <c r="A27" s="3182" t="s">
        <v>3029</v>
      </c>
      <c r="B27" s="3183">
        <f t="shared" si="0"/>
        <v>72.599999999999994</v>
      </c>
      <c r="C27" s="3182">
        <v>73.59</v>
      </c>
      <c r="D27" s="3182">
        <v>72.099999999999994</v>
      </c>
      <c r="E27" s="3182">
        <v>72.23</v>
      </c>
      <c r="F27" s="3182">
        <v>71.819999999999993</v>
      </c>
      <c r="G27" s="3182">
        <v>69.819999999999993</v>
      </c>
      <c r="H27" s="3182">
        <v>74.59</v>
      </c>
      <c r="I27" s="3182">
        <v>68.25</v>
      </c>
      <c r="J27" s="3182">
        <v>68.77</v>
      </c>
      <c r="K27" s="3182">
        <v>69.97</v>
      </c>
      <c r="L27" s="3182">
        <v>76.13</v>
      </c>
      <c r="M27" s="3182">
        <v>81.44</v>
      </c>
      <c r="N27" s="3182" t="s">
        <v>1203</v>
      </c>
    </row>
    <row r="28" spans="1:14">
      <c r="A28" s="3180" t="s">
        <v>3018</v>
      </c>
      <c r="B28" s="3181">
        <f t="shared" si="0"/>
        <v>71.599999999999994</v>
      </c>
      <c r="C28" s="3180">
        <v>72.58</v>
      </c>
      <c r="D28" s="3180">
        <v>73.489999999999995</v>
      </c>
      <c r="E28" s="3180">
        <v>72.94</v>
      </c>
      <c r="F28" s="3180">
        <v>74.08</v>
      </c>
      <c r="G28" s="3180">
        <v>73</v>
      </c>
      <c r="H28" s="3180">
        <v>72.44</v>
      </c>
      <c r="I28" s="3180">
        <v>68.66</v>
      </c>
      <c r="J28" s="3180">
        <v>70.83</v>
      </c>
      <c r="K28" s="3180">
        <v>69.430000000000007</v>
      </c>
      <c r="L28" s="3180">
        <v>70.739999999999995</v>
      </c>
      <c r="M28" s="3180">
        <v>71.12</v>
      </c>
      <c r="N28" s="3180">
        <v>70.36</v>
      </c>
    </row>
    <row r="29" spans="1:14">
      <c r="A29" s="3180" t="s">
        <v>3019</v>
      </c>
      <c r="B29" s="3181">
        <f t="shared" si="0"/>
        <v>72.7</v>
      </c>
      <c r="C29" s="3180">
        <v>72.52</v>
      </c>
      <c r="D29" s="3180">
        <v>73.88</v>
      </c>
      <c r="E29" s="3180">
        <v>75.23</v>
      </c>
      <c r="F29" s="3180">
        <v>71.64</v>
      </c>
      <c r="G29" s="3180">
        <v>71.64</v>
      </c>
      <c r="H29" s="3180">
        <v>74.680000000000007</v>
      </c>
      <c r="I29" s="3180">
        <v>72.61</v>
      </c>
      <c r="J29" s="3180">
        <v>73.92</v>
      </c>
      <c r="K29" s="3180">
        <v>73.2</v>
      </c>
      <c r="L29" s="3180">
        <v>72.16</v>
      </c>
      <c r="M29" s="3180">
        <v>68.95</v>
      </c>
      <c r="N29" s="3180">
        <v>71.459999999999994</v>
      </c>
    </row>
    <row r="30" spans="1:14">
      <c r="A30" s="3180" t="s">
        <v>3030</v>
      </c>
      <c r="B30" s="3181">
        <f t="shared" si="0"/>
        <v>70.5</v>
      </c>
      <c r="C30" s="3180">
        <v>71.7</v>
      </c>
      <c r="D30" s="3180">
        <v>73.040000000000006</v>
      </c>
      <c r="E30" s="3180">
        <v>72.11</v>
      </c>
      <c r="F30" s="3180">
        <v>70.63</v>
      </c>
      <c r="G30" s="3180">
        <v>70.739999999999995</v>
      </c>
      <c r="H30" s="3180">
        <v>68.569999999999993</v>
      </c>
      <c r="I30" s="3180">
        <v>69.41</v>
      </c>
      <c r="J30" s="3180">
        <v>68.349999999999994</v>
      </c>
      <c r="K30" s="3180">
        <v>73.13</v>
      </c>
      <c r="L30" s="3180">
        <v>68.87</v>
      </c>
      <c r="M30" s="3180">
        <v>69.37</v>
      </c>
      <c r="N30" s="3180">
        <v>70.040000000000006</v>
      </c>
    </row>
    <row r="31" spans="1:14">
      <c r="A31" s="3180" t="s">
        <v>3020</v>
      </c>
      <c r="B31" s="3181">
        <f t="shared" si="0"/>
        <v>70.5</v>
      </c>
      <c r="C31" s="3180">
        <v>71.510000000000005</v>
      </c>
      <c r="D31" s="3180">
        <v>69.989999999999995</v>
      </c>
      <c r="E31" s="3180">
        <v>69.930000000000007</v>
      </c>
      <c r="F31" s="3180" t="s">
        <v>1203</v>
      </c>
      <c r="G31" s="3180" t="s">
        <v>1203</v>
      </c>
      <c r="H31" s="3180" t="s">
        <v>1203</v>
      </c>
      <c r="I31" s="3180" t="s">
        <v>1203</v>
      </c>
      <c r="J31" s="3180" t="s">
        <v>1203</v>
      </c>
      <c r="K31" s="3180" t="s">
        <v>1203</v>
      </c>
      <c r="L31" s="3180" t="s">
        <v>1203</v>
      </c>
      <c r="M31" s="3180" t="s">
        <v>1203</v>
      </c>
      <c r="N31" s="3180" t="s">
        <v>1203</v>
      </c>
    </row>
    <row r="32" spans="1:14" s="3182" customFormat="1">
      <c r="A32" s="3182" t="s">
        <v>3031</v>
      </c>
      <c r="B32" s="3183">
        <f t="shared" si="0"/>
        <v>68.599999999999994</v>
      </c>
      <c r="C32" s="3182">
        <v>71.349999999999994</v>
      </c>
      <c r="D32" s="3182">
        <v>70.59</v>
      </c>
      <c r="E32" s="3182">
        <v>70.91</v>
      </c>
      <c r="F32" s="3182">
        <v>68.56</v>
      </c>
      <c r="G32" s="3182">
        <v>71.05</v>
      </c>
      <c r="H32" s="3182">
        <v>69.11</v>
      </c>
      <c r="I32" s="3182">
        <v>67.22</v>
      </c>
      <c r="J32" s="3182">
        <v>68.75</v>
      </c>
      <c r="K32" s="3182">
        <v>67.489999999999995</v>
      </c>
      <c r="L32" s="3182">
        <v>67.08</v>
      </c>
      <c r="M32" s="3182">
        <v>64.84</v>
      </c>
      <c r="N32" s="3182">
        <v>66.19</v>
      </c>
    </row>
    <row r="33" spans="1:14" s="3182" customFormat="1">
      <c r="A33" s="3182" t="s">
        <v>3021</v>
      </c>
      <c r="B33" s="3183">
        <f t="shared" si="0"/>
        <v>70.099999999999994</v>
      </c>
      <c r="C33" s="3182">
        <v>70.44</v>
      </c>
      <c r="D33" s="3182">
        <v>70.84</v>
      </c>
      <c r="E33" s="3182">
        <v>71.3</v>
      </c>
      <c r="F33" s="3182">
        <v>70.180000000000007</v>
      </c>
      <c r="G33" s="3182">
        <v>70.67</v>
      </c>
      <c r="H33" s="3182">
        <v>70.19</v>
      </c>
      <c r="I33" s="3182">
        <v>68.739999999999995</v>
      </c>
      <c r="J33" s="3182">
        <v>72.34</v>
      </c>
      <c r="K33" s="3182">
        <v>72.010000000000005</v>
      </c>
      <c r="L33" s="3182">
        <v>67.5</v>
      </c>
      <c r="M33" s="3182">
        <v>68.209999999999994</v>
      </c>
      <c r="N33" s="3182">
        <v>69.19</v>
      </c>
    </row>
    <row r="34" spans="1:14">
      <c r="A34" s="3180" t="s">
        <v>3022</v>
      </c>
      <c r="B34" s="3181">
        <f t="shared" si="0"/>
        <v>66.8</v>
      </c>
      <c r="C34" s="3180">
        <v>68.180000000000007</v>
      </c>
      <c r="D34" s="3180">
        <v>67.86</v>
      </c>
      <c r="E34" s="3180">
        <v>67.73</v>
      </c>
      <c r="F34" s="3180">
        <v>63.27</v>
      </c>
      <c r="G34" s="3180" t="s">
        <v>1203</v>
      </c>
      <c r="H34" s="3180" t="s">
        <v>1203</v>
      </c>
      <c r="I34" s="3180" t="s">
        <v>1203</v>
      </c>
      <c r="J34" s="3180" t="s">
        <v>1203</v>
      </c>
      <c r="K34" s="3180" t="s">
        <v>1203</v>
      </c>
      <c r="L34" s="3180" t="s">
        <v>1203</v>
      </c>
      <c r="M34" s="3180" t="s">
        <v>1203</v>
      </c>
      <c r="N34" s="3180" t="s">
        <v>1203</v>
      </c>
    </row>
    <row r="35" spans="1:14">
      <c r="A35" s="3180" t="s">
        <v>3023</v>
      </c>
      <c r="B35" s="3181">
        <f t="shared" si="0"/>
        <v>66.7</v>
      </c>
      <c r="C35" s="3180">
        <v>67.36</v>
      </c>
      <c r="D35" s="3180">
        <v>66.55</v>
      </c>
      <c r="E35" s="3180">
        <v>66.73</v>
      </c>
      <c r="F35" s="3180">
        <v>66.33</v>
      </c>
      <c r="G35" s="3180">
        <v>67.12</v>
      </c>
      <c r="H35" s="3180">
        <v>66.89</v>
      </c>
      <c r="I35" s="3180">
        <v>66.930000000000007</v>
      </c>
      <c r="J35" s="3180" t="s">
        <v>1203</v>
      </c>
      <c r="K35" s="3180">
        <v>65.819999999999993</v>
      </c>
      <c r="L35" s="3180">
        <v>66.98</v>
      </c>
      <c r="M35" s="3180">
        <v>66.2</v>
      </c>
      <c r="N35" s="3180">
        <v>66.27</v>
      </c>
    </row>
    <row r="36" spans="1:14">
      <c r="A36" s="3180" t="s">
        <v>3024</v>
      </c>
      <c r="B36" s="3181">
        <f t="shared" si="0"/>
        <v>67</v>
      </c>
      <c r="C36" s="3180">
        <v>67.12</v>
      </c>
      <c r="D36" s="3180">
        <v>66.760000000000005</v>
      </c>
      <c r="E36" s="3180">
        <v>67.34</v>
      </c>
      <c r="F36" s="3180" t="s">
        <v>1203</v>
      </c>
      <c r="G36" s="3180">
        <v>66.67</v>
      </c>
      <c r="H36" s="3180" t="s">
        <v>1203</v>
      </c>
      <c r="I36" s="3180" t="s">
        <v>1203</v>
      </c>
      <c r="J36" s="3180" t="s">
        <v>1203</v>
      </c>
      <c r="K36" s="3180" t="s">
        <v>1203</v>
      </c>
      <c r="L36" s="3180" t="s">
        <v>1203</v>
      </c>
      <c r="M36" s="3180" t="s">
        <v>1203</v>
      </c>
      <c r="N36" s="3180">
        <v>66.95</v>
      </c>
    </row>
    <row r="37" spans="1:14">
      <c r="A37" s="3180" t="s">
        <v>3025</v>
      </c>
      <c r="B37" s="3181">
        <f t="shared" si="0"/>
        <v>67</v>
      </c>
      <c r="C37" s="3180">
        <v>66.97</v>
      </c>
      <c r="D37" s="3180" t="s">
        <v>1203</v>
      </c>
      <c r="E37" s="3180" t="s">
        <v>1203</v>
      </c>
      <c r="F37" s="3180" t="s">
        <v>1203</v>
      </c>
      <c r="G37" s="3180" t="s">
        <v>1203</v>
      </c>
      <c r="H37" s="3180" t="s">
        <v>1203</v>
      </c>
      <c r="I37" s="3180" t="s">
        <v>1203</v>
      </c>
      <c r="J37" s="3180" t="s">
        <v>1203</v>
      </c>
      <c r="K37" s="3180" t="s">
        <v>1203</v>
      </c>
      <c r="L37" s="3180" t="s">
        <v>1203</v>
      </c>
      <c r="M37" s="3180" t="s">
        <v>1203</v>
      </c>
      <c r="N37" s="3180" t="s">
        <v>1203</v>
      </c>
    </row>
    <row r="38" spans="1:14">
      <c r="A38" s="3180" t="s">
        <v>3026</v>
      </c>
      <c r="B38" s="3181">
        <f t="shared" si="0"/>
        <v>68.099999999999994</v>
      </c>
      <c r="C38" s="3180">
        <v>66.87</v>
      </c>
      <c r="D38" s="3180">
        <v>65.599999999999994</v>
      </c>
      <c r="E38" s="3180">
        <v>65.62</v>
      </c>
      <c r="F38" s="3180">
        <v>68.77</v>
      </c>
      <c r="G38" s="3180">
        <v>69.83</v>
      </c>
      <c r="H38" s="3180">
        <v>71.930000000000007</v>
      </c>
      <c r="I38" s="3180">
        <v>67.86</v>
      </c>
      <c r="J38" s="3180">
        <v>69.64</v>
      </c>
      <c r="K38" s="3180">
        <v>69.52</v>
      </c>
      <c r="L38" s="3180">
        <v>67.02</v>
      </c>
      <c r="M38" s="3180">
        <v>66.61</v>
      </c>
      <c r="N38" s="3180">
        <v>68.41</v>
      </c>
    </row>
    <row r="39" spans="1:14">
      <c r="A39" s="3180" t="s">
        <v>3027</v>
      </c>
      <c r="B39" s="3181">
        <f t="shared" si="0"/>
        <v>65.400000000000006</v>
      </c>
      <c r="C39" s="3180">
        <v>65.11</v>
      </c>
      <c r="D39" s="3180">
        <v>66.16</v>
      </c>
      <c r="E39" s="3180">
        <v>66.430000000000007</v>
      </c>
      <c r="F39" s="3180">
        <v>64.760000000000005</v>
      </c>
      <c r="G39" s="3180">
        <v>66.37</v>
      </c>
      <c r="H39" s="3180" t="s">
        <v>1203</v>
      </c>
      <c r="I39" s="3180">
        <v>64.2</v>
      </c>
      <c r="J39" s="3180" t="s">
        <v>1203</v>
      </c>
      <c r="K39" s="3180" t="s">
        <v>1203</v>
      </c>
      <c r="L39" s="3180">
        <v>64.709999999999994</v>
      </c>
      <c r="M39" s="3180">
        <v>64.680000000000007</v>
      </c>
      <c r="N39" s="3180">
        <v>66.38</v>
      </c>
    </row>
    <row r="40" spans="1:14">
      <c r="A40" s="3180" t="s">
        <v>3028</v>
      </c>
      <c r="B40" s="3181">
        <f t="shared" si="0"/>
        <v>64.400000000000006</v>
      </c>
      <c r="C40" s="3180">
        <v>64.709999999999994</v>
      </c>
      <c r="D40" s="3180" t="s">
        <v>1203</v>
      </c>
      <c r="E40" s="3180" t="s">
        <v>1203</v>
      </c>
      <c r="F40" s="3180" t="s">
        <v>1203</v>
      </c>
      <c r="G40" s="3180" t="s">
        <v>1203</v>
      </c>
      <c r="H40" s="3180" t="s">
        <v>1203</v>
      </c>
      <c r="I40" s="3180" t="s">
        <v>1203</v>
      </c>
      <c r="J40" s="3180" t="s">
        <v>1203</v>
      </c>
      <c r="K40" s="3180" t="s">
        <v>1203</v>
      </c>
      <c r="L40" s="3180" t="s">
        <v>1203</v>
      </c>
      <c r="M40" s="3180" t="s">
        <v>1203</v>
      </c>
      <c r="N40" s="3180">
        <v>64.010000000000005</v>
      </c>
    </row>
  </sheetData>
  <mergeCells count="1">
    <mergeCell ref="A1:A2"/>
  </mergeCells>
  <phoneticPr fontId="14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1093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xx  先生/女士：</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7.399999999999999">
      <c r="A5" s="1350" t="s">
        <v>1254</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349"/>
      <c r="C6" s="1349"/>
      <c r="D6" s="1349"/>
      <c r="E6" s="1349"/>
      <c r="F6" s="1349"/>
      <c r="G6" s="1349"/>
    </row>
    <row r="7" spans="1:7" ht="17.399999999999999">
      <c r="A7" s="1350" t="s">
        <v>1255</v>
      </c>
    </row>
    <row r="8" spans="1:7" ht="17.399999999999999">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2024年9月23日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本次估价的“房地产价值”是指在正常市场情况下，在价值时点2024年9月23日，估价对象规划用途为，假定未设立法定优先受偿款下的房地产市场价值。</v>
      </c>
      <c r="B13" s="1349"/>
      <c r="C13" s="1349"/>
      <c r="D13" s="1349"/>
      <c r="E13" s="1349"/>
      <c r="F13" s="1349"/>
      <c r="G13" s="1349"/>
    </row>
    <row r="14" spans="1:7" ht="17.399999999999999">
      <c r="A14" s="1352" t="str">
        <f>IF(项目基本情况!D5="房地产市场价值","——",IF(项目基本情况!F5="房地产抵押价值",定义!C54,IF(项目基本情况!F5="已注销",定义!C55,定义!C56)))</f>
        <v>——</v>
      </c>
      <c r="B14" s="1357"/>
      <c r="C14" s="1357"/>
      <c r="D14" s="1357"/>
      <c r="E14" s="1357"/>
      <c r="F14" s="1357"/>
      <c r="G14" s="1357"/>
    </row>
    <row r="15" spans="1:7" ht="70.8">
      <c r="A15" s="1349" t="s">
        <v>1252</v>
      </c>
      <c r="B15" s="1349"/>
      <c r="C15" s="1349"/>
      <c r="D15" s="1349"/>
      <c r="E15" s="1349"/>
      <c r="F15" s="1349"/>
      <c r="G15" s="1349"/>
    </row>
    <row r="16" spans="1:7" ht="17.399999999999999">
      <c r="A16" s="1353" t="str">
        <f>IF(项目基本情况!D5="房地产市场价值","——",IF(项目基本情况!G5="——","",定义!C57))</f>
        <v>——</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31:A33"/>
  <sheetViews>
    <sheetView workbookViewId="0">
      <selection activeCell="G42" sqref="G42"/>
    </sheetView>
  </sheetViews>
  <sheetFormatPr defaultColWidth="8.88671875" defaultRowHeight="14.4"/>
  <sheetData>
    <row r="31" spans="1:1">
      <c r="A31" s="3150" t="s">
        <v>2897</v>
      </c>
    </row>
    <row r="32" spans="1:1">
      <c r="A32" s="3150" t="s">
        <v>2898</v>
      </c>
    </row>
    <row r="33" spans="1:1">
      <c r="A33" s="3150" t="s">
        <v>2899</v>
      </c>
    </row>
  </sheetData>
  <phoneticPr fontId="146" type="noConversion"/>
  <hyperlinks>
    <hyperlink ref="A31" r:id="rId1"/>
    <hyperlink ref="A32" r:id="rId2"/>
    <hyperlink ref="A33" r:id="rId3"/>
  </hyperlinks>
  <pageMargins left="0.7" right="0.7" top="0.75" bottom="0.75" header="0.3" footer="0.3"/>
  <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3.8"/>
  <cols>
    <col min="1" max="1" width="10.44140625" style="1667" customWidth="1"/>
    <col min="2" max="2" width="15.6640625" style="1667" customWidth="1"/>
    <col min="3" max="3" width="16.6640625" style="1667" customWidth="1"/>
    <col min="4" max="4" width="12.109375" style="1667" customWidth="1"/>
    <col min="5" max="5" width="17.44140625" style="1667" customWidth="1"/>
    <col min="6" max="6" width="12.109375" style="1667" customWidth="1"/>
    <col min="7" max="7" width="17.6640625" style="1667" customWidth="1"/>
    <col min="8" max="8" width="12.109375" style="1667" customWidth="1"/>
    <col min="9" max="9" width="18.109375" style="1667" customWidth="1"/>
    <col min="10" max="10" width="12.109375" style="1667" customWidth="1"/>
    <col min="11" max="11" width="12.109375" style="1909" customWidth="1"/>
    <col min="12" max="12" width="12.109375" style="1910" customWidth="1"/>
    <col min="13" max="15" width="12.109375" style="1667" customWidth="1"/>
    <col min="16" max="16" width="4.6640625" style="1667"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2390</v>
      </c>
      <c r="C1" s="1639"/>
      <c r="D1" s="1638"/>
      <c r="E1" s="1641" t="s">
        <v>1224</v>
      </c>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59" customFormat="1" ht="28.5" customHeight="1" thickTop="1">
      <c r="A2" s="1649" t="s">
        <v>1921</v>
      </c>
      <c r="B2" s="1650" t="e">
        <f ca="1">IF(D2="——",IF(C2="元",ROUND(C50*D3,0),ROUND(C50*D3/10000,0)),IF(C2="元",ROUND(C50*D3,0),ROUND(C50*D3/10000,0))-E2)</f>
        <v>#REF!</v>
      </c>
      <c r="C2" s="1651">
        <f>'数据-取费表'!B3</f>
        <v>0</v>
      </c>
      <c r="D2" s="1652"/>
      <c r="E2" s="2490" t="e">
        <f ca="1">SUMIF(INDIRECT("'"&amp;G2&amp;"'"&amp;"!A:A"),"承租人权益价值",INDIRECT("'"&amp;G2&amp;"'"&amp;"!c:c"))</f>
        <v>#REF!</v>
      </c>
      <c r="F2" s="1654">
        <f>C2</f>
        <v>0</v>
      </c>
      <c r="G2" s="1655"/>
      <c r="H2" s="3014"/>
      <c r="I2" s="3014"/>
      <c r="J2" s="3014"/>
      <c r="K2" s="3014"/>
      <c r="L2" s="3016"/>
      <c r="M2" s="3014"/>
      <c r="N2" s="3014"/>
      <c r="O2" s="3014"/>
      <c r="P2" s="1956"/>
      <c r="Q2" s="1956"/>
      <c r="R2" s="1956"/>
      <c r="S2" s="1956"/>
      <c r="T2" s="1956"/>
      <c r="U2" s="1956"/>
      <c r="V2" s="1956"/>
      <c r="W2" s="1956"/>
      <c r="X2" s="1956"/>
      <c r="Y2" s="1956"/>
      <c r="Z2" s="1956"/>
      <c r="AA2" s="1956"/>
      <c r="AB2" s="2491"/>
      <c r="AC2" s="1964"/>
    </row>
    <row r="3" spans="1:29" s="1959" customFormat="1" ht="28.5" customHeight="1" thickBot="1">
      <c r="A3" s="1659" t="s">
        <v>1922</v>
      </c>
      <c r="B3" s="1962" t="e">
        <f ca="1">ROUND(IF(D2="——",C50,IF(C2="万元",B2*10000/D3,B2/D3)),0)</f>
        <v>#REF!</v>
      </c>
      <c r="C3" s="1660" t="s">
        <v>2252</v>
      </c>
      <c r="D3" s="1660">
        <f>IF(C1="仅计算典型户型",'数据-取费表'!E5,'数据-取费表'!B5)</f>
        <v>0</v>
      </c>
      <c r="F3" s="3013"/>
      <c r="G3" s="3014"/>
      <c r="H3" s="3014"/>
      <c r="I3" s="3014"/>
      <c r="J3" s="3014"/>
      <c r="K3" s="3015"/>
      <c r="L3" s="3016"/>
      <c r="M3" s="3014"/>
      <c r="N3" s="3014"/>
      <c r="O3" s="3014"/>
      <c r="P3" s="3021"/>
      <c r="Q3" s="1951"/>
      <c r="R3" s="1951"/>
      <c r="S3" s="1951"/>
      <c r="T3" s="1951"/>
      <c r="U3" s="1951"/>
      <c r="V3" s="1951"/>
      <c r="W3" s="1951"/>
      <c r="X3" s="1956"/>
      <c r="Y3" s="1951"/>
      <c r="Z3" s="1951"/>
      <c r="AA3" s="1951"/>
      <c r="AB3" s="2492"/>
      <c r="AC3" s="1964"/>
    </row>
    <row r="4" spans="1:29" ht="14.4">
      <c r="A4" s="1663" t="s">
        <v>2253</v>
      </c>
      <c r="B4" s="1664"/>
      <c r="C4" s="3498" t="s">
        <v>2254</v>
      </c>
      <c r="D4" s="3499"/>
      <c r="E4" s="3500" t="s">
        <v>2255</v>
      </c>
      <c r="F4" s="3501"/>
      <c r="G4" s="3498" t="s">
        <v>2256</v>
      </c>
      <c r="H4" s="3499"/>
      <c r="I4" s="3498" t="s">
        <v>2257</v>
      </c>
      <c r="J4" s="3499"/>
      <c r="K4" s="1965" t="s">
        <v>2258</v>
      </c>
      <c r="L4" s="2999"/>
      <c r="M4" s="3000"/>
      <c r="N4" s="3000"/>
      <c r="O4" s="3000"/>
      <c r="P4" s="3502" t="s">
        <v>2259</v>
      </c>
      <c r="Q4" s="3503"/>
      <c r="R4" s="3486" t="s">
        <v>2255</v>
      </c>
      <c r="S4" s="3487"/>
      <c r="T4" s="3486" t="s">
        <v>2256</v>
      </c>
      <c r="U4" s="3487"/>
      <c r="V4" s="3508" t="s">
        <v>2257</v>
      </c>
      <c r="W4" s="3508"/>
      <c r="X4" s="2074"/>
      <c r="Y4" s="3486" t="s">
        <v>2259</v>
      </c>
      <c r="Z4" s="3487"/>
      <c r="AA4" s="3495" t="s">
        <v>2255</v>
      </c>
      <c r="AB4" s="3495" t="s">
        <v>2256</v>
      </c>
      <c r="AC4" s="3495" t="s">
        <v>2257</v>
      </c>
    </row>
    <row r="5" spans="1:29">
      <c r="A5" s="1668"/>
      <c r="B5" s="1669"/>
      <c r="C5" s="3512" t="s">
        <v>2260</v>
      </c>
      <c r="D5" s="3510"/>
      <c r="E5" s="3515" t="s">
        <v>2261</v>
      </c>
      <c r="F5" s="3483"/>
      <c r="G5" s="3512" t="s">
        <v>2262</v>
      </c>
      <c r="H5" s="3510"/>
      <c r="I5" s="3512" t="s">
        <v>2263</v>
      </c>
      <c r="J5" s="3510"/>
      <c r="K5" s="1965"/>
      <c r="L5" s="2999"/>
      <c r="M5" s="3000"/>
      <c r="N5" s="3000"/>
      <c r="O5" s="3000"/>
      <c r="P5" s="3504"/>
      <c r="Q5" s="3505"/>
      <c r="R5" s="3488"/>
      <c r="S5" s="3489"/>
      <c r="T5" s="3488"/>
      <c r="U5" s="3489"/>
      <c r="V5" s="3508"/>
      <c r="W5" s="3508"/>
      <c r="X5" s="2074"/>
      <c r="Y5" s="3488"/>
      <c r="Z5" s="3489"/>
      <c r="AA5" s="3496"/>
      <c r="AB5" s="3496"/>
      <c r="AC5" s="3496"/>
    </row>
    <row r="6" spans="1:29" ht="15" thickBot="1">
      <c r="A6" s="1671"/>
      <c r="B6" s="1672"/>
      <c r="C6" s="3480" t="s">
        <v>2264</v>
      </c>
      <c r="D6" s="3481"/>
      <c r="E6" s="3516" t="s">
        <v>2900</v>
      </c>
      <c r="F6" s="3517"/>
      <c r="G6" s="3494" t="s">
        <v>2924</v>
      </c>
      <c r="H6" s="3481"/>
      <c r="I6" s="3494" t="s">
        <v>2925</v>
      </c>
      <c r="J6" s="3481"/>
      <c r="K6" s="1965" t="s">
        <v>2265</v>
      </c>
      <c r="L6" s="2999"/>
      <c r="M6" s="3000"/>
      <c r="N6" s="3000"/>
      <c r="O6" s="3000"/>
      <c r="P6" s="3506"/>
      <c r="Q6" s="3507"/>
      <c r="R6" s="3488"/>
      <c r="S6" s="3489"/>
      <c r="T6" s="3490"/>
      <c r="U6" s="3491"/>
      <c r="V6" s="3508"/>
      <c r="W6" s="3508"/>
      <c r="X6" s="2074"/>
      <c r="Y6" s="3490"/>
      <c r="Z6" s="3491"/>
      <c r="AA6" s="3497"/>
      <c r="AB6" s="3497"/>
      <c r="AC6" s="3497"/>
    </row>
    <row r="7" spans="1:29" s="1685" customFormat="1" ht="15" thickBot="1">
      <c r="A7" s="1673" t="s">
        <v>2266</v>
      </c>
      <c r="B7" s="1674"/>
      <c r="C7" s="1675">
        <f>'数据-取费表'!B2</f>
        <v>45558</v>
      </c>
      <c r="D7" s="1676">
        <v>100</v>
      </c>
      <c r="E7" s="1677">
        <f>C7</f>
        <v>45558</v>
      </c>
      <c r="F7" s="1678">
        <f>SUMIF(59:59,YEAR(E7)&amp;"-"&amp;MONTH(E7),60:60)</f>
        <v>100</v>
      </c>
      <c r="G7" s="1966">
        <f>C7</f>
        <v>45558</v>
      </c>
      <c r="H7" s="1676">
        <f>SUMIF(59:59,YEAR(G7)&amp;"-"&amp;MONTH(G7),60:60)</f>
        <v>100</v>
      </c>
      <c r="I7" s="1966">
        <f>C7</f>
        <v>45558</v>
      </c>
      <c r="J7" s="1676">
        <f>SUMIF(59:59,YEAR(I7)&amp;"-"&amp;MONTH(I7),60:60)</f>
        <v>100</v>
      </c>
      <c r="K7" s="1967"/>
      <c r="L7" s="2999"/>
      <c r="M7" s="2972"/>
      <c r="N7" s="2972"/>
      <c r="O7" s="2972"/>
      <c r="P7" s="3484" t="s">
        <v>2267</v>
      </c>
      <c r="Q7" s="3492"/>
      <c r="R7" s="1681" t="s">
        <v>25</v>
      </c>
      <c r="S7" s="1682">
        <f t="shared" ref="S7:S15" si="0">F7</f>
        <v>100</v>
      </c>
      <c r="T7" s="1681" t="s">
        <v>25</v>
      </c>
      <c r="U7" s="1682">
        <f t="shared" ref="U7:U15" si="1">H7</f>
        <v>100</v>
      </c>
      <c r="V7" s="1681" t="s">
        <v>25</v>
      </c>
      <c r="W7" s="1682">
        <f t="shared" ref="W7:W15" si="2">J7</f>
        <v>100</v>
      </c>
      <c r="X7" s="1683"/>
      <c r="Y7" s="3484" t="s">
        <v>2267</v>
      </c>
      <c r="Z7" s="3485"/>
      <c r="AA7" s="1684">
        <f>D7/F7</f>
        <v>1</v>
      </c>
      <c r="AB7" s="1684">
        <f>D7/H7</f>
        <v>1</v>
      </c>
      <c r="AC7" s="1684">
        <f>D7/J7</f>
        <v>1</v>
      </c>
    </row>
    <row r="8" spans="1:29" s="1685" customFormat="1" ht="15" thickBot="1">
      <c r="A8" s="1673" t="s">
        <v>2268</v>
      </c>
      <c r="B8" s="1674"/>
      <c r="C8" s="1686" t="s">
        <v>2269</v>
      </c>
      <c r="D8" s="1676">
        <v>100</v>
      </c>
      <c r="E8" s="1686" t="s">
        <v>2890</v>
      </c>
      <c r="F8" s="1678">
        <f>SUMIF(62:62,E8,63:63)-SUMIF(62:62,C8,63:63)+100</f>
        <v>100</v>
      </c>
      <c r="G8" s="1686" t="s">
        <v>2890</v>
      </c>
      <c r="H8" s="1676">
        <f>SUMIF(62:62,G8,63:63)-SUMIF(62:62,C8,63:63)+100</f>
        <v>100</v>
      </c>
      <c r="I8" s="1686" t="s">
        <v>2890</v>
      </c>
      <c r="J8" s="1676">
        <f>SUMIF(62:62,I8,63:63)-SUMIF(62:62,C8,63:63)+100</f>
        <v>100</v>
      </c>
      <c r="K8" s="1967"/>
      <c r="L8" s="2999"/>
      <c r="M8" s="2972"/>
      <c r="N8" s="2972"/>
      <c r="O8" s="2972"/>
      <c r="P8" s="3484" t="s">
        <v>2270</v>
      </c>
      <c r="Q8" s="3485"/>
      <c r="R8" s="1681" t="s">
        <v>25</v>
      </c>
      <c r="S8" s="1682">
        <f t="shared" si="0"/>
        <v>100</v>
      </c>
      <c r="T8" s="1681" t="s">
        <v>25</v>
      </c>
      <c r="U8" s="1682">
        <f t="shared" si="1"/>
        <v>100</v>
      </c>
      <c r="V8" s="1681" t="s">
        <v>25</v>
      </c>
      <c r="W8" s="1682">
        <f t="shared" si="2"/>
        <v>100</v>
      </c>
      <c r="X8" s="1683"/>
      <c r="Y8" s="3484" t="s">
        <v>2270</v>
      </c>
      <c r="Z8" s="3485"/>
      <c r="AA8" s="1684">
        <f t="shared" ref="AA8:AA47" si="3">D8/F8</f>
        <v>1</v>
      </c>
      <c r="AB8" s="1684">
        <f t="shared" ref="AB8:AB47" si="4">D8/H8</f>
        <v>1</v>
      </c>
      <c r="AC8" s="1684">
        <f t="shared" ref="AC8:AC47" si="5">D8/J8</f>
        <v>1</v>
      </c>
    </row>
    <row r="9" spans="1:29" s="1685" customFormat="1" ht="14.4">
      <c r="A9" s="2066" t="s">
        <v>2271</v>
      </c>
      <c r="B9" s="1688" t="s">
        <v>2272</v>
      </c>
      <c r="C9" s="3151" t="s">
        <v>2927</v>
      </c>
      <c r="D9" s="1689">
        <v>100</v>
      </c>
      <c r="E9" s="1692" t="s">
        <v>2926</v>
      </c>
      <c r="F9" s="1689">
        <f>SUMIF(64:64,E9,65:65)-SUMIF(64:64,C9,65:65)+100</f>
        <v>100</v>
      </c>
      <c r="G9" s="1692" t="s">
        <v>2926</v>
      </c>
      <c r="H9" s="1689">
        <f>SUMIF(64:64,G9,65:65)-SUMIF(64:64,C9,65:65)+100</f>
        <v>100</v>
      </c>
      <c r="I9" s="1692" t="s">
        <v>2926</v>
      </c>
      <c r="J9" s="1689">
        <f>SUMIF(64:64,I9,65:65)-SUMIF(64:64,C9,65:65)+100</f>
        <v>100</v>
      </c>
      <c r="K9" s="1967"/>
      <c r="L9" s="2999"/>
      <c r="M9" s="2972"/>
      <c r="N9" s="2972"/>
      <c r="O9" s="2972"/>
      <c r="P9" s="3470" t="s">
        <v>2273</v>
      </c>
      <c r="Q9" s="2917" t="str">
        <f t="shared" ref="Q9:Q15" si="6">B9</f>
        <v>用途</v>
      </c>
      <c r="R9" s="1681" t="s">
        <v>25</v>
      </c>
      <c r="S9" s="1682">
        <f t="shared" si="0"/>
        <v>100</v>
      </c>
      <c r="T9" s="1681" t="s">
        <v>25</v>
      </c>
      <c r="U9" s="1682">
        <f t="shared" si="1"/>
        <v>100</v>
      </c>
      <c r="V9" s="1681" t="s">
        <v>25</v>
      </c>
      <c r="W9" s="1682">
        <f t="shared" si="2"/>
        <v>100</v>
      </c>
      <c r="X9" s="1683"/>
      <c r="Y9" s="3328" t="s">
        <v>2274</v>
      </c>
      <c r="Z9" s="1693" t="str">
        <f t="shared" ref="Z9:Z15" si="7">Q9</f>
        <v>用途</v>
      </c>
      <c r="AA9" s="1684">
        <f t="shared" si="3"/>
        <v>1</v>
      </c>
      <c r="AB9" s="1684">
        <f t="shared" si="4"/>
        <v>1</v>
      </c>
      <c r="AC9" s="1684">
        <f t="shared" si="5"/>
        <v>1</v>
      </c>
    </row>
    <row r="10" spans="1:29" s="1701" customFormat="1" ht="28.8">
      <c r="A10" s="1694"/>
      <c r="B10" s="1695" t="s">
        <v>2275</v>
      </c>
      <c r="C10" s="1696" t="s">
        <v>2928</v>
      </c>
      <c r="D10" s="1697">
        <v>100</v>
      </c>
      <c r="E10" s="1696" t="s">
        <v>2928</v>
      </c>
      <c r="F10" s="1697">
        <f>SUMIF(66:66,E10,67:67)-SUMIF(66:66,C10,67:67)+100</f>
        <v>100</v>
      </c>
      <c r="G10" s="1696" t="s">
        <v>2928</v>
      </c>
      <c r="H10" s="1697">
        <f>SUMIF(66:66,G10,67:67)-SUMIF(66:66,C10,67:67)+100</f>
        <v>100</v>
      </c>
      <c r="I10" s="1696" t="s">
        <v>2928</v>
      </c>
      <c r="J10" s="1697">
        <f>SUMIF(66:66,I10,67:67)-SUMIF(66:66,C10,67:67)+100</f>
        <v>100</v>
      </c>
      <c r="K10" s="1992">
        <v>2</v>
      </c>
      <c r="L10" s="3001"/>
      <c r="M10" s="3002"/>
      <c r="N10" s="3002"/>
      <c r="O10" s="3002"/>
      <c r="P10" s="3470"/>
      <c r="Q10" s="2917" t="str">
        <f t="shared" si="6"/>
        <v>土地使用年限（年）</v>
      </c>
      <c r="R10" s="1681" t="s">
        <v>25</v>
      </c>
      <c r="S10" s="1682">
        <f t="shared" si="0"/>
        <v>100</v>
      </c>
      <c r="T10" s="1681" t="s">
        <v>25</v>
      </c>
      <c r="U10" s="1682">
        <f t="shared" si="1"/>
        <v>100</v>
      </c>
      <c r="V10" s="1681" t="s">
        <v>25</v>
      </c>
      <c r="W10" s="1682">
        <f t="shared" si="2"/>
        <v>100</v>
      </c>
      <c r="X10" s="1683"/>
      <c r="Y10" s="3328"/>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f>LOOKUP(E11,69:69,70:70)-LOOKUP(C11,69:69,70:70)+100</f>
        <v>100</v>
      </c>
      <c r="G11" s="1704"/>
      <c r="H11" s="1697">
        <f>LOOKUP(G11,69:69,70:70)-LOOKUP(C11,69:69,70:70)+100</f>
        <v>100</v>
      </c>
      <c r="I11" s="1703"/>
      <c r="J11" s="1697">
        <f>LOOKUP(I11,69:69,70:70)-LOOKUP(C11,69:69,70:70)+100</f>
        <v>100</v>
      </c>
      <c r="K11" s="1992">
        <v>2</v>
      </c>
      <c r="L11" s="3003"/>
      <c r="M11" s="3000"/>
      <c r="N11" s="3000"/>
      <c r="O11" s="3000"/>
      <c r="P11" s="3470"/>
      <c r="Q11" s="2917" t="str">
        <f t="shared" si="6"/>
        <v>容积率</v>
      </c>
      <c r="R11" s="1681" t="s">
        <v>25</v>
      </c>
      <c r="S11" s="1682">
        <f t="shared" si="0"/>
        <v>100</v>
      </c>
      <c r="T11" s="1681" t="s">
        <v>25</v>
      </c>
      <c r="U11" s="1682">
        <f t="shared" si="1"/>
        <v>100</v>
      </c>
      <c r="V11" s="1681" t="s">
        <v>25</v>
      </c>
      <c r="W11" s="1682">
        <f t="shared" si="2"/>
        <v>100</v>
      </c>
      <c r="X11" s="1683"/>
      <c r="Y11" s="3328"/>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7">
        <f>SUMIF(71:71,E12,72:72)-SUMIF(71:71,C12,72:72)+100</f>
        <v>100</v>
      </c>
      <c r="G12" s="2493"/>
      <c r="H12" s="1697">
        <f>SUMIF(71:71,G12,72:72)-SUMIF(71:71,C12,72:72)+100</f>
        <v>100</v>
      </c>
      <c r="I12" s="1707"/>
      <c r="J12" s="1697">
        <f>SUMIF(71:71,I12,72:72)-SUMIF(71:71,C12,72:72)+100</f>
        <v>100</v>
      </c>
      <c r="K12" s="1989"/>
      <c r="L12" s="2999"/>
      <c r="M12" s="2972"/>
      <c r="N12" s="2972"/>
      <c r="O12" s="2972"/>
      <c r="P12" s="3470"/>
      <c r="Q12" s="2917">
        <f t="shared" si="6"/>
        <v>111</v>
      </c>
      <c r="R12" s="1681" t="s">
        <v>25</v>
      </c>
      <c r="S12" s="1682">
        <f t="shared" si="0"/>
        <v>100</v>
      </c>
      <c r="T12" s="1681" t="s">
        <v>25</v>
      </c>
      <c r="U12" s="1682">
        <f t="shared" si="1"/>
        <v>100</v>
      </c>
      <c r="V12" s="1681" t="s">
        <v>25</v>
      </c>
      <c r="W12" s="1682">
        <f t="shared" si="2"/>
        <v>100</v>
      </c>
      <c r="X12" s="1683"/>
      <c r="Y12" s="3328"/>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3"/>
      <c r="H13" s="1711">
        <f>SUMIF(73:73,G13,74:74)-SUMIF(73:73,C13,74:74)+100</f>
        <v>100</v>
      </c>
      <c r="I13" s="1707"/>
      <c r="J13" s="1711">
        <f>SUMIF(73:73,I13,74:74)-SUMIF(73:73,C13,74:74)+100</f>
        <v>100</v>
      </c>
      <c r="K13" s="1989"/>
      <c r="L13" s="3004"/>
      <c r="M13" s="3000"/>
      <c r="N13" s="3000"/>
      <c r="O13" s="3000"/>
      <c r="P13" s="3470"/>
      <c r="Q13" s="2917">
        <f t="shared" si="6"/>
        <v>111</v>
      </c>
      <c r="R13" s="1681" t="s">
        <v>25</v>
      </c>
      <c r="S13" s="1682">
        <f t="shared" si="0"/>
        <v>100</v>
      </c>
      <c r="T13" s="1681" t="s">
        <v>25</v>
      </c>
      <c r="U13" s="1682">
        <f t="shared" si="1"/>
        <v>100</v>
      </c>
      <c r="V13" s="1681" t="s">
        <v>25</v>
      </c>
      <c r="W13" s="1682">
        <f t="shared" si="2"/>
        <v>100</v>
      </c>
      <c r="X13" s="1683"/>
      <c r="Y13" s="3328"/>
      <c r="Z13" s="1693">
        <f t="shared" si="7"/>
        <v>111</v>
      </c>
      <c r="AA13" s="1684">
        <f t="shared" si="3"/>
        <v>1</v>
      </c>
      <c r="AB13" s="1684">
        <f t="shared" si="4"/>
        <v>1</v>
      </c>
      <c r="AC13" s="1684">
        <f t="shared" si="5"/>
        <v>1</v>
      </c>
    </row>
    <row r="14" spans="1:29" ht="15.6" thickBot="1">
      <c r="A14" s="1712"/>
      <c r="B14" s="1713">
        <v>111</v>
      </c>
      <c r="C14" s="1714"/>
      <c r="D14" s="1715">
        <v>100</v>
      </c>
      <c r="E14" s="2494"/>
      <c r="F14" s="1715">
        <f>SUMIF(75:75,E14,76:76)-SUMIF(75:75,C14,76:76)+100</f>
        <v>100</v>
      </c>
      <c r="G14" s="2493"/>
      <c r="H14" s="1715">
        <f>SUMIF(75:75,G14,76:76)-SUMIF(75:75,C14,76:76)+100</f>
        <v>100</v>
      </c>
      <c r="I14" s="1707"/>
      <c r="J14" s="1715">
        <f>SUMIF(75:75,I14,76:76)-SUMIF(75:75,C14,76:76)+100</f>
        <v>100</v>
      </c>
      <c r="K14" s="1989"/>
      <c r="L14" s="3004"/>
      <c r="M14" s="3000"/>
      <c r="N14" s="3000"/>
      <c r="O14" s="3000"/>
      <c r="P14" s="3470"/>
      <c r="Q14" s="2917">
        <f t="shared" si="6"/>
        <v>111</v>
      </c>
      <c r="R14" s="1681" t="s">
        <v>25</v>
      </c>
      <c r="S14" s="1682">
        <f t="shared" si="0"/>
        <v>100</v>
      </c>
      <c r="T14" s="1681" t="s">
        <v>25</v>
      </c>
      <c r="U14" s="1682">
        <f t="shared" si="1"/>
        <v>100</v>
      </c>
      <c r="V14" s="1681" t="s">
        <v>25</v>
      </c>
      <c r="W14" s="1682">
        <f t="shared" si="2"/>
        <v>100</v>
      </c>
      <c r="X14" s="1683"/>
      <c r="Y14" s="3328"/>
      <c r="Z14" s="1693">
        <f t="shared" si="7"/>
        <v>111</v>
      </c>
      <c r="AA14" s="1684">
        <f t="shared" si="3"/>
        <v>1</v>
      </c>
      <c r="AB14" s="1684">
        <f t="shared" si="4"/>
        <v>1</v>
      </c>
      <c r="AC14" s="1684">
        <f t="shared" si="5"/>
        <v>1</v>
      </c>
    </row>
    <row r="15" spans="1:29" ht="69">
      <c r="A15" s="1717" t="s">
        <v>2277</v>
      </c>
      <c r="B15" s="2495" t="s">
        <v>2391</v>
      </c>
      <c r="C15" s="1973" t="str">
        <f>估价对象房地状况!C5</f>
        <v>估价对象位于XX商圈，周边办公楼项目较多，入驻率高，办公集聚程度较好</v>
      </c>
      <c r="D15" s="1720">
        <v>100</v>
      </c>
      <c r="E15" s="1723"/>
      <c r="F15" s="1720">
        <f>SUMIF(77:77,E16,78:78)-SUMIF(77:77,C16,78:78)+100</f>
        <v>102</v>
      </c>
      <c r="G15" s="1721"/>
      <c r="H15" s="1720">
        <f>SUMIF(77:77,G16,78:78)-SUMIF(77:77,C16,78:78)+100</f>
        <v>102</v>
      </c>
      <c r="I15" s="1721"/>
      <c r="J15" s="1720">
        <f>SUMIF(77:77,I16,78:78)-SUMIF(77:77,C16,78:78)+100</f>
        <v>102</v>
      </c>
      <c r="K15" s="2475">
        <v>2</v>
      </c>
      <c r="L15" s="3004"/>
      <c r="M15" s="3000"/>
      <c r="N15" s="3000"/>
      <c r="O15" s="3000"/>
      <c r="P15" s="3473" t="s">
        <v>2278</v>
      </c>
      <c r="Q15" s="2918" t="str">
        <f t="shared" si="6"/>
        <v>办公集聚程度</v>
      </c>
      <c r="R15" s="1725" t="s">
        <v>25</v>
      </c>
      <c r="S15" s="1726">
        <f t="shared" si="0"/>
        <v>102</v>
      </c>
      <c r="T15" s="1725" t="s">
        <v>25</v>
      </c>
      <c r="U15" s="1726">
        <f t="shared" si="1"/>
        <v>102</v>
      </c>
      <c r="V15" s="1725" t="s">
        <v>25</v>
      </c>
      <c r="W15" s="1726">
        <f t="shared" si="2"/>
        <v>102</v>
      </c>
      <c r="X15" s="2074"/>
      <c r="Y15" s="3473" t="s">
        <v>2278</v>
      </c>
      <c r="Z15" s="2078" t="str">
        <f t="shared" si="7"/>
        <v>办公集聚程度</v>
      </c>
      <c r="AA15" s="2069">
        <f t="shared" si="3"/>
        <v>0.98039215686274506</v>
      </c>
      <c r="AB15" s="2069">
        <f t="shared" si="4"/>
        <v>0.98039215686274506</v>
      </c>
      <c r="AC15" s="2069">
        <f t="shared" si="5"/>
        <v>0.98039215686274506</v>
      </c>
    </row>
    <row r="16" spans="1:29" ht="15">
      <c r="A16" s="1702"/>
      <c r="B16" s="2496"/>
      <c r="C16" s="1975" t="s">
        <v>31</v>
      </c>
      <c r="D16" s="1731"/>
      <c r="E16" s="1730" t="s">
        <v>30</v>
      </c>
      <c r="F16" s="1731"/>
      <c r="G16" s="1730" t="s">
        <v>30</v>
      </c>
      <c r="H16" s="1735"/>
      <c r="I16" s="1730" t="s">
        <v>30</v>
      </c>
      <c r="J16" s="1731"/>
      <c r="K16" s="2476"/>
      <c r="L16" s="3004"/>
      <c r="M16" s="3000"/>
      <c r="N16" s="3000"/>
      <c r="O16" s="3000"/>
      <c r="P16" s="3474"/>
      <c r="Q16" s="2918"/>
      <c r="R16" s="1725"/>
      <c r="S16" s="1726"/>
      <c r="T16" s="1725"/>
      <c r="U16" s="1726"/>
      <c r="V16" s="1725"/>
      <c r="W16" s="1726"/>
      <c r="X16" s="2074"/>
      <c r="Y16" s="3474"/>
      <c r="Z16" s="2078"/>
      <c r="AA16" s="2069">
        <v>1</v>
      </c>
      <c r="AB16" s="2069">
        <v>1</v>
      </c>
      <c r="AC16" s="2069">
        <v>1</v>
      </c>
    </row>
    <row r="17" spans="1:29" ht="110.4">
      <c r="A17" s="1702"/>
      <c r="B17" s="2497" t="s">
        <v>1713</v>
      </c>
      <c r="C17" s="1980" t="str">
        <f>估价对象房地状况!C6</f>
        <v>估价对象周边有顺2路、顺27路、顺28路、顺38路等多条公交线路，地铁15号线南法信站，综合评价交通便捷度较好</v>
      </c>
      <c r="D17" s="1735">
        <v>100</v>
      </c>
      <c r="E17" s="1741"/>
      <c r="F17" s="1735">
        <f>SUMIF(79:79,E18,80:80)-SUMIF(79:79,C18,80:80)+100</f>
        <v>97</v>
      </c>
      <c r="G17" s="1739"/>
      <c r="H17" s="1742">
        <f>SUMIF(79:79,G18,80:80)-SUMIF(79:79,C18,80:80)+100</f>
        <v>97</v>
      </c>
      <c r="I17" s="1739"/>
      <c r="J17" s="1742">
        <f>SUMIF(79:79,I18,80:80)-SUMIF(79:79,C18,80:80)+100</f>
        <v>97</v>
      </c>
      <c r="K17" s="2475">
        <v>3</v>
      </c>
      <c r="L17" s="3004"/>
      <c r="M17" s="3000"/>
      <c r="N17" s="3000"/>
      <c r="O17" s="3000"/>
      <c r="P17" s="3474"/>
      <c r="Q17" s="2918" t="str">
        <f>B17</f>
        <v>交通便捷度</v>
      </c>
      <c r="R17" s="1725" t="s">
        <v>25</v>
      </c>
      <c r="S17" s="1726">
        <f>F17</f>
        <v>97</v>
      </c>
      <c r="T17" s="1725" t="s">
        <v>25</v>
      </c>
      <c r="U17" s="1726">
        <f>H17</f>
        <v>97</v>
      </c>
      <c r="V17" s="1725" t="s">
        <v>25</v>
      </c>
      <c r="W17" s="1726">
        <f>J17</f>
        <v>97</v>
      </c>
      <c r="X17" s="2074"/>
      <c r="Y17" s="3474"/>
      <c r="Z17" s="2078" t="str">
        <f>Q17</f>
        <v>交通便捷度</v>
      </c>
      <c r="AA17" s="2069">
        <f t="shared" si="3"/>
        <v>1.0309278350515463</v>
      </c>
      <c r="AB17" s="2069">
        <f t="shared" si="4"/>
        <v>1.0309278350515463</v>
      </c>
      <c r="AC17" s="2069">
        <f t="shared" si="5"/>
        <v>1.0309278350515463</v>
      </c>
    </row>
    <row r="18" spans="1:29" ht="15">
      <c r="A18" s="1702"/>
      <c r="B18" s="2498"/>
      <c r="C18" s="1979" t="s">
        <v>29</v>
      </c>
      <c r="D18" s="1735"/>
      <c r="E18" s="1746" t="s">
        <v>30</v>
      </c>
      <c r="F18" s="1735"/>
      <c r="G18" s="1746" t="s">
        <v>30</v>
      </c>
      <c r="H18" s="1731"/>
      <c r="I18" s="1746" t="s">
        <v>30</v>
      </c>
      <c r="J18" s="1731"/>
      <c r="K18" s="2476"/>
      <c r="L18" s="3004"/>
      <c r="M18" s="3000"/>
      <c r="N18" s="3000"/>
      <c r="O18" s="3000"/>
      <c r="P18" s="3474"/>
      <c r="Q18" s="2918"/>
      <c r="R18" s="1725"/>
      <c r="S18" s="1726"/>
      <c r="T18" s="1725"/>
      <c r="U18" s="1726"/>
      <c r="V18" s="1725"/>
      <c r="W18" s="1726"/>
      <c r="X18" s="2074"/>
      <c r="Y18" s="3474"/>
      <c r="Z18" s="2078"/>
      <c r="AA18" s="2069">
        <v>1</v>
      </c>
      <c r="AB18" s="2069">
        <v>1</v>
      </c>
      <c r="AC18" s="2069">
        <v>1</v>
      </c>
    </row>
    <row r="19" spans="1:29" ht="41.4">
      <c r="A19" s="1702"/>
      <c r="B19" s="2497" t="s">
        <v>2392</v>
      </c>
      <c r="C19" s="1980" t="str">
        <f>估价对象房地状况!C7</f>
        <v>估价对象所在区域公共配套设施较齐备</v>
      </c>
      <c r="D19" s="1742">
        <v>100</v>
      </c>
      <c r="E19" s="1749"/>
      <c r="F19" s="1742">
        <f>SUMIF(81:81,E20,82:82)-SUMIF(81:81,C20,82:82)+100</f>
        <v>102</v>
      </c>
      <c r="G19" s="1747"/>
      <c r="H19" s="1735">
        <f>SUMIF(81:81,G20,82:82)-SUMIF(81:81,C20,82:82)+100</f>
        <v>102</v>
      </c>
      <c r="I19" s="1747"/>
      <c r="J19" s="1735">
        <f>SUMIF(81:81,I20,82:82)-SUMIF(81:81,C20,82:82)+100</f>
        <v>102</v>
      </c>
      <c r="K19" s="2475">
        <v>2</v>
      </c>
      <c r="L19" s="3004"/>
      <c r="M19" s="3000"/>
      <c r="N19" s="3000"/>
      <c r="O19" s="3000"/>
      <c r="P19" s="3474"/>
      <c r="Q19" s="2918" t="str">
        <f>B19</f>
        <v>公共配套设施</v>
      </c>
      <c r="R19" s="1725" t="s">
        <v>25</v>
      </c>
      <c r="S19" s="1726">
        <f>F19</f>
        <v>102</v>
      </c>
      <c r="T19" s="1725" t="s">
        <v>25</v>
      </c>
      <c r="U19" s="1726">
        <f>H19</f>
        <v>102</v>
      </c>
      <c r="V19" s="1725" t="s">
        <v>25</v>
      </c>
      <c r="W19" s="1726">
        <f>J19</f>
        <v>102</v>
      </c>
      <c r="X19" s="2074"/>
      <c r="Y19" s="3474"/>
      <c r="Z19" s="2078" t="str">
        <f>Q19</f>
        <v>公共配套设施</v>
      </c>
      <c r="AA19" s="2069">
        <f t="shared" si="3"/>
        <v>0.98039215686274506</v>
      </c>
      <c r="AB19" s="2069">
        <f t="shared" si="4"/>
        <v>0.98039215686274506</v>
      </c>
      <c r="AC19" s="2069">
        <f t="shared" si="5"/>
        <v>0.98039215686274506</v>
      </c>
    </row>
    <row r="20" spans="1:29" ht="15">
      <c r="A20" s="1702"/>
      <c r="B20" s="2498"/>
      <c r="C20" s="1975" t="s">
        <v>30</v>
      </c>
      <c r="D20" s="1731"/>
      <c r="E20" s="1979" t="s">
        <v>29</v>
      </c>
      <c r="F20" s="1731"/>
      <c r="G20" s="1979" t="s">
        <v>29</v>
      </c>
      <c r="H20" s="1731"/>
      <c r="I20" s="1979" t="s">
        <v>29</v>
      </c>
      <c r="J20" s="1731"/>
      <c r="K20" s="2476"/>
      <c r="L20" s="3004"/>
      <c r="M20" s="3000"/>
      <c r="N20" s="3000"/>
      <c r="O20" s="3000"/>
      <c r="P20" s="3474"/>
      <c r="Q20" s="2918"/>
      <c r="R20" s="1725"/>
      <c r="S20" s="1726"/>
      <c r="T20" s="1725"/>
      <c r="U20" s="1726"/>
      <c r="V20" s="1725"/>
      <c r="W20" s="1726"/>
      <c r="X20" s="2074"/>
      <c r="Y20" s="3474"/>
      <c r="Z20" s="2078"/>
      <c r="AA20" s="2069">
        <v>1</v>
      </c>
      <c r="AB20" s="2069">
        <v>1</v>
      </c>
      <c r="AC20" s="2069">
        <v>1</v>
      </c>
    </row>
    <row r="21" spans="1:29" ht="15">
      <c r="A21" s="1702"/>
      <c r="B21" s="2499" t="s">
        <v>2393</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5">
        <v>2</v>
      </c>
      <c r="L21" s="3004"/>
      <c r="M21" s="3000"/>
      <c r="N21" s="3000"/>
      <c r="O21" s="3000"/>
      <c r="P21" s="3474"/>
      <c r="Q21" s="2918" t="str">
        <f>B21</f>
        <v>基础设施水平</v>
      </c>
      <c r="R21" s="1725" t="s">
        <v>25</v>
      </c>
      <c r="S21" s="1726">
        <f>F21</f>
        <v>100</v>
      </c>
      <c r="T21" s="1725" t="s">
        <v>25</v>
      </c>
      <c r="U21" s="1726">
        <f>H21</f>
        <v>100</v>
      </c>
      <c r="V21" s="1725" t="s">
        <v>25</v>
      </c>
      <c r="W21" s="1726">
        <f>J21</f>
        <v>100</v>
      </c>
      <c r="X21" s="2074"/>
      <c r="Y21" s="3474"/>
      <c r="Z21" s="2078" t="str">
        <f>Q21</f>
        <v>基础设施水平</v>
      </c>
      <c r="AA21" s="2069">
        <f t="shared" ref="AA21" si="8">D21/F21</f>
        <v>1</v>
      </c>
      <c r="AB21" s="2069">
        <f t="shared" ref="AB21" si="9">D21/H21</f>
        <v>1</v>
      </c>
      <c r="AC21" s="2069">
        <f t="shared" ref="AC21" si="10">D21/J21</f>
        <v>1</v>
      </c>
    </row>
    <row r="22" spans="1:29" ht="15">
      <c r="A22" s="1702"/>
      <c r="B22" s="2499"/>
      <c r="C22" s="1979" t="s">
        <v>2904</v>
      </c>
      <c r="D22" s="1731"/>
      <c r="E22" s="1979" t="s">
        <v>2904</v>
      </c>
      <c r="F22" s="1731"/>
      <c r="G22" s="1979" t="s">
        <v>2904</v>
      </c>
      <c r="H22" s="1731"/>
      <c r="I22" s="1979" t="s">
        <v>2904</v>
      </c>
      <c r="J22" s="1731"/>
      <c r="K22" s="2477"/>
      <c r="L22" s="3004"/>
      <c r="M22" s="3000"/>
      <c r="N22" s="3000"/>
      <c r="O22" s="3000"/>
      <c r="P22" s="3474"/>
      <c r="Q22" s="2918"/>
      <c r="R22" s="1725"/>
      <c r="S22" s="1726"/>
      <c r="T22" s="1725"/>
      <c r="U22" s="1726"/>
      <c r="V22" s="1725"/>
      <c r="W22" s="1726"/>
      <c r="X22" s="2074"/>
      <c r="Y22" s="3474"/>
      <c r="Z22" s="2078"/>
      <c r="AA22" s="2069">
        <v>1</v>
      </c>
      <c r="AB22" s="2069">
        <v>1</v>
      </c>
      <c r="AC22" s="2069">
        <v>1</v>
      </c>
    </row>
    <row r="23" spans="1:29" ht="41.4">
      <c r="A23" s="1702"/>
      <c r="B23" s="2497" t="s">
        <v>2394</v>
      </c>
      <c r="C23" s="1980" t="str">
        <f>估价对象房地状况!C9</f>
        <v>区域自然环境：小中河；综合评价环境状况一般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5">
        <v>2</v>
      </c>
      <c r="L23" s="3004"/>
      <c r="M23" s="3000"/>
      <c r="N23" s="3000"/>
      <c r="O23" s="3000"/>
      <c r="P23" s="3474"/>
      <c r="Q23" s="2918" t="str">
        <f>B23</f>
        <v>环境质量</v>
      </c>
      <c r="R23" s="1725" t="s">
        <v>25</v>
      </c>
      <c r="S23" s="1726">
        <f>F23</f>
        <v>100</v>
      </c>
      <c r="T23" s="1725" t="s">
        <v>25</v>
      </c>
      <c r="U23" s="1726">
        <f>H23</f>
        <v>100</v>
      </c>
      <c r="V23" s="1725" t="s">
        <v>25</v>
      </c>
      <c r="W23" s="1726">
        <f>J23</f>
        <v>100</v>
      </c>
      <c r="X23" s="2074"/>
      <c r="Y23" s="3474"/>
      <c r="Z23" s="2078" t="str">
        <f>Q23</f>
        <v>环境质量</v>
      </c>
      <c r="AA23" s="2069">
        <f t="shared" si="3"/>
        <v>1</v>
      </c>
      <c r="AB23" s="2069">
        <f t="shared" si="4"/>
        <v>1</v>
      </c>
      <c r="AC23" s="2069">
        <f t="shared" si="5"/>
        <v>1</v>
      </c>
    </row>
    <row r="24" spans="1:29" ht="15">
      <c r="A24" s="1702"/>
      <c r="B24" s="2499"/>
      <c r="C24" s="1975" t="s">
        <v>30</v>
      </c>
      <c r="D24" s="1731"/>
      <c r="E24" s="1975" t="s">
        <v>30</v>
      </c>
      <c r="F24" s="1731"/>
      <c r="G24" s="1975" t="s">
        <v>30</v>
      </c>
      <c r="H24" s="1731"/>
      <c r="I24" s="1975" t="s">
        <v>30</v>
      </c>
      <c r="J24" s="1731"/>
      <c r="K24" s="2476"/>
      <c r="L24" s="3004"/>
      <c r="M24" s="3000"/>
      <c r="N24" s="3000"/>
      <c r="O24" s="3000"/>
      <c r="P24" s="3474"/>
      <c r="Q24" s="2918"/>
      <c r="R24" s="1725"/>
      <c r="S24" s="1726"/>
      <c r="T24" s="1725"/>
      <c r="U24" s="1726"/>
      <c r="V24" s="1725"/>
      <c r="W24" s="1726"/>
      <c r="X24" s="2074"/>
      <c r="Y24" s="3474"/>
      <c r="Z24" s="2078"/>
      <c r="AA24" s="2069">
        <v>1</v>
      </c>
      <c r="AB24" s="2069">
        <v>1</v>
      </c>
      <c r="AC24" s="2069">
        <v>1</v>
      </c>
    </row>
    <row r="25" spans="1:29" ht="28.8">
      <c r="A25" s="1668"/>
      <c r="B25" s="2497" t="s">
        <v>2395</v>
      </c>
      <c r="C25" s="3156"/>
      <c r="D25" s="1711">
        <v>100</v>
      </c>
      <c r="E25" s="1710"/>
      <c r="F25" s="1711">
        <f>SUMIF(87:87,E26,88:88)-SUMIF(87:87,C26,88:88)+100</f>
        <v>96</v>
      </c>
      <c r="G25" s="2500"/>
      <c r="H25" s="1711">
        <f>SUMIF(87:87,G26,88:88)-SUMIF(87:87,C26,88:88)+100</f>
        <v>100</v>
      </c>
      <c r="I25" s="1710"/>
      <c r="J25" s="1711">
        <f>SUMIF(87:87,I26,88:88)-SUMIF(87:87,C26,88:88)+100</f>
        <v>98</v>
      </c>
      <c r="K25" s="2475">
        <v>2</v>
      </c>
      <c r="L25" s="3004"/>
      <c r="M25" s="3000"/>
      <c r="N25" s="3000"/>
      <c r="O25" s="3000"/>
      <c r="P25" s="3474"/>
      <c r="Q25" s="2918" t="str">
        <f>B25</f>
        <v>毗邻道路的类型与等级</v>
      </c>
      <c r="R25" s="1725" t="s">
        <v>25</v>
      </c>
      <c r="S25" s="1726">
        <f>F25</f>
        <v>96</v>
      </c>
      <c r="T25" s="1725" t="s">
        <v>25</v>
      </c>
      <c r="U25" s="1726">
        <f>H25</f>
        <v>100</v>
      </c>
      <c r="V25" s="1725" t="s">
        <v>25</v>
      </c>
      <c r="W25" s="1726">
        <f>J25</f>
        <v>98</v>
      </c>
      <c r="X25" s="2074"/>
      <c r="Y25" s="3474"/>
      <c r="Z25" s="2078" t="str">
        <f>Q25</f>
        <v>毗邻道路的类型与等级</v>
      </c>
      <c r="AA25" s="2069">
        <f t="shared" si="3"/>
        <v>1.0416666666666667</v>
      </c>
      <c r="AB25" s="2069">
        <f t="shared" si="4"/>
        <v>1</v>
      </c>
      <c r="AC25" s="2069">
        <f t="shared" si="5"/>
        <v>1.0204081632653061</v>
      </c>
    </row>
    <row r="26" spans="1:29" ht="15">
      <c r="A26" s="1668"/>
      <c r="B26" s="2498"/>
      <c r="C26" s="1983" t="s">
        <v>2929</v>
      </c>
      <c r="D26" s="1711"/>
      <c r="E26" s="1991" t="s">
        <v>2919</v>
      </c>
      <c r="F26" s="1711"/>
      <c r="G26" s="1983" t="s">
        <v>2929</v>
      </c>
      <c r="H26" s="1711"/>
      <c r="I26" s="1991" t="s">
        <v>2917</v>
      </c>
      <c r="J26" s="1711"/>
      <c r="K26" s="2476"/>
      <c r="L26" s="3004"/>
      <c r="M26" s="3000"/>
      <c r="N26" s="3000"/>
      <c r="O26" s="3000"/>
      <c r="P26" s="3474"/>
      <c r="Q26" s="2918"/>
      <c r="R26" s="1725"/>
      <c r="S26" s="1726"/>
      <c r="T26" s="1725"/>
      <c r="U26" s="1726"/>
      <c r="V26" s="1725"/>
      <c r="W26" s="1726"/>
      <c r="X26" s="2074"/>
      <c r="Y26" s="3474"/>
      <c r="Z26" s="2078"/>
      <c r="AA26" s="2069">
        <v>1</v>
      </c>
      <c r="AB26" s="2069">
        <v>1</v>
      </c>
      <c r="AC26" s="2069">
        <v>1</v>
      </c>
    </row>
    <row r="27" spans="1:29" ht="15">
      <c r="A27" s="1702"/>
      <c r="B27" s="2498" t="s">
        <v>2368</v>
      </c>
      <c r="C27" s="1983" t="s">
        <v>2936</v>
      </c>
      <c r="D27" s="1711">
        <v>100</v>
      </c>
      <c r="E27" s="1991" t="s">
        <v>2936</v>
      </c>
      <c r="F27" s="1711">
        <f>SUMIF(89:89,E27,90:90)-SUMIF(89:89,C27,90:90)+100</f>
        <v>100</v>
      </c>
      <c r="G27" s="1983" t="s">
        <v>2934</v>
      </c>
      <c r="H27" s="1711">
        <f>SUMIF(89:89,G27,90:90)-SUMIF(89:89,C27,90:90)+100</f>
        <v>102</v>
      </c>
      <c r="I27" s="1991" t="s">
        <v>2936</v>
      </c>
      <c r="J27" s="1711">
        <f>SUMIF(89:89,I27,90:90)-SUMIF(89:89,C27,90:90)+100</f>
        <v>100</v>
      </c>
      <c r="K27" s="1992">
        <v>2</v>
      </c>
      <c r="L27" s="3004"/>
      <c r="M27" s="3000"/>
      <c r="N27" s="3000"/>
      <c r="O27" s="3000"/>
      <c r="P27" s="3474"/>
      <c r="Q27" s="2918" t="str">
        <f t="shared" ref="Q27:Q47" si="11">B27</f>
        <v>楼层</v>
      </c>
      <c r="R27" s="1725" t="s">
        <v>25</v>
      </c>
      <c r="S27" s="1726">
        <f>F27</f>
        <v>100</v>
      </c>
      <c r="T27" s="1725" t="s">
        <v>25</v>
      </c>
      <c r="U27" s="1726">
        <f>H27</f>
        <v>102</v>
      </c>
      <c r="V27" s="1725" t="s">
        <v>25</v>
      </c>
      <c r="W27" s="1726">
        <f>J27</f>
        <v>100</v>
      </c>
      <c r="X27" s="2074"/>
      <c r="Y27" s="3474"/>
      <c r="Z27" s="2078" t="str">
        <f>Q27</f>
        <v>楼层</v>
      </c>
      <c r="AA27" s="2069">
        <f t="shared" si="3"/>
        <v>1</v>
      </c>
      <c r="AB27" s="2069">
        <f t="shared" si="4"/>
        <v>0.98039215686274506</v>
      </c>
      <c r="AC27" s="2069">
        <f t="shared" si="5"/>
        <v>1</v>
      </c>
    </row>
    <row r="28" spans="1:29" s="1685" customFormat="1" ht="15">
      <c r="A28" s="1705"/>
      <c r="B28" s="2497" t="s">
        <v>2396</v>
      </c>
      <c r="C28" s="2501"/>
      <c r="D28" s="1756">
        <v>100</v>
      </c>
      <c r="E28" s="2479"/>
      <c r="F28" s="1756">
        <f>SUMIF(91:91,E28,92:92)-SUMIF(91:91,C28,92:92)+100</f>
        <v>100</v>
      </c>
      <c r="G28" s="2501"/>
      <c r="H28" s="1756">
        <f>SUMIF(91:91,G28,92:92)-SUMIF(91:91,C28,92:92)+100</f>
        <v>100</v>
      </c>
      <c r="I28" s="2479"/>
      <c r="J28" s="1756">
        <f>SUMIF(91:91,I28,92:92)-SUMIF(91:91,C28,92:92)+100</f>
        <v>100</v>
      </c>
      <c r="K28" s="1992"/>
      <c r="L28" s="2999"/>
      <c r="M28" s="2972"/>
      <c r="N28" s="2972"/>
      <c r="O28" s="2972"/>
      <c r="P28" s="3474"/>
      <c r="Q28" s="2917" t="str">
        <f t="shared" si="11"/>
        <v>朝向</v>
      </c>
      <c r="R28" s="1681" t="s">
        <v>25</v>
      </c>
      <c r="S28" s="1682">
        <f>F28</f>
        <v>100</v>
      </c>
      <c r="T28" s="1681" t="s">
        <v>25</v>
      </c>
      <c r="U28" s="1682">
        <f>H28</f>
        <v>100</v>
      </c>
      <c r="V28" s="1681" t="s">
        <v>25</v>
      </c>
      <c r="W28" s="1682">
        <f>J28</f>
        <v>100</v>
      </c>
      <c r="X28" s="1683"/>
      <c r="Y28" s="3474"/>
      <c r="Z28" s="1693" t="str">
        <f>Q28</f>
        <v>朝向</v>
      </c>
      <c r="AA28" s="2069">
        <f>D28/F28</f>
        <v>1</v>
      </c>
      <c r="AB28" s="2069">
        <f>D28/H28</f>
        <v>1</v>
      </c>
      <c r="AC28" s="2069">
        <f>D28/J28</f>
        <v>1</v>
      </c>
    </row>
    <row r="29" spans="1:29" ht="15">
      <c r="A29" s="1702"/>
      <c r="B29" s="2502">
        <v>111</v>
      </c>
      <c r="C29" s="2500"/>
      <c r="D29" s="1711">
        <v>100</v>
      </c>
      <c r="E29" s="1707"/>
      <c r="F29" s="1711">
        <f>SUMIF(93:93,E29,94:94)-SUMIF(93:93,C29,94:94)+100</f>
        <v>100</v>
      </c>
      <c r="G29" s="2493"/>
      <c r="H29" s="1711">
        <f>SUMIF(93:93,G29,94:94)-SUMIF(93:93,C29,94:94)+100</f>
        <v>100</v>
      </c>
      <c r="I29" s="1707"/>
      <c r="J29" s="1711">
        <f>SUMIF(93:93,I29,94:94)-SUMIF(93:93,C29,94:94)+100</f>
        <v>100</v>
      </c>
      <c r="K29" s="1989"/>
      <c r="L29" s="3004"/>
      <c r="M29" s="3000"/>
      <c r="N29" s="3000"/>
      <c r="O29" s="3000"/>
      <c r="P29" s="3474"/>
      <c r="Q29" s="2918">
        <f t="shared" si="11"/>
        <v>111</v>
      </c>
      <c r="R29" s="1725" t="s">
        <v>25</v>
      </c>
      <c r="S29" s="1726">
        <f t="shared" ref="S29:S47" si="12">F29</f>
        <v>100</v>
      </c>
      <c r="T29" s="1725" t="s">
        <v>25</v>
      </c>
      <c r="U29" s="1726">
        <f t="shared" ref="U29:U47" si="13">H29</f>
        <v>100</v>
      </c>
      <c r="V29" s="1725" t="s">
        <v>25</v>
      </c>
      <c r="W29" s="1726">
        <f t="shared" ref="W29:W47" si="14">J29</f>
        <v>100</v>
      </c>
      <c r="X29" s="2074"/>
      <c r="Y29" s="3474"/>
      <c r="Z29" s="2078">
        <f t="shared" ref="Z29:Z47" si="15">Q29</f>
        <v>111</v>
      </c>
      <c r="AA29" s="2069">
        <f t="shared" si="3"/>
        <v>1</v>
      </c>
      <c r="AB29" s="2069">
        <f t="shared" si="4"/>
        <v>1</v>
      </c>
      <c r="AC29" s="2069">
        <f t="shared" si="5"/>
        <v>1</v>
      </c>
    </row>
    <row r="30" spans="1:29" ht="15">
      <c r="A30" s="1702"/>
      <c r="B30" s="2502">
        <v>111</v>
      </c>
      <c r="C30" s="2500"/>
      <c r="D30" s="1711">
        <v>100</v>
      </c>
      <c r="E30" s="1707"/>
      <c r="F30" s="1711">
        <f>SUMIF(95:95,E30,96:96)-SUMIF(95:95,C30,96:96)+100</f>
        <v>100</v>
      </c>
      <c r="G30" s="2493"/>
      <c r="H30" s="1711">
        <f>SUMIF(95:95,G30,96:96)-SUMIF(95:95,C30,96:96)+100</f>
        <v>100</v>
      </c>
      <c r="I30" s="1707"/>
      <c r="J30" s="1711">
        <f>SUMIF(95:95,I30,96:96)-SUMIF(95:95,C30,96:96)+100</f>
        <v>100</v>
      </c>
      <c r="K30" s="1989"/>
      <c r="L30" s="3004"/>
      <c r="M30" s="3000"/>
      <c r="N30" s="3000"/>
      <c r="O30" s="3000"/>
      <c r="P30" s="3474"/>
      <c r="Q30" s="2918">
        <f t="shared" si="11"/>
        <v>111</v>
      </c>
      <c r="R30" s="1725" t="s">
        <v>25</v>
      </c>
      <c r="S30" s="1726">
        <f t="shared" si="12"/>
        <v>100</v>
      </c>
      <c r="T30" s="1725" t="s">
        <v>25</v>
      </c>
      <c r="U30" s="1726">
        <f t="shared" si="13"/>
        <v>100</v>
      </c>
      <c r="V30" s="1725" t="s">
        <v>25</v>
      </c>
      <c r="W30" s="1726">
        <f t="shared" si="14"/>
        <v>100</v>
      </c>
      <c r="X30" s="2074"/>
      <c r="Y30" s="3474"/>
      <c r="Z30" s="2078">
        <f t="shared" si="15"/>
        <v>111</v>
      </c>
      <c r="AA30" s="2069">
        <f t="shared" si="3"/>
        <v>1</v>
      </c>
      <c r="AB30" s="2069">
        <f t="shared" si="4"/>
        <v>1</v>
      </c>
      <c r="AC30" s="2069">
        <f t="shared" si="5"/>
        <v>1</v>
      </c>
    </row>
    <row r="31" spans="1:29" ht="15">
      <c r="A31" s="1702"/>
      <c r="B31" s="2502">
        <v>111</v>
      </c>
      <c r="C31" s="2500"/>
      <c r="D31" s="1711">
        <v>100</v>
      </c>
      <c r="E31" s="1707"/>
      <c r="F31" s="1711">
        <f>SUMIF(97:97,E31,98:98)-SUMIF(97:97,C31,98:98)+100</f>
        <v>100</v>
      </c>
      <c r="G31" s="2493"/>
      <c r="H31" s="1711">
        <f>SUMIF(97:97,G31,98:98)-SUMIF(97:97,C31,98:98)+100</f>
        <v>100</v>
      </c>
      <c r="I31" s="1707"/>
      <c r="J31" s="1711">
        <f>SUMIF(97:97,I31,98:98)-SUMIF(97:97,C31,98:98)+100</f>
        <v>100</v>
      </c>
      <c r="K31" s="1989"/>
      <c r="L31" s="3004"/>
      <c r="M31" s="3000"/>
      <c r="N31" s="3000"/>
      <c r="O31" s="3000"/>
      <c r="P31" s="3474"/>
      <c r="Q31" s="2918">
        <f t="shared" si="11"/>
        <v>111</v>
      </c>
      <c r="R31" s="1725" t="s">
        <v>25</v>
      </c>
      <c r="S31" s="1726">
        <f t="shared" si="12"/>
        <v>100</v>
      </c>
      <c r="T31" s="1725" t="s">
        <v>25</v>
      </c>
      <c r="U31" s="1726">
        <f t="shared" si="13"/>
        <v>100</v>
      </c>
      <c r="V31" s="1725" t="s">
        <v>25</v>
      </c>
      <c r="W31" s="1726">
        <f t="shared" si="14"/>
        <v>100</v>
      </c>
      <c r="X31" s="2074"/>
      <c r="Y31" s="3474"/>
      <c r="Z31" s="2078">
        <f t="shared" si="15"/>
        <v>111</v>
      </c>
      <c r="AA31" s="2069">
        <f t="shared" si="3"/>
        <v>1</v>
      </c>
      <c r="AB31" s="2069">
        <f t="shared" si="4"/>
        <v>1</v>
      </c>
      <c r="AC31" s="2069">
        <f t="shared" si="5"/>
        <v>1</v>
      </c>
    </row>
    <row r="32" spans="1:29" ht="15.6" thickBot="1">
      <c r="A32" s="1712"/>
      <c r="B32" s="2503">
        <v>111</v>
      </c>
      <c r="C32" s="2504"/>
      <c r="D32" s="1715">
        <v>100</v>
      </c>
      <c r="E32" s="2494"/>
      <c r="F32" s="1715">
        <f>SUMIF(99:99,E32,100:100)-SUMIF(99:99,C32,100:100)+100</f>
        <v>100</v>
      </c>
      <c r="G32" s="2493"/>
      <c r="H32" s="1715">
        <f>SUMIF(99:99,G32,100:100)-SUMIF(99:99,C32,100:100)+100</f>
        <v>100</v>
      </c>
      <c r="I32" s="1707"/>
      <c r="J32" s="1715">
        <f>SUMIF(99:99,I32,100:100)-SUMIF(99:99,C32,100:100)+100</f>
        <v>100</v>
      </c>
      <c r="K32" s="1989"/>
      <c r="L32" s="3004"/>
      <c r="M32" s="3000"/>
      <c r="N32" s="3000"/>
      <c r="O32" s="3000"/>
      <c r="P32" s="3474"/>
      <c r="Q32" s="2918">
        <f t="shared" si="11"/>
        <v>111</v>
      </c>
      <c r="R32" s="1725" t="s">
        <v>25</v>
      </c>
      <c r="S32" s="1726">
        <f t="shared" si="12"/>
        <v>100</v>
      </c>
      <c r="T32" s="1725" t="s">
        <v>25</v>
      </c>
      <c r="U32" s="1726">
        <f t="shared" si="13"/>
        <v>100</v>
      </c>
      <c r="V32" s="1725" t="s">
        <v>25</v>
      </c>
      <c r="W32" s="1726">
        <f t="shared" si="14"/>
        <v>100</v>
      </c>
      <c r="X32" s="2074"/>
      <c r="Y32" s="3474"/>
      <c r="Z32" s="2078">
        <f t="shared" si="15"/>
        <v>111</v>
      </c>
      <c r="AA32" s="2069">
        <f t="shared" si="3"/>
        <v>1</v>
      </c>
      <c r="AB32" s="2069">
        <f t="shared" si="4"/>
        <v>1</v>
      </c>
      <c r="AC32" s="2069">
        <f t="shared" si="5"/>
        <v>1</v>
      </c>
    </row>
    <row r="33" spans="1:29" ht="15">
      <c r="A33" s="1717" t="s">
        <v>2282</v>
      </c>
      <c r="B33" s="1688" t="s">
        <v>2397</v>
      </c>
      <c r="C33" s="2505"/>
      <c r="D33" s="1762">
        <v>100</v>
      </c>
      <c r="E33" s="2505"/>
      <c r="F33" s="1754">
        <f>SUMIF(101:101,E33,102:102)-SUMIF(101:101,C33,102:102)+100</f>
        <v>100</v>
      </c>
      <c r="G33" s="2505"/>
      <c r="H33" s="1711">
        <f>SUMIF(101:101,G33,102:102)-SUMIF(101:101,C33,102:102)+100</f>
        <v>100</v>
      </c>
      <c r="I33" s="2505"/>
      <c r="J33" s="1762">
        <f>SUMIF(101:101,I33,102:102)-SUMIF(101:101,C33,102:102)+100</f>
        <v>100</v>
      </c>
      <c r="K33" s="1992"/>
      <c r="L33" s="3004"/>
      <c r="M33" s="3000"/>
      <c r="N33" s="3000"/>
      <c r="O33" s="3000"/>
      <c r="P33" s="3514" t="s">
        <v>2284</v>
      </c>
      <c r="Q33" s="2918" t="str">
        <f t="shared" si="11"/>
        <v>建筑类型</v>
      </c>
      <c r="R33" s="1725" t="s">
        <v>25</v>
      </c>
      <c r="S33" s="1726">
        <f t="shared" si="12"/>
        <v>100</v>
      </c>
      <c r="T33" s="1725" t="s">
        <v>25</v>
      </c>
      <c r="U33" s="1726">
        <f t="shared" si="13"/>
        <v>100</v>
      </c>
      <c r="V33" s="1725" t="s">
        <v>25</v>
      </c>
      <c r="W33" s="1726">
        <f t="shared" si="14"/>
        <v>100</v>
      </c>
      <c r="X33" s="2074"/>
      <c r="Y33" s="3478" t="s">
        <v>2284</v>
      </c>
      <c r="Z33" s="2078" t="str">
        <f t="shared" si="15"/>
        <v>建筑类型</v>
      </c>
      <c r="AA33" s="2069">
        <f t="shared" si="3"/>
        <v>1</v>
      </c>
      <c r="AB33" s="2069">
        <f t="shared" si="4"/>
        <v>1</v>
      </c>
      <c r="AC33" s="2069">
        <f t="shared" si="5"/>
        <v>1</v>
      </c>
    </row>
    <row r="34" spans="1:29" s="1771" customFormat="1" ht="15">
      <c r="A34" s="1764"/>
      <c r="B34" s="1695" t="s">
        <v>2285</v>
      </c>
      <c r="C34" s="1765"/>
      <c r="D34" s="1697">
        <v>100</v>
      </c>
      <c r="E34" s="1704"/>
      <c r="F34" s="1699">
        <f>LOOKUP(E34,104:104,105:105)-LOOKUP(C34,104:104,105:105)+100</f>
        <v>100</v>
      </c>
      <c r="G34" s="1703"/>
      <c r="H34" s="1697">
        <f>LOOKUP(G34,104:104,105:105)-LOOKUP(C34,104:104,105:105)+100</f>
        <v>100</v>
      </c>
      <c r="I34" s="1703"/>
      <c r="J34" s="1697">
        <f>LOOKUP(I34,104:104,105:105)-LOOKUP(C34,104:104,105:105)+100</f>
        <v>100</v>
      </c>
      <c r="K34" s="1989"/>
      <c r="L34" s="3003"/>
      <c r="M34" s="2059"/>
      <c r="N34" s="2059"/>
      <c r="O34" s="2059"/>
      <c r="P34" s="3478"/>
      <c r="Q34" s="1766" t="str">
        <f t="shared" si="11"/>
        <v>项目建筑规模</v>
      </c>
      <c r="R34" s="1767" t="s">
        <v>25</v>
      </c>
      <c r="S34" s="1768">
        <f t="shared" si="12"/>
        <v>100</v>
      </c>
      <c r="T34" s="1767" t="s">
        <v>25</v>
      </c>
      <c r="U34" s="1768">
        <f t="shared" si="13"/>
        <v>100</v>
      </c>
      <c r="V34" s="1767" t="s">
        <v>25</v>
      </c>
      <c r="W34" s="1768">
        <f t="shared" si="14"/>
        <v>100</v>
      </c>
      <c r="X34" s="1769"/>
      <c r="Y34" s="3478"/>
      <c r="Z34" s="1770" t="str">
        <f t="shared" si="15"/>
        <v>项目建筑规模</v>
      </c>
      <c r="AA34" s="2069">
        <f t="shared" si="3"/>
        <v>1</v>
      </c>
      <c r="AB34" s="2069">
        <f t="shared" si="4"/>
        <v>1</v>
      </c>
      <c r="AC34" s="2069">
        <f t="shared" si="5"/>
        <v>1</v>
      </c>
    </row>
    <row r="35" spans="1:29" ht="15">
      <c r="A35" s="1772"/>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4"/>
      <c r="M35" s="3000"/>
      <c r="N35" s="3000"/>
      <c r="O35" s="3000"/>
      <c r="P35" s="3478"/>
      <c r="Q35" s="2918" t="str">
        <f t="shared" si="11"/>
        <v>建筑结构</v>
      </c>
      <c r="R35" s="1725" t="s">
        <v>25</v>
      </c>
      <c r="S35" s="1726">
        <f t="shared" si="12"/>
        <v>100</v>
      </c>
      <c r="T35" s="1725" t="s">
        <v>25</v>
      </c>
      <c r="U35" s="1726">
        <f t="shared" si="13"/>
        <v>100</v>
      </c>
      <c r="V35" s="1725" t="s">
        <v>25</v>
      </c>
      <c r="W35" s="1726">
        <f t="shared" si="14"/>
        <v>100</v>
      </c>
      <c r="X35" s="2074"/>
      <c r="Y35" s="3478"/>
      <c r="Z35" s="2078" t="str">
        <f t="shared" si="15"/>
        <v>建筑结构</v>
      </c>
      <c r="AA35" s="2069">
        <f t="shared" si="3"/>
        <v>1</v>
      </c>
      <c r="AB35" s="2069">
        <f t="shared" si="4"/>
        <v>1</v>
      </c>
      <c r="AC35" s="2069">
        <f t="shared" si="5"/>
        <v>1</v>
      </c>
    </row>
    <row r="36" spans="1:29" ht="15">
      <c r="A36" s="1772"/>
      <c r="B36" s="1695" t="s">
        <v>2370</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4"/>
      <c r="M36" s="3000"/>
      <c r="N36" s="3000"/>
      <c r="O36" s="3000"/>
      <c r="P36" s="3478"/>
      <c r="Q36" s="2918" t="str">
        <f t="shared" si="11"/>
        <v>公共部分装修</v>
      </c>
      <c r="R36" s="1725" t="s">
        <v>25</v>
      </c>
      <c r="S36" s="1726">
        <f t="shared" si="12"/>
        <v>100</v>
      </c>
      <c r="T36" s="1725" t="s">
        <v>25</v>
      </c>
      <c r="U36" s="1726">
        <f t="shared" si="13"/>
        <v>100</v>
      </c>
      <c r="V36" s="1725" t="s">
        <v>25</v>
      </c>
      <c r="W36" s="1726">
        <f t="shared" si="14"/>
        <v>100</v>
      </c>
      <c r="X36" s="2074"/>
      <c r="Y36" s="3478"/>
      <c r="Z36" s="2078" t="str">
        <f t="shared" si="15"/>
        <v>公共部分装修</v>
      </c>
      <c r="AA36" s="2069">
        <f t="shared" si="3"/>
        <v>1</v>
      </c>
      <c r="AB36" s="2069">
        <f t="shared" si="4"/>
        <v>1</v>
      </c>
      <c r="AC36" s="2069">
        <f t="shared" si="5"/>
        <v>1</v>
      </c>
    </row>
    <row r="37" spans="1:29" ht="15">
      <c r="A37" s="1772"/>
      <c r="B37" s="1695" t="s">
        <v>2371</v>
      </c>
      <c r="C37" s="3159">
        <v>1</v>
      </c>
      <c r="D37" s="1711">
        <v>100</v>
      </c>
      <c r="E37" s="1776">
        <v>1</v>
      </c>
      <c r="F37" s="1754">
        <f>LOOKUP(E37,111:111,112:112)-LOOKUP(C37,111:111,112:112)+100</f>
        <v>100</v>
      </c>
      <c r="G37" s="1776">
        <v>1</v>
      </c>
      <c r="H37" s="1754">
        <f>LOOKUP(G37,111:111,112:112)-LOOKUP(C37,111:111,112:112)+100</f>
        <v>100</v>
      </c>
      <c r="I37" s="1776">
        <v>1</v>
      </c>
      <c r="J37" s="1711">
        <f>LOOKUP(I37,111:111,112:112)-LOOKUP(C37,111:111,112:112)+100</f>
        <v>100</v>
      </c>
      <c r="K37" s="1992"/>
      <c r="L37" s="3004"/>
      <c r="M37" s="3000"/>
      <c r="N37" s="3000"/>
      <c r="O37" s="3000"/>
      <c r="P37" s="3478"/>
      <c r="Q37" s="2918" t="str">
        <f t="shared" si="11"/>
        <v>成新度</v>
      </c>
      <c r="R37" s="1725" t="s">
        <v>25</v>
      </c>
      <c r="S37" s="1726">
        <f t="shared" si="12"/>
        <v>100</v>
      </c>
      <c r="T37" s="1725" t="s">
        <v>25</v>
      </c>
      <c r="U37" s="1726">
        <f t="shared" si="13"/>
        <v>100</v>
      </c>
      <c r="V37" s="1725" t="s">
        <v>25</v>
      </c>
      <c r="W37" s="1726">
        <f t="shared" si="14"/>
        <v>100</v>
      </c>
      <c r="X37" s="2074"/>
      <c r="Y37" s="3478"/>
      <c r="Z37" s="2078" t="str">
        <f t="shared" si="15"/>
        <v>成新度</v>
      </c>
      <c r="AA37" s="2069">
        <f t="shared" si="3"/>
        <v>1</v>
      </c>
      <c r="AB37" s="2069">
        <f t="shared" si="4"/>
        <v>1</v>
      </c>
      <c r="AC37" s="2069">
        <f t="shared" si="5"/>
        <v>1</v>
      </c>
    </row>
    <row r="38" spans="1:29" s="1685" customFormat="1" ht="15">
      <c r="A38" s="1775"/>
      <c r="B38" s="1695" t="s">
        <v>2398</v>
      </c>
      <c r="C38" s="3157" t="s">
        <v>2939</v>
      </c>
      <c r="D38" s="1697">
        <v>100</v>
      </c>
      <c r="E38" s="1752" t="s">
        <v>2939</v>
      </c>
      <c r="F38" s="1754">
        <f>SUMIF(113:113,E38,114:114)-SUMIF(113:113,C38,114:114)+100</f>
        <v>100</v>
      </c>
      <c r="G38" s="1752" t="s">
        <v>2941</v>
      </c>
      <c r="H38" s="1711">
        <f>SUMIF(113:113,G38,114:114)-SUMIF(113:113,C38,114:114)+100</f>
        <v>97</v>
      </c>
      <c r="I38" s="1752" t="s">
        <v>2939</v>
      </c>
      <c r="J38" s="1711">
        <f>SUMIF(113:113,I38,114:114)-SUMIF(113:113,C38,114:114)+100</f>
        <v>100</v>
      </c>
      <c r="K38" s="1992">
        <v>3</v>
      </c>
      <c r="L38" s="2999"/>
      <c r="M38" s="2972"/>
      <c r="N38" s="2972"/>
      <c r="O38" s="2972"/>
      <c r="P38" s="3478"/>
      <c r="Q38" s="2917" t="str">
        <f t="shared" si="11"/>
        <v>写字楼等级</v>
      </c>
      <c r="R38" s="1681" t="s">
        <v>25</v>
      </c>
      <c r="S38" s="1682">
        <f t="shared" si="12"/>
        <v>100</v>
      </c>
      <c r="T38" s="1681" t="s">
        <v>25</v>
      </c>
      <c r="U38" s="1682">
        <f t="shared" si="13"/>
        <v>97</v>
      </c>
      <c r="V38" s="1681" t="s">
        <v>25</v>
      </c>
      <c r="W38" s="1682">
        <f t="shared" si="14"/>
        <v>100</v>
      </c>
      <c r="X38" s="1683"/>
      <c r="Y38" s="3478"/>
      <c r="Z38" s="1693" t="str">
        <f t="shared" si="15"/>
        <v>写字楼等级</v>
      </c>
      <c r="AA38" s="1684">
        <f t="shared" si="3"/>
        <v>1</v>
      </c>
      <c r="AB38" s="1684">
        <f t="shared" si="4"/>
        <v>1.0309278350515463</v>
      </c>
      <c r="AC38" s="1684">
        <f t="shared" si="5"/>
        <v>1</v>
      </c>
    </row>
    <row r="39" spans="1:29" ht="15">
      <c r="A39" s="1772"/>
      <c r="B39" s="1695" t="s">
        <v>2399</v>
      </c>
      <c r="C39" s="1752" t="s">
        <v>2945</v>
      </c>
      <c r="D39" s="1711">
        <v>100</v>
      </c>
      <c r="E39" s="1752" t="s">
        <v>2945</v>
      </c>
      <c r="F39" s="1754">
        <f>SUMIF(115:115,E39,116:116)-SUMIF(115:115,C39,116:116)+100</f>
        <v>100</v>
      </c>
      <c r="G39" s="1752" t="s">
        <v>2945</v>
      </c>
      <c r="H39" s="1711">
        <f>SUMIF(115:115,G39,116:116)-SUMIF(115:115,C39,116:116)+100</f>
        <v>100</v>
      </c>
      <c r="I39" s="1752" t="s">
        <v>2945</v>
      </c>
      <c r="J39" s="1711">
        <f>SUMIF(115:115,I39,116:116)-SUMIF(115:115,C39,116:116)+100</f>
        <v>100</v>
      </c>
      <c r="K39" s="1992">
        <v>2</v>
      </c>
      <c r="L39" s="3004"/>
      <c r="M39" s="3000"/>
      <c r="N39" s="3000"/>
      <c r="O39" s="3000"/>
      <c r="P39" s="3478" t="s">
        <v>2284</v>
      </c>
      <c r="Q39" s="2918" t="str">
        <f t="shared" si="11"/>
        <v>物业管理</v>
      </c>
      <c r="R39" s="1725" t="s">
        <v>25</v>
      </c>
      <c r="S39" s="1726">
        <f t="shared" si="12"/>
        <v>100</v>
      </c>
      <c r="T39" s="1725" t="s">
        <v>25</v>
      </c>
      <c r="U39" s="1726">
        <f t="shared" si="13"/>
        <v>100</v>
      </c>
      <c r="V39" s="1725" t="s">
        <v>25</v>
      </c>
      <c r="W39" s="1726">
        <f t="shared" si="14"/>
        <v>100</v>
      </c>
      <c r="X39" s="2074"/>
      <c r="Y39" s="3478" t="s">
        <v>2284</v>
      </c>
      <c r="Z39" s="2078" t="str">
        <f t="shared" si="15"/>
        <v>物业管理</v>
      </c>
      <c r="AA39" s="2069">
        <f t="shared" si="3"/>
        <v>1</v>
      </c>
      <c r="AB39" s="2069">
        <f t="shared" si="4"/>
        <v>1</v>
      </c>
      <c r="AC39" s="2069">
        <f t="shared" si="5"/>
        <v>1</v>
      </c>
    </row>
    <row r="40" spans="1:29" ht="15">
      <c r="A40" s="1772"/>
      <c r="B40" s="1695" t="s">
        <v>2372</v>
      </c>
      <c r="C40" s="1752" t="s">
        <v>2904</v>
      </c>
      <c r="D40" s="1711">
        <v>100</v>
      </c>
      <c r="E40" s="1752" t="s">
        <v>2904</v>
      </c>
      <c r="F40" s="1754">
        <f>SUMIF(117:117,E40,118:118)-SUMIF(117:117,C40,118:118)+100</f>
        <v>100</v>
      </c>
      <c r="G40" s="1752" t="s">
        <v>2904</v>
      </c>
      <c r="H40" s="1711">
        <f>SUMIF(117:117,G40,118:118)-SUMIF(117:117,C40,118:118)+100</f>
        <v>100</v>
      </c>
      <c r="I40" s="1752" t="s">
        <v>2904</v>
      </c>
      <c r="J40" s="1711">
        <f>SUMIF(117:117,I40,118:118)-SUMIF(117:117,C40,118:118)+100</f>
        <v>100</v>
      </c>
      <c r="K40" s="1992">
        <v>1</v>
      </c>
      <c r="L40" s="3004"/>
      <c r="M40" s="3000"/>
      <c r="N40" s="3000"/>
      <c r="O40" s="3000"/>
      <c r="P40" s="3478"/>
      <c r="Q40" s="2918" t="str">
        <f t="shared" si="11"/>
        <v>市政基础设施</v>
      </c>
      <c r="R40" s="1725" t="s">
        <v>25</v>
      </c>
      <c r="S40" s="1726">
        <f t="shared" si="12"/>
        <v>100</v>
      </c>
      <c r="T40" s="1725" t="s">
        <v>25</v>
      </c>
      <c r="U40" s="1726">
        <f t="shared" si="13"/>
        <v>100</v>
      </c>
      <c r="V40" s="1725" t="s">
        <v>25</v>
      </c>
      <c r="W40" s="1726">
        <f t="shared" si="14"/>
        <v>100</v>
      </c>
      <c r="X40" s="2074"/>
      <c r="Y40" s="3478"/>
      <c r="Z40" s="2078" t="str">
        <f t="shared" si="15"/>
        <v>市政基础设施</v>
      </c>
      <c r="AA40" s="2069">
        <f t="shared" si="3"/>
        <v>1</v>
      </c>
      <c r="AB40" s="2069">
        <f t="shared" si="4"/>
        <v>1</v>
      </c>
      <c r="AC40" s="2069">
        <f t="shared" si="5"/>
        <v>1</v>
      </c>
    </row>
    <row r="41" spans="1:29" ht="15">
      <c r="A41" s="1772"/>
      <c r="B41" s="1695" t="s">
        <v>2374</v>
      </c>
      <c r="C41" s="1991" t="s">
        <v>2948</v>
      </c>
      <c r="D41" s="1711">
        <v>100</v>
      </c>
      <c r="E41" s="1991" t="s">
        <v>2948</v>
      </c>
      <c r="F41" s="1754">
        <f>SUMIF(119:119,E41,120:120)-SUMIF(119:119,C41,120:120)+100</f>
        <v>100</v>
      </c>
      <c r="G41" s="1991" t="s">
        <v>2948</v>
      </c>
      <c r="H41" s="1711">
        <f>SUMIF(119:119,G41,120:120)-SUMIF(119:119,C41,120:120)+100</f>
        <v>100</v>
      </c>
      <c r="I41" s="1991" t="s">
        <v>2948</v>
      </c>
      <c r="J41" s="1711">
        <f>SUMIF(119:119,I41,120:120)-SUMIF(119:119,C41,120:120)+100</f>
        <v>100</v>
      </c>
      <c r="K41" s="1992">
        <v>2</v>
      </c>
      <c r="L41" s="3004"/>
      <c r="M41" s="3000"/>
      <c r="N41" s="3000"/>
      <c r="O41" s="3000"/>
      <c r="P41" s="3478"/>
      <c r="Q41" s="2918" t="str">
        <f t="shared" si="11"/>
        <v>层高</v>
      </c>
      <c r="R41" s="1725" t="s">
        <v>25</v>
      </c>
      <c r="S41" s="1726">
        <f t="shared" si="12"/>
        <v>100</v>
      </c>
      <c r="T41" s="1725" t="s">
        <v>25</v>
      </c>
      <c r="U41" s="1726">
        <f t="shared" si="13"/>
        <v>100</v>
      </c>
      <c r="V41" s="1725" t="s">
        <v>25</v>
      </c>
      <c r="W41" s="1726">
        <f t="shared" si="14"/>
        <v>100</v>
      </c>
      <c r="X41" s="2074"/>
      <c r="Y41" s="3478"/>
      <c r="Z41" s="2078" t="str">
        <f t="shared" si="15"/>
        <v>层高</v>
      </c>
      <c r="AA41" s="2069">
        <f t="shared" si="3"/>
        <v>1</v>
      </c>
      <c r="AB41" s="2069">
        <f t="shared" si="4"/>
        <v>1</v>
      </c>
      <c r="AC41" s="2069">
        <f t="shared" si="5"/>
        <v>1</v>
      </c>
    </row>
    <row r="42" spans="1:29" s="1771" customFormat="1" ht="15">
      <c r="A42" s="1764"/>
      <c r="B42" s="2070" t="s">
        <v>2400</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3"/>
      <c r="M42" s="2059"/>
      <c r="N42" s="2059"/>
      <c r="O42" s="2059"/>
      <c r="P42" s="3478"/>
      <c r="Q42" s="1766" t="str">
        <f t="shared" si="11"/>
        <v>单套建筑面积</v>
      </c>
      <c r="R42" s="1767" t="s">
        <v>25</v>
      </c>
      <c r="S42" s="1768">
        <f t="shared" si="12"/>
        <v>100</v>
      </c>
      <c r="T42" s="1767" t="s">
        <v>25</v>
      </c>
      <c r="U42" s="1768">
        <f t="shared" si="13"/>
        <v>100</v>
      </c>
      <c r="V42" s="1767" t="s">
        <v>25</v>
      </c>
      <c r="W42" s="1768">
        <f t="shared" si="14"/>
        <v>100</v>
      </c>
      <c r="X42" s="1769"/>
      <c r="Y42" s="3478"/>
      <c r="Z42" s="1770" t="str">
        <f t="shared" si="15"/>
        <v>单套建筑面积</v>
      </c>
      <c r="AA42" s="2069">
        <f t="shared" si="3"/>
        <v>1</v>
      </c>
      <c r="AB42" s="2069">
        <f t="shared" si="4"/>
        <v>1</v>
      </c>
      <c r="AC42" s="2069">
        <f t="shared" si="5"/>
        <v>1</v>
      </c>
    </row>
    <row r="43" spans="1:29" ht="15">
      <c r="A43" s="1772"/>
      <c r="B43" s="1695" t="s">
        <v>2377</v>
      </c>
      <c r="C43" s="1752" t="s">
        <v>2943</v>
      </c>
      <c r="D43" s="1711">
        <v>100</v>
      </c>
      <c r="E43" s="1752" t="s">
        <v>2943</v>
      </c>
      <c r="F43" s="1754">
        <f>SUMIF(123:123,E43,124:124)-SUMIF(123:123,C43,124:124)+100</f>
        <v>100</v>
      </c>
      <c r="G43" s="1752" t="s">
        <v>2943</v>
      </c>
      <c r="H43" s="1711">
        <f>SUMIF(123:123,G43,124:124)-SUMIF(123:123,C43,124:124)+100</f>
        <v>100</v>
      </c>
      <c r="I43" s="1752" t="s">
        <v>2943</v>
      </c>
      <c r="J43" s="1711">
        <f>SUMIF(123:123,I43,124:124)-SUMIF(123:123,C43,124:124)+100</f>
        <v>100</v>
      </c>
      <c r="K43" s="1992">
        <v>2</v>
      </c>
      <c r="L43" s="3004"/>
      <c r="M43" s="3000"/>
      <c r="N43" s="3000"/>
      <c r="O43" s="3000"/>
      <c r="P43" s="3478"/>
      <c r="Q43" s="2918" t="str">
        <f t="shared" si="11"/>
        <v>内部装修</v>
      </c>
      <c r="R43" s="1725" t="s">
        <v>25</v>
      </c>
      <c r="S43" s="1726">
        <f t="shared" si="12"/>
        <v>100</v>
      </c>
      <c r="T43" s="1725" t="s">
        <v>25</v>
      </c>
      <c r="U43" s="1726">
        <f t="shared" si="13"/>
        <v>100</v>
      </c>
      <c r="V43" s="1725" t="s">
        <v>25</v>
      </c>
      <c r="W43" s="1726">
        <f t="shared" si="14"/>
        <v>100</v>
      </c>
      <c r="X43" s="2074"/>
      <c r="Y43" s="3478"/>
      <c r="Z43" s="2078" t="str">
        <f t="shared" si="15"/>
        <v>内部装修</v>
      </c>
      <c r="AA43" s="2069">
        <f t="shared" si="3"/>
        <v>1</v>
      </c>
      <c r="AB43" s="2069">
        <f t="shared" si="4"/>
        <v>1</v>
      </c>
      <c r="AC43" s="2069">
        <f t="shared" si="5"/>
        <v>1</v>
      </c>
    </row>
    <row r="44" spans="1:29" ht="28.8">
      <c r="A44" s="1772"/>
      <c r="B44" s="1695" t="s">
        <v>2295</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4"/>
      <c r="M44" s="3000"/>
      <c r="N44" s="3000"/>
      <c r="O44" s="3000"/>
      <c r="P44" s="3478"/>
      <c r="Q44" s="2918" t="str">
        <f t="shared" si="11"/>
        <v>内部装修维护情况</v>
      </c>
      <c r="R44" s="1725" t="s">
        <v>25</v>
      </c>
      <c r="S44" s="1726">
        <f t="shared" si="12"/>
        <v>100</v>
      </c>
      <c r="T44" s="1725" t="s">
        <v>25</v>
      </c>
      <c r="U44" s="1726">
        <f t="shared" si="13"/>
        <v>100</v>
      </c>
      <c r="V44" s="1725" t="s">
        <v>25</v>
      </c>
      <c r="W44" s="1726">
        <f t="shared" si="14"/>
        <v>100</v>
      </c>
      <c r="X44" s="2074"/>
      <c r="Y44" s="3478"/>
      <c r="Z44" s="2078" t="str">
        <f t="shared" si="15"/>
        <v>内部装修维护情况</v>
      </c>
      <c r="AA44" s="2069">
        <f t="shared" si="3"/>
        <v>1</v>
      </c>
      <c r="AB44" s="2069">
        <f t="shared" si="4"/>
        <v>1</v>
      </c>
      <c r="AC44" s="2069">
        <f t="shared" si="5"/>
        <v>1</v>
      </c>
    </row>
    <row r="45" spans="1:29" s="1685"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9"/>
      <c r="M45" s="2972"/>
      <c r="N45" s="2972"/>
      <c r="O45" s="2972"/>
      <c r="P45" s="3478"/>
      <c r="Q45" s="2917">
        <f t="shared" si="11"/>
        <v>111</v>
      </c>
      <c r="R45" s="1681" t="s">
        <v>25</v>
      </c>
      <c r="S45" s="1682">
        <f t="shared" si="12"/>
        <v>100</v>
      </c>
      <c r="T45" s="1681" t="s">
        <v>25</v>
      </c>
      <c r="U45" s="1682">
        <f t="shared" si="13"/>
        <v>100</v>
      </c>
      <c r="V45" s="1681" t="s">
        <v>25</v>
      </c>
      <c r="W45" s="1682">
        <f t="shared" si="14"/>
        <v>100</v>
      </c>
      <c r="X45" s="1683"/>
      <c r="Y45" s="3478"/>
      <c r="Z45" s="1693">
        <f t="shared" si="15"/>
        <v>111</v>
      </c>
      <c r="AA45" s="1684">
        <f t="shared" si="3"/>
        <v>1</v>
      </c>
      <c r="AB45" s="1684">
        <f t="shared" si="4"/>
        <v>1</v>
      </c>
      <c r="AC45" s="1684">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4"/>
      <c r="M46" s="3000"/>
      <c r="N46" s="3000"/>
      <c r="O46" s="3000"/>
      <c r="P46" s="3478"/>
      <c r="Q46" s="2918">
        <f t="shared" si="11"/>
        <v>111</v>
      </c>
      <c r="R46" s="1725" t="s">
        <v>25</v>
      </c>
      <c r="S46" s="1726">
        <f t="shared" si="12"/>
        <v>100</v>
      </c>
      <c r="T46" s="1725" t="s">
        <v>25</v>
      </c>
      <c r="U46" s="1726">
        <f t="shared" si="13"/>
        <v>100</v>
      </c>
      <c r="V46" s="1725" t="s">
        <v>25</v>
      </c>
      <c r="W46" s="1726">
        <f t="shared" si="14"/>
        <v>100</v>
      </c>
      <c r="X46" s="2074"/>
      <c r="Y46" s="3478"/>
      <c r="Z46" s="2078">
        <f t="shared" si="15"/>
        <v>111</v>
      </c>
      <c r="AA46" s="2069">
        <f t="shared" si="3"/>
        <v>1</v>
      </c>
      <c r="AB46" s="2069">
        <f t="shared" si="4"/>
        <v>1</v>
      </c>
      <c r="AC46" s="2069">
        <f t="shared" si="5"/>
        <v>1</v>
      </c>
    </row>
    <row r="47" spans="1:29" ht="15.6"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4"/>
      <c r="M47" s="3000"/>
      <c r="N47" s="3000"/>
      <c r="O47" s="3000"/>
      <c r="P47" s="3479"/>
      <c r="Q47" s="2918">
        <f t="shared" si="11"/>
        <v>111</v>
      </c>
      <c r="R47" s="1725" t="s">
        <v>25</v>
      </c>
      <c r="S47" s="1726">
        <f t="shared" si="12"/>
        <v>100</v>
      </c>
      <c r="T47" s="1725" t="s">
        <v>25</v>
      </c>
      <c r="U47" s="1726">
        <f t="shared" si="13"/>
        <v>100</v>
      </c>
      <c r="V47" s="1725" t="s">
        <v>25</v>
      </c>
      <c r="W47" s="1726">
        <f t="shared" si="14"/>
        <v>100</v>
      </c>
      <c r="X47" s="2074"/>
      <c r="Y47" s="3479"/>
      <c r="Z47" s="2078">
        <f t="shared" si="15"/>
        <v>111</v>
      </c>
      <c r="AA47" s="2069">
        <f t="shared" si="3"/>
        <v>1</v>
      </c>
      <c r="AB47" s="2069">
        <f t="shared" si="4"/>
        <v>1</v>
      </c>
      <c r="AC47" s="2069">
        <f t="shared" si="5"/>
        <v>1</v>
      </c>
    </row>
    <row r="48" spans="1:29" ht="14.4">
      <c r="A48" s="1781" t="s">
        <v>2296</v>
      </c>
      <c r="B48" s="1782"/>
      <c r="C48" s="1783" t="s">
        <v>1</v>
      </c>
      <c r="D48" s="1784"/>
      <c r="E48" s="1785">
        <v>4</v>
      </c>
      <c r="F48" s="1786"/>
      <c r="G48" s="1787">
        <v>4.5</v>
      </c>
      <c r="H48" s="1788"/>
      <c r="I48" s="1785">
        <v>4.8</v>
      </c>
      <c r="J48" s="1788"/>
      <c r="K48" s="2013"/>
      <c r="L48" s="3005"/>
      <c r="M48" s="3000"/>
      <c r="N48" s="3000"/>
      <c r="O48" s="3000"/>
      <c r="P48" s="3470" t="str">
        <f>A48</f>
        <v>成交单价（元/平方米）</v>
      </c>
      <c r="Q48" s="3470"/>
      <c r="R48" s="3466">
        <f>E48</f>
        <v>4</v>
      </c>
      <c r="S48" s="3466"/>
      <c r="T48" s="3466">
        <f>G48</f>
        <v>4.5</v>
      </c>
      <c r="U48" s="3466"/>
      <c r="V48" s="3466">
        <f>I48</f>
        <v>4.8</v>
      </c>
      <c r="W48" s="3466"/>
      <c r="X48" s="1791"/>
      <c r="Y48" s="2073"/>
      <c r="Z48" s="1791"/>
      <c r="AA48" s="1791"/>
      <c r="AB48" s="1791"/>
      <c r="AC48" s="1791"/>
    </row>
    <row r="49" spans="1:29" ht="15" thickBot="1">
      <c r="A49" s="1793" t="s">
        <v>2378</v>
      </c>
      <c r="B49" s="1794"/>
      <c r="C49" s="1795">
        <f>R50</f>
        <v>4.5</v>
      </c>
      <c r="D49" s="1796" t="s">
        <v>2753</v>
      </c>
      <c r="E49" s="1797">
        <f>R49</f>
        <v>4.0999999999999996</v>
      </c>
      <c r="F49" s="1798"/>
      <c r="G49" s="1795">
        <f>T49</f>
        <v>4.5</v>
      </c>
      <c r="H49" s="1798"/>
      <c r="I49" s="1797">
        <f>V49</f>
        <v>4.9000000000000004</v>
      </c>
      <c r="J49" s="1798"/>
      <c r="K49" s="2513">
        <f>F49+H49+J49</f>
        <v>0</v>
      </c>
      <c r="L49" s="3005"/>
      <c r="M49" s="3000"/>
      <c r="N49" s="3000"/>
      <c r="O49" s="3000"/>
      <c r="P49" s="3470" t="str">
        <f>A49</f>
        <v>比较价值（元/平方米）</v>
      </c>
      <c r="Q49" s="3470"/>
      <c r="R49" s="3466">
        <f>IF(E1="售价",ROUND(PRODUCT(R48,AA7:AA47),0),ROUND(PRODUCT(R48,AA7:AA47),1))</f>
        <v>4.0999999999999996</v>
      </c>
      <c r="S49" s="3466"/>
      <c r="T49" s="3466">
        <f>IF(E1="售价",ROUND(PRODUCT(T48,AB7:AB47),0),ROUND(PRODUCT(T48,AB7:AB47),1))</f>
        <v>4.5</v>
      </c>
      <c r="U49" s="3466"/>
      <c r="V49" s="3466">
        <f>IF(E1="售价",ROUND(PRODUCT(V48,AC7:AC47),0),ROUND(PRODUCT(V48,AC7:AC47),1))</f>
        <v>4.9000000000000004</v>
      </c>
      <c r="W49" s="3466"/>
      <c r="X49" s="1791"/>
      <c r="Y49" s="1791"/>
      <c r="Z49" s="1791"/>
      <c r="AA49" s="1791"/>
      <c r="AB49" s="1791"/>
      <c r="AC49" s="1791"/>
    </row>
    <row r="50" spans="1:29" ht="15" thickBot="1">
      <c r="A50" s="1799" t="s">
        <v>2401</v>
      </c>
      <c r="B50" s="1800"/>
      <c r="C50" s="1802">
        <f>R50</f>
        <v>4.5</v>
      </c>
      <c r="D50" s="1802"/>
      <c r="E50" s="1802"/>
      <c r="F50" s="1802"/>
      <c r="G50" s="1802"/>
      <c r="H50" s="1802"/>
      <c r="I50" s="1802"/>
      <c r="J50" s="1802"/>
      <c r="K50" s="2018"/>
      <c r="L50" s="3005"/>
      <c r="M50" s="3000"/>
      <c r="N50" s="3000"/>
      <c r="O50" s="3000"/>
      <c r="P50" s="3467" t="str">
        <f>A50</f>
        <v>估价对象XX用房的比较价值（楼面单价，元/平方米）</v>
      </c>
      <c r="Q50" s="3468"/>
      <c r="R50" s="3469">
        <f>IF(E1="售价",ROUND(IF(D49="简单平均",AVERAGE(R49:V49),R49*F49+T49*H49+V49*J49),0),ROUND(IF(D49="简单平均",AVERAGE(R49:V49),R49*F49+T49*H49+V49*J49),1))</f>
        <v>4.5</v>
      </c>
      <c r="S50" s="3469"/>
      <c r="T50" s="3469"/>
      <c r="U50" s="3469"/>
      <c r="V50" s="3469"/>
      <c r="W50" s="3469"/>
      <c r="X50" s="1791"/>
      <c r="Y50" s="1791"/>
      <c r="Z50" s="1791"/>
      <c r="AA50" s="1791"/>
      <c r="AB50" s="1791"/>
      <c r="AC50" s="1791"/>
    </row>
    <row r="51" spans="1:29">
      <c r="C51" s="1667">
        <f>C50*0.9</f>
        <v>4.05</v>
      </c>
      <c r="D51" s="1667">
        <f>C50*1.1</f>
        <v>4.95</v>
      </c>
      <c r="G51" s="3009"/>
    </row>
    <row r="53" spans="1:29" ht="13.5" customHeight="1">
      <c r="C53" s="383" t="s">
        <v>2380</v>
      </c>
      <c r="D53" s="1807"/>
      <c r="E53" s="1808">
        <f>IF(E48&lt;E49,E49/E48-1,E48/E49-1)</f>
        <v>2.4999999999999911E-2</v>
      </c>
      <c r="F53" s="1809" t="str">
        <f>IF(OR(E53&gt;=0.3,E53&lt;=-0.3),"超过30%","")</f>
        <v/>
      </c>
      <c r="G53" s="1808">
        <f>IF(G48&lt;G49,G49/G48-1,G48/G49-1)</f>
        <v>0</v>
      </c>
      <c r="H53" s="1809" t="str">
        <f>IF(OR(G53&gt;=0.3,G53&lt;=-0.3),"超过30%","")</f>
        <v/>
      </c>
      <c r="I53" s="1808">
        <f>IF(I48&lt;I49,I49/I48-1,I48/I49-1)</f>
        <v>2.0833333333333481E-2</v>
      </c>
      <c r="J53" s="1809" t="str">
        <f>IF(OR(I53&gt;=0.3,I53&lt;=-0.3),"超过30%","")</f>
        <v/>
      </c>
    </row>
    <row r="54" spans="1:29" ht="13.5" customHeight="1">
      <c r="C54" s="383" t="s">
        <v>2381</v>
      </c>
      <c r="D54" s="1810"/>
      <c r="E54" s="1808">
        <f>IF(E49&lt;G49,G49/E49-1,E49/G49-1)</f>
        <v>9.7560975609756184E-2</v>
      </c>
      <c r="F54" s="1809" t="str">
        <f>IF(OR(E54&gt;=0.2,E54&lt;=-0.2),"超过20%","")</f>
        <v/>
      </c>
      <c r="G54" s="1808">
        <f>IF(G49&lt;I49,I49/G49-1,G49/I49-1)</f>
        <v>8.8888888888889017E-2</v>
      </c>
      <c r="H54" s="1809" t="str">
        <f>IF(OR(G54&gt;=0.2,G54&lt;=-0.2),"超过20%","")</f>
        <v/>
      </c>
      <c r="I54" s="1808">
        <f>IF(I49&lt;E49,E49/I49-1,I49/E49-1)</f>
        <v>0.19512195121951237</v>
      </c>
      <c r="J54" s="1809" t="str">
        <f>IF(OR(I54&gt;=0.2,I54&lt;=-0.2),"超过20%","")</f>
        <v/>
      </c>
    </row>
    <row r="55" spans="1:29" s="1813" customFormat="1" ht="13.5" customHeight="1">
      <c r="C55" s="383" t="s">
        <v>2382</v>
      </c>
      <c r="D55" s="1810"/>
      <c r="E55" s="1808">
        <f>IF(E48&lt;G48,G48/E48-1,E48/G48-1)</f>
        <v>0.125</v>
      </c>
      <c r="F55" s="1809" t="str">
        <f>IF(OR(E55&gt;=0.3,E55&lt;=-0.3),"超过30%","")</f>
        <v/>
      </c>
      <c r="G55" s="1808">
        <f>IF(G48&lt;I48,I48/G48-1,G48/I48-1)</f>
        <v>6.6666666666666652E-2</v>
      </c>
      <c r="H55" s="1809" t="str">
        <f>IF(OR(G55&gt;=0.3,G55&lt;=-0.3),"超过30%","")</f>
        <v/>
      </c>
      <c r="I55" s="1808">
        <f>IF(I48&lt;E48,E48/I48-1,I48/E48-1)</f>
        <v>0.19999999999999996</v>
      </c>
      <c r="J55" s="1809" t="str">
        <f>IF(OR(I55&gt;=0.3,I55&lt;=-0.3),"超过30%","")</f>
        <v/>
      </c>
      <c r="K55" s="3012"/>
      <c r="L55" s="3006"/>
    </row>
    <row r="56" spans="1:29" s="1813" customFormat="1">
      <c r="B56" s="3010"/>
      <c r="C56" s="3011"/>
      <c r="K56" s="3012"/>
      <c r="L56" s="3006"/>
    </row>
    <row r="57" spans="1:29">
      <c r="B57" s="3010"/>
      <c r="C57" s="3011"/>
    </row>
    <row r="58" spans="1:29" ht="22.2" thickBot="1">
      <c r="A58" s="1816" t="s">
        <v>2383</v>
      </c>
      <c r="B58" s="1791"/>
      <c r="C58" s="1817"/>
      <c r="D58" s="1817"/>
      <c r="E58" s="1817"/>
      <c r="F58" s="1817"/>
      <c r="G58" s="1817"/>
      <c r="H58" s="1817"/>
      <c r="I58" s="1817"/>
      <c r="J58" s="1817"/>
      <c r="K58" s="1818"/>
      <c r="L58" s="1819"/>
      <c r="M58" s="1817"/>
      <c r="N58" s="3008"/>
      <c r="O58" s="3008"/>
      <c r="P58" s="2045"/>
      <c r="Q58" s="1821"/>
    </row>
    <row r="59" spans="1:29" s="1827" customFormat="1" ht="14.4">
      <c r="A59" s="1822" t="s">
        <v>2266</v>
      </c>
      <c r="B59" s="1823"/>
      <c r="C59" s="1824" t="str">
        <f>YEAR(C7)&amp;"-"&amp;MONTH(C7)</f>
        <v>2024-9</v>
      </c>
      <c r="D59" s="1825">
        <f>EDATE(C59,-1)</f>
        <v>45505</v>
      </c>
      <c r="E59" s="1825">
        <f t="shared" ref="E59:O59" si="16">EDATE(D59,-1)</f>
        <v>45474</v>
      </c>
      <c r="F59" s="1825">
        <f t="shared" si="16"/>
        <v>45444</v>
      </c>
      <c r="G59" s="1825">
        <f t="shared" si="16"/>
        <v>45413</v>
      </c>
      <c r="H59" s="1825">
        <f t="shared" si="16"/>
        <v>45383</v>
      </c>
      <c r="I59" s="1825">
        <f t="shared" si="16"/>
        <v>45352</v>
      </c>
      <c r="J59" s="1825">
        <f t="shared" si="16"/>
        <v>45323</v>
      </c>
      <c r="K59" s="1825">
        <f t="shared" si="16"/>
        <v>45292</v>
      </c>
      <c r="L59" s="1825">
        <f t="shared" si="16"/>
        <v>45261</v>
      </c>
      <c r="M59" s="1825">
        <f t="shared" si="16"/>
        <v>45231</v>
      </c>
      <c r="N59" s="1825">
        <f t="shared" si="16"/>
        <v>45200</v>
      </c>
      <c r="O59" s="1825">
        <f t="shared" si="16"/>
        <v>45170</v>
      </c>
      <c r="P59" s="2506"/>
    </row>
    <row r="60" spans="1:29" s="1685" customFormat="1">
      <c r="A60" s="1828"/>
      <c r="B60" s="1829"/>
      <c r="C60" s="1830">
        <v>100</v>
      </c>
      <c r="D60" s="1831"/>
      <c r="E60" s="1831"/>
      <c r="F60" s="1831"/>
      <c r="G60" s="1831"/>
      <c r="H60" s="1831"/>
      <c r="I60" s="1831"/>
      <c r="J60" s="1831"/>
      <c r="K60" s="1831"/>
      <c r="L60" s="1831"/>
      <c r="M60" s="1832"/>
      <c r="N60" s="1831"/>
      <c r="O60" s="1845"/>
      <c r="P60" s="1821"/>
    </row>
    <row r="61" spans="1:29" s="1685" customFormat="1" ht="15" thickBot="1">
      <c r="A61" s="1834" t="s">
        <v>2303</v>
      </c>
      <c r="B61" s="1835"/>
      <c r="C61" s="1836"/>
      <c r="D61" s="1837"/>
      <c r="E61" s="1837"/>
      <c r="F61" s="1837"/>
      <c r="G61" s="1837"/>
      <c r="H61" s="1837"/>
      <c r="I61" s="1837"/>
      <c r="J61" s="1837"/>
      <c r="K61" s="1837"/>
      <c r="L61" s="1837"/>
      <c r="M61" s="1838"/>
      <c r="N61" s="1837"/>
      <c r="O61" s="2507"/>
      <c r="P61" s="1821"/>
      <c r="Q61" s="1821"/>
    </row>
    <row r="62" spans="1:29" s="1685" customFormat="1" ht="14.4">
      <c r="A62" s="1839" t="s">
        <v>2268</v>
      </c>
      <c r="B62" s="1829"/>
      <c r="C62" s="1840" t="s">
        <v>2269</v>
      </c>
      <c r="D62" s="409"/>
      <c r="E62" s="409"/>
      <c r="F62" s="409"/>
      <c r="G62" s="409"/>
      <c r="H62" s="409"/>
      <c r="I62" s="409"/>
      <c r="J62" s="409"/>
      <c r="K62" s="409"/>
      <c r="L62" s="409"/>
      <c r="M62" s="1841"/>
      <c r="N62" s="3017"/>
      <c r="O62" s="3017"/>
      <c r="P62" s="2056"/>
      <c r="Q62" s="1821"/>
    </row>
    <row r="63" spans="1:29" s="1685" customFormat="1" ht="14.4" thickBot="1">
      <c r="A63" s="1839"/>
      <c r="B63" s="1829"/>
      <c r="C63" s="1844">
        <v>100</v>
      </c>
      <c r="D63" s="1831"/>
      <c r="E63" s="1831"/>
      <c r="F63" s="1831"/>
      <c r="G63" s="1831"/>
      <c r="H63" s="1831"/>
      <c r="I63" s="1831"/>
      <c r="J63" s="1831"/>
      <c r="K63" s="1831"/>
      <c r="L63" s="1831"/>
      <c r="M63" s="1845"/>
      <c r="N63" s="3017"/>
      <c r="O63" s="3017"/>
      <c r="P63" s="1821"/>
      <c r="Q63" s="1821"/>
    </row>
    <row r="64" spans="1:29" ht="14.4">
      <c r="A64" s="1846" t="s">
        <v>2306</v>
      </c>
      <c r="B64" s="1847" t="s">
        <v>2272</v>
      </c>
      <c r="C64" s="1848" t="str">
        <f>C9</f>
        <v>办公</v>
      </c>
      <c r="D64" s="1849"/>
      <c r="E64" s="1849"/>
      <c r="F64" s="1849"/>
      <c r="G64" s="1849"/>
      <c r="H64" s="1849"/>
      <c r="I64" s="1849"/>
      <c r="J64" s="1849"/>
      <c r="K64" s="417"/>
      <c r="L64" s="417"/>
      <c r="M64" s="1850"/>
      <c r="N64" s="3018"/>
      <c r="O64" s="3018"/>
      <c r="P64" s="2057"/>
      <c r="Q64" s="1821"/>
    </row>
    <row r="65" spans="1:17" ht="14.4" thickBot="1">
      <c r="A65" s="1853"/>
      <c r="B65" s="1854"/>
      <c r="C65" s="1855">
        <v>100</v>
      </c>
      <c r="D65" s="1855"/>
      <c r="E65" s="1855"/>
      <c r="F65" s="1855"/>
      <c r="G65" s="1855"/>
      <c r="H65" s="1855"/>
      <c r="I65" s="1855"/>
      <c r="J65" s="1855"/>
      <c r="K65" s="1855"/>
      <c r="L65" s="1855"/>
      <c r="M65" s="1856"/>
      <c r="N65" s="3019"/>
      <c r="O65" s="3019"/>
      <c r="P65" s="2057"/>
      <c r="Q65" s="1821"/>
    </row>
    <row r="66" spans="1:17" ht="29.4" thickTop="1">
      <c r="A66" s="1853"/>
      <c r="B66" s="1858" t="s">
        <v>2275</v>
      </c>
      <c r="C66" s="1859" t="s">
        <v>2307</v>
      </c>
      <c r="D66" s="1859" t="s">
        <v>2308</v>
      </c>
      <c r="E66" s="1859" t="s">
        <v>2309</v>
      </c>
      <c r="F66" s="1859" t="s">
        <v>2310</v>
      </c>
      <c r="G66" s="1859" t="s">
        <v>2311</v>
      </c>
      <c r="H66" s="1859" t="s">
        <v>2312</v>
      </c>
      <c r="I66" s="1859" t="s">
        <v>2313</v>
      </c>
      <c r="J66" s="1859"/>
      <c r="K66" s="428"/>
      <c r="L66" s="428"/>
      <c r="M66" s="1860"/>
      <c r="N66" s="3018"/>
      <c r="O66" s="3018"/>
      <c r="P66" s="2057"/>
      <c r="Q66" s="1821"/>
    </row>
    <row r="67" spans="1:17" ht="14.4"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9"/>
      <c r="O67" s="3019"/>
      <c r="P67" s="2057"/>
      <c r="Q67" s="1821"/>
    </row>
    <row r="68" spans="1:17" ht="15" thickTop="1">
      <c r="A68" s="1853"/>
      <c r="B68" s="1864" t="s">
        <v>2276</v>
      </c>
      <c r="C68" s="1865" t="str">
        <f>C69&amp;"（含）"&amp;"-"&amp;D69</f>
        <v>0（含）-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9"/>
      <c r="O68" s="3019"/>
      <c r="P68" s="2057"/>
      <c r="Q68" s="1821"/>
    </row>
    <row r="69" spans="1:17">
      <c r="A69" s="1853"/>
      <c r="B69" s="1866"/>
      <c r="C69" s="1867">
        <v>0</v>
      </c>
      <c r="D69" s="1867"/>
      <c r="E69" s="1867"/>
      <c r="F69" s="1867"/>
      <c r="G69" s="1867"/>
      <c r="H69" s="1867"/>
      <c r="I69" s="1867"/>
      <c r="J69" s="1867"/>
      <c r="K69" s="438"/>
      <c r="L69" s="438"/>
      <c r="M69" s="1868"/>
      <c r="N69" s="3018"/>
      <c r="O69" s="3018"/>
      <c r="P69" s="2057"/>
      <c r="Q69" s="1821"/>
    </row>
    <row r="70" spans="1:17" ht="14.4" thickBot="1">
      <c r="A70" s="1853"/>
      <c r="B70" s="1854"/>
      <c r="C70" s="1862">
        <v>100</v>
      </c>
      <c r="D70" s="1862">
        <f t="shared" ref="D70:M70" si="18">C70-$K11</f>
        <v>98</v>
      </c>
      <c r="E70" s="1862">
        <f t="shared" si="18"/>
        <v>96</v>
      </c>
      <c r="F70" s="1862">
        <f t="shared" si="18"/>
        <v>94</v>
      </c>
      <c r="G70" s="1862">
        <f t="shared" si="18"/>
        <v>92</v>
      </c>
      <c r="H70" s="1862">
        <f t="shared" si="18"/>
        <v>90</v>
      </c>
      <c r="I70" s="1862">
        <f t="shared" si="18"/>
        <v>88</v>
      </c>
      <c r="J70" s="1862">
        <f t="shared" si="18"/>
        <v>86</v>
      </c>
      <c r="K70" s="1862">
        <f t="shared" si="18"/>
        <v>84</v>
      </c>
      <c r="L70" s="1862">
        <f t="shared" si="18"/>
        <v>82</v>
      </c>
      <c r="M70" s="1863">
        <f t="shared" si="18"/>
        <v>80</v>
      </c>
      <c r="N70" s="3019"/>
      <c r="O70" s="3019"/>
      <c r="P70" s="2057"/>
      <c r="Q70" s="1821"/>
    </row>
    <row r="71" spans="1:17" s="1771" customFormat="1" ht="14.4" thickTop="1">
      <c r="A71" s="1869"/>
      <c r="B71" s="1858">
        <f>B12</f>
        <v>111</v>
      </c>
      <c r="C71" s="468"/>
      <c r="D71" s="468"/>
      <c r="E71" s="468"/>
      <c r="F71" s="468"/>
      <c r="G71" s="468"/>
      <c r="H71" s="443"/>
      <c r="I71" s="443"/>
      <c r="J71" s="443"/>
      <c r="K71" s="443"/>
      <c r="L71" s="443"/>
      <c r="M71" s="1870"/>
      <c r="N71" s="3020"/>
      <c r="O71" s="3020"/>
      <c r="P71" s="2058"/>
      <c r="Q71" s="1873"/>
    </row>
    <row r="72" spans="1:17" s="1771" customFormat="1" ht="14.4" thickBot="1">
      <c r="A72" s="1869"/>
      <c r="B72" s="1861"/>
      <c r="C72" s="1874"/>
      <c r="D72" s="1855"/>
      <c r="E72" s="1855"/>
      <c r="F72" s="1855"/>
      <c r="G72" s="1855"/>
      <c r="H72" s="1855"/>
      <c r="I72" s="1855"/>
      <c r="J72" s="1855"/>
      <c r="K72" s="1855"/>
      <c r="L72" s="1855"/>
      <c r="M72" s="1856"/>
      <c r="N72" s="3019"/>
      <c r="O72" s="3019"/>
      <c r="P72" s="2058"/>
      <c r="Q72" s="1873"/>
    </row>
    <row r="73" spans="1:17" s="1771" customFormat="1" ht="14.4" thickTop="1">
      <c r="A73" s="1869"/>
      <c r="B73" s="1858">
        <f>B13</f>
        <v>111</v>
      </c>
      <c r="C73" s="468"/>
      <c r="D73" s="468"/>
      <c r="E73" s="468"/>
      <c r="F73" s="468"/>
      <c r="G73" s="468"/>
      <c r="H73" s="443"/>
      <c r="I73" s="443"/>
      <c r="J73" s="443"/>
      <c r="K73" s="443"/>
      <c r="L73" s="443"/>
      <c r="M73" s="1870"/>
      <c r="N73" s="3020"/>
      <c r="O73" s="3020"/>
      <c r="P73" s="2059"/>
      <c r="Q73" s="1876"/>
    </row>
    <row r="74" spans="1:17" s="1771" customFormat="1" ht="14.4" thickBot="1">
      <c r="A74" s="1869"/>
      <c r="B74" s="1861"/>
      <c r="C74" s="1874"/>
      <c r="D74" s="1874"/>
      <c r="E74" s="1874"/>
      <c r="F74" s="1874"/>
      <c r="G74" s="1874"/>
      <c r="H74" s="1877"/>
      <c r="I74" s="1877"/>
      <c r="J74" s="1877"/>
      <c r="K74" s="1877"/>
      <c r="L74" s="1877"/>
      <c r="M74" s="1878"/>
      <c r="N74" s="3020"/>
      <c r="O74" s="3020"/>
      <c r="P74" s="2058"/>
      <c r="Q74" s="1873"/>
    </row>
    <row r="75" spans="1:17" s="1771" customFormat="1" ht="14.4" thickTop="1">
      <c r="A75" s="1869"/>
      <c r="B75" s="1864">
        <f>B14</f>
        <v>111</v>
      </c>
      <c r="C75" s="409"/>
      <c r="D75" s="409"/>
      <c r="E75" s="409"/>
      <c r="F75" s="409"/>
      <c r="G75" s="409"/>
      <c r="H75" s="453"/>
      <c r="I75" s="453"/>
      <c r="J75" s="453"/>
      <c r="K75" s="453"/>
      <c r="L75" s="453"/>
      <c r="M75" s="1879"/>
      <c r="N75" s="3020"/>
      <c r="O75" s="3020"/>
      <c r="P75" s="2058"/>
      <c r="Q75" s="1873"/>
    </row>
    <row r="76" spans="1:17" s="1771" customFormat="1" ht="14.4" thickBot="1">
      <c r="A76" s="1880"/>
      <c r="B76" s="1881"/>
      <c r="C76" s="1882"/>
      <c r="D76" s="1882"/>
      <c r="E76" s="1882"/>
      <c r="F76" s="1882"/>
      <c r="G76" s="1882"/>
      <c r="H76" s="1883"/>
      <c r="I76" s="1883"/>
      <c r="J76" s="1883"/>
      <c r="K76" s="1883"/>
      <c r="L76" s="1883"/>
      <c r="M76" s="1884"/>
      <c r="N76" s="3020"/>
      <c r="O76" s="3020"/>
      <c r="P76" s="2058"/>
      <c r="Q76" s="1873"/>
    </row>
    <row r="77" spans="1:17" ht="14.4">
      <c r="A77" s="1846" t="s">
        <v>2277</v>
      </c>
      <c r="B77" s="1847" t="s">
        <v>2402</v>
      </c>
      <c r="C77" s="1885" t="s">
        <v>2315</v>
      </c>
      <c r="D77" s="1885" t="s">
        <v>2316</v>
      </c>
      <c r="E77" s="1885" t="s">
        <v>2317</v>
      </c>
      <c r="F77" s="1885" t="s">
        <v>2318</v>
      </c>
      <c r="G77" s="1885" t="s">
        <v>2319</v>
      </c>
      <c r="H77" s="1848"/>
      <c r="I77" s="1848"/>
      <c r="J77" s="1848"/>
      <c r="K77" s="463"/>
      <c r="L77" s="463"/>
      <c r="M77" s="1886"/>
      <c r="N77" s="3018"/>
      <c r="O77" s="3018"/>
      <c r="P77" s="2057"/>
      <c r="Q77" s="1821"/>
    </row>
    <row r="78" spans="1:17" ht="14.4" thickBot="1">
      <c r="A78" s="1853"/>
      <c r="B78" s="1861"/>
      <c r="C78" s="1862">
        <v>100</v>
      </c>
      <c r="D78" s="1862">
        <f>C78-$K15</f>
        <v>98</v>
      </c>
      <c r="E78" s="1862">
        <f>D78-$K15</f>
        <v>96</v>
      </c>
      <c r="F78" s="1862">
        <f>E78-$K15</f>
        <v>94</v>
      </c>
      <c r="G78" s="1862">
        <f>F78-$K15</f>
        <v>92</v>
      </c>
      <c r="H78" s="1862"/>
      <c r="I78" s="1862"/>
      <c r="J78" s="1862"/>
      <c r="K78" s="1862"/>
      <c r="L78" s="1862"/>
      <c r="M78" s="1863"/>
      <c r="N78" s="3019"/>
      <c r="O78" s="3019"/>
      <c r="P78" s="2057"/>
      <c r="Q78" s="1821"/>
    </row>
    <row r="79" spans="1:17" ht="15" thickTop="1">
      <c r="A79" s="1853"/>
      <c r="B79" s="1858" t="s">
        <v>2320</v>
      </c>
      <c r="C79" s="579" t="s">
        <v>2315</v>
      </c>
      <c r="D79" s="579" t="s">
        <v>2316</v>
      </c>
      <c r="E79" s="579" t="s">
        <v>2317</v>
      </c>
      <c r="F79" s="579" t="s">
        <v>2318</v>
      </c>
      <c r="G79" s="579" t="s">
        <v>2319</v>
      </c>
      <c r="H79" s="1859"/>
      <c r="I79" s="1859"/>
      <c r="J79" s="1859"/>
      <c r="K79" s="428"/>
      <c r="L79" s="428"/>
      <c r="M79" s="1860"/>
      <c r="N79" s="3018"/>
      <c r="O79" s="3018"/>
      <c r="P79" s="2057"/>
      <c r="Q79" s="1821"/>
    </row>
    <row r="80" spans="1:17" ht="14.4" thickBot="1">
      <c r="A80" s="1853"/>
      <c r="B80" s="1861"/>
      <c r="C80" s="1862">
        <v>100</v>
      </c>
      <c r="D80" s="1862">
        <f>C80-$K17</f>
        <v>97</v>
      </c>
      <c r="E80" s="1862">
        <f>D80-$K17</f>
        <v>94</v>
      </c>
      <c r="F80" s="1862">
        <f>E80-$K17</f>
        <v>91</v>
      </c>
      <c r="G80" s="1862">
        <f>F80-$K17</f>
        <v>88</v>
      </c>
      <c r="H80" s="1862"/>
      <c r="I80" s="1862"/>
      <c r="J80" s="1862"/>
      <c r="K80" s="1862"/>
      <c r="L80" s="1862"/>
      <c r="M80" s="1863"/>
      <c r="N80" s="3019"/>
      <c r="O80" s="3019"/>
      <c r="P80" s="2057"/>
      <c r="Q80" s="1821"/>
    </row>
    <row r="81" spans="1:17" ht="15" thickTop="1">
      <c r="A81" s="1853"/>
      <c r="B81" s="1858" t="s">
        <v>2321</v>
      </c>
      <c r="C81" s="579" t="s">
        <v>2315</v>
      </c>
      <c r="D81" s="579" t="s">
        <v>2316</v>
      </c>
      <c r="E81" s="579" t="s">
        <v>2317</v>
      </c>
      <c r="F81" s="579" t="s">
        <v>2318</v>
      </c>
      <c r="G81" s="579" t="s">
        <v>2319</v>
      </c>
      <c r="H81" s="1859"/>
      <c r="I81" s="1859"/>
      <c r="J81" s="1859"/>
      <c r="K81" s="428"/>
      <c r="L81" s="428"/>
      <c r="M81" s="1860"/>
      <c r="N81" s="3018"/>
      <c r="O81" s="3018"/>
      <c r="P81" s="2057"/>
      <c r="Q81" s="1821"/>
    </row>
    <row r="82" spans="1:17" ht="14.4" thickBot="1">
      <c r="A82" s="1853"/>
      <c r="B82" s="1861"/>
      <c r="C82" s="1862">
        <v>100</v>
      </c>
      <c r="D82" s="1862">
        <f>C82-$K19</f>
        <v>98</v>
      </c>
      <c r="E82" s="1862">
        <f>D82-$K19</f>
        <v>96</v>
      </c>
      <c r="F82" s="1862">
        <f>E82-$K19</f>
        <v>94</v>
      </c>
      <c r="G82" s="1862">
        <f>F82-$K19</f>
        <v>92</v>
      </c>
      <c r="H82" s="1862"/>
      <c r="I82" s="1862"/>
      <c r="J82" s="1862"/>
      <c r="K82" s="1862"/>
      <c r="L82" s="1862"/>
      <c r="M82" s="1863"/>
      <c r="N82" s="3019"/>
      <c r="O82" s="3019"/>
      <c r="P82" s="2057"/>
      <c r="Q82" s="1821"/>
    </row>
    <row r="83" spans="1:17" ht="15" thickTop="1">
      <c r="A83" s="1853"/>
      <c r="B83" s="1864" t="s">
        <v>2364</v>
      </c>
      <c r="C83" s="1859" t="s">
        <v>2322</v>
      </c>
      <c r="D83" s="1859" t="s">
        <v>2323</v>
      </c>
      <c r="E83" s="1859" t="s">
        <v>2324</v>
      </c>
      <c r="F83" s="1859" t="s">
        <v>2325</v>
      </c>
      <c r="G83" s="1859" t="s">
        <v>2326</v>
      </c>
      <c r="H83" s="1859"/>
      <c r="I83" s="1859"/>
      <c r="J83" s="1859"/>
      <c r="K83" s="1859"/>
      <c r="L83" s="1859"/>
      <c r="M83" s="1887"/>
      <c r="N83" s="3019"/>
      <c r="O83" s="3019"/>
      <c r="P83" s="2057"/>
      <c r="Q83" s="1821"/>
    </row>
    <row r="84" spans="1:17" ht="14.4" thickBot="1">
      <c r="A84" s="1853"/>
      <c r="B84" s="1864"/>
      <c r="C84" s="1862">
        <v>100</v>
      </c>
      <c r="D84" s="1862">
        <f>C84-$K21</f>
        <v>98</v>
      </c>
      <c r="E84" s="1862">
        <f>D84-$K21</f>
        <v>96</v>
      </c>
      <c r="F84" s="1862">
        <f>E84-$K21</f>
        <v>94</v>
      </c>
      <c r="G84" s="1862">
        <f>F84-$K21</f>
        <v>92</v>
      </c>
      <c r="H84" s="1888"/>
      <c r="I84" s="1888"/>
      <c r="J84" s="1888"/>
      <c r="K84" s="1888"/>
      <c r="L84" s="1888"/>
      <c r="M84" s="1735"/>
      <c r="N84" s="3019"/>
      <c r="O84" s="3019"/>
      <c r="P84" s="2057"/>
      <c r="Q84" s="1821"/>
    </row>
    <row r="85" spans="1:17" ht="15" thickTop="1">
      <c r="A85" s="1853"/>
      <c r="B85" s="1858" t="s">
        <v>2403</v>
      </c>
      <c r="C85" s="579" t="s">
        <v>2315</v>
      </c>
      <c r="D85" s="579" t="s">
        <v>2316</v>
      </c>
      <c r="E85" s="579" t="s">
        <v>2317</v>
      </c>
      <c r="F85" s="579" t="s">
        <v>2318</v>
      </c>
      <c r="G85" s="579" t="s">
        <v>2319</v>
      </c>
      <c r="H85" s="1859"/>
      <c r="I85" s="1859"/>
      <c r="J85" s="1859"/>
      <c r="K85" s="428"/>
      <c r="L85" s="428"/>
      <c r="M85" s="1860"/>
      <c r="N85" s="3018"/>
      <c r="O85" s="3018"/>
      <c r="P85" s="2057"/>
      <c r="Q85" s="1821"/>
    </row>
    <row r="86" spans="1:17" ht="14.4" thickBot="1">
      <c r="A86" s="1853"/>
      <c r="B86" s="1861"/>
      <c r="C86" s="1862">
        <v>100</v>
      </c>
      <c r="D86" s="1862">
        <f>C86-$K23</f>
        <v>98</v>
      </c>
      <c r="E86" s="1862">
        <f>D86-$K23</f>
        <v>96</v>
      </c>
      <c r="F86" s="1862">
        <f>E86-$K23</f>
        <v>94</v>
      </c>
      <c r="G86" s="1862">
        <f>F86-$K23</f>
        <v>92</v>
      </c>
      <c r="H86" s="1862"/>
      <c r="I86" s="1862"/>
      <c r="J86" s="1862"/>
      <c r="K86" s="1862"/>
      <c r="L86" s="1862"/>
      <c r="M86" s="1863"/>
      <c r="N86" s="3019"/>
      <c r="O86" s="3019"/>
      <c r="P86" s="2057"/>
      <c r="Q86" s="1821"/>
    </row>
    <row r="87" spans="1:17" s="1685" customFormat="1" ht="29.4" thickTop="1">
      <c r="A87" s="1889"/>
      <c r="B87" s="1858" t="s">
        <v>2404</v>
      </c>
      <c r="C87" s="3152" t="s">
        <v>2930</v>
      </c>
      <c r="D87" s="3152" t="s">
        <v>2918</v>
      </c>
      <c r="E87" s="3152" t="s">
        <v>2920</v>
      </c>
      <c r="F87" s="468"/>
      <c r="G87" s="468"/>
      <c r="H87" s="468"/>
      <c r="I87" s="468"/>
      <c r="J87" s="468"/>
      <c r="K87" s="468"/>
      <c r="L87" s="468"/>
      <c r="M87" s="1890"/>
      <c r="N87" s="3017"/>
      <c r="O87" s="3017"/>
      <c r="P87" s="2057"/>
      <c r="Q87" s="1821"/>
    </row>
    <row r="88" spans="1:17" s="1685" customFormat="1" ht="14.4"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9"/>
      <c r="O88" s="3019"/>
      <c r="P88" s="2057"/>
      <c r="Q88" s="1821"/>
    </row>
    <row r="89" spans="1:17" s="1685" customFormat="1" ht="15" thickTop="1">
      <c r="A89" s="1889"/>
      <c r="B89" s="1858" t="str">
        <f>B27</f>
        <v>楼层</v>
      </c>
      <c r="C89" s="3152" t="s">
        <v>2935</v>
      </c>
      <c r="D89" s="3152" t="s">
        <v>2937</v>
      </c>
      <c r="E89" s="3152" t="s">
        <v>2938</v>
      </c>
      <c r="F89" s="1892"/>
      <c r="G89" s="468"/>
      <c r="H89" s="468"/>
      <c r="I89" s="468"/>
      <c r="J89" s="468"/>
      <c r="K89" s="468"/>
      <c r="L89" s="468"/>
      <c r="M89" s="1890"/>
      <c r="N89" s="3017"/>
      <c r="O89" s="3017"/>
      <c r="P89" s="2057"/>
      <c r="Q89" s="1821"/>
    </row>
    <row r="90" spans="1:17" s="1685" customFormat="1" ht="14.4"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9"/>
      <c r="O90" s="3019"/>
      <c r="P90" s="2057"/>
      <c r="Q90" s="1821"/>
    </row>
    <row r="91" spans="1:17" s="1771" customFormat="1" ht="14.4" thickTop="1">
      <c r="A91" s="1869"/>
      <c r="B91" s="1858" t="str">
        <f>B28</f>
        <v>朝向</v>
      </c>
      <c r="C91" s="468"/>
      <c r="D91" s="468"/>
      <c r="E91" s="468"/>
      <c r="F91" s="468"/>
      <c r="G91" s="468"/>
      <c r="H91" s="443"/>
      <c r="I91" s="443"/>
      <c r="J91" s="443"/>
      <c r="K91" s="443"/>
      <c r="L91" s="443"/>
      <c r="M91" s="1870"/>
      <c r="N91" s="3020"/>
      <c r="O91" s="3020"/>
      <c r="P91" s="2058"/>
      <c r="Q91" s="1873"/>
    </row>
    <row r="92" spans="1:17" s="1771" customFormat="1" ht="14.4"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20"/>
      <c r="O92" s="3020"/>
      <c r="P92" s="2058"/>
      <c r="Q92" s="1873"/>
    </row>
    <row r="93" spans="1:17" ht="14.4" thickTop="1">
      <c r="A93" s="1853"/>
      <c r="B93" s="1858">
        <f>B29</f>
        <v>111</v>
      </c>
      <c r="C93" s="468"/>
      <c r="D93" s="468"/>
      <c r="E93" s="468"/>
      <c r="F93" s="468"/>
      <c r="G93" s="468"/>
      <c r="H93" s="468"/>
      <c r="I93" s="468"/>
      <c r="J93" s="468"/>
      <c r="K93" s="468"/>
      <c r="L93" s="468"/>
      <c r="M93" s="1890"/>
      <c r="N93" s="3018"/>
      <c r="O93" s="3018"/>
      <c r="P93" s="2057"/>
      <c r="Q93" s="1821"/>
    </row>
    <row r="94" spans="1:17" ht="14.4" thickBot="1">
      <c r="A94" s="1853"/>
      <c r="B94" s="1861"/>
      <c r="C94" s="1874"/>
      <c r="D94" s="1855"/>
      <c r="E94" s="1855"/>
      <c r="F94" s="1855"/>
      <c r="G94" s="1855"/>
      <c r="H94" s="1855"/>
      <c r="I94" s="1855"/>
      <c r="J94" s="1855"/>
      <c r="K94" s="1855"/>
      <c r="L94" s="1855"/>
      <c r="M94" s="1856"/>
      <c r="N94" s="3019"/>
      <c r="O94" s="3019"/>
      <c r="P94" s="2057"/>
      <c r="Q94" s="1821"/>
    </row>
    <row r="95" spans="1:17" ht="14.4" thickTop="1">
      <c r="A95" s="1853"/>
      <c r="B95" s="1858">
        <f>B30</f>
        <v>111</v>
      </c>
      <c r="C95" s="468"/>
      <c r="D95" s="468"/>
      <c r="E95" s="468"/>
      <c r="F95" s="468"/>
      <c r="G95" s="1578"/>
      <c r="H95" s="1578"/>
      <c r="I95" s="1578"/>
      <c r="J95" s="1578"/>
      <c r="K95" s="473"/>
      <c r="L95" s="473"/>
      <c r="M95" s="1893"/>
      <c r="N95" s="3018"/>
      <c r="O95" s="3018"/>
      <c r="P95" s="2057"/>
      <c r="Q95" s="1821"/>
    </row>
    <row r="96" spans="1:17" ht="14.4" thickBot="1">
      <c r="A96" s="1853"/>
      <c r="B96" s="1861"/>
      <c r="C96" s="1874"/>
      <c r="D96" s="1874"/>
      <c r="E96" s="1874"/>
      <c r="F96" s="1874"/>
      <c r="G96" s="1855"/>
      <c r="H96" s="1855"/>
      <c r="I96" s="1855"/>
      <c r="J96" s="1855"/>
      <c r="K96" s="1855"/>
      <c r="L96" s="1855"/>
      <c r="M96" s="1856"/>
      <c r="N96" s="3019"/>
      <c r="O96" s="3019"/>
      <c r="P96" s="2057"/>
      <c r="Q96" s="1821"/>
    </row>
    <row r="97" spans="1:17" ht="14.4" thickTop="1">
      <c r="A97" s="1853"/>
      <c r="B97" s="1858">
        <f>B31</f>
        <v>111</v>
      </c>
      <c r="C97" s="468"/>
      <c r="D97" s="468"/>
      <c r="E97" s="468"/>
      <c r="F97" s="468"/>
      <c r="G97" s="1578"/>
      <c r="H97" s="1578"/>
      <c r="I97" s="1578"/>
      <c r="J97" s="1578"/>
      <c r="K97" s="473"/>
      <c r="L97" s="473"/>
      <c r="M97" s="1893"/>
      <c r="N97" s="3018"/>
      <c r="O97" s="3018"/>
      <c r="P97" s="2057"/>
      <c r="Q97" s="1821"/>
    </row>
    <row r="98" spans="1:17" ht="14.4" thickBot="1">
      <c r="A98" s="1853"/>
      <c r="B98" s="1861"/>
      <c r="C98" s="1874"/>
      <c r="D98" s="1855"/>
      <c r="E98" s="1855"/>
      <c r="F98" s="1855"/>
      <c r="G98" s="1855"/>
      <c r="H98" s="1855"/>
      <c r="I98" s="1855"/>
      <c r="J98" s="1855"/>
      <c r="K98" s="1855"/>
      <c r="L98" s="1855"/>
      <c r="M98" s="1856"/>
      <c r="N98" s="3019"/>
      <c r="O98" s="3019"/>
      <c r="P98" s="2057"/>
      <c r="Q98" s="1821"/>
    </row>
    <row r="99" spans="1:17" ht="14.4" thickTop="1">
      <c r="A99" s="1853"/>
      <c r="B99" s="1864">
        <f>B32</f>
        <v>111</v>
      </c>
      <c r="C99" s="409"/>
      <c r="D99" s="409"/>
      <c r="E99" s="409"/>
      <c r="F99" s="409"/>
      <c r="G99" s="1894"/>
      <c r="H99" s="1894"/>
      <c r="I99" s="1894"/>
      <c r="J99" s="1894"/>
      <c r="K99" s="477"/>
      <c r="L99" s="477"/>
      <c r="M99" s="1895"/>
      <c r="N99" s="3018"/>
      <c r="O99" s="3018"/>
      <c r="P99" s="2057"/>
      <c r="Q99" s="1821"/>
    </row>
    <row r="100" spans="1:17" ht="14.4" thickBot="1">
      <c r="A100" s="1896"/>
      <c r="B100" s="1881"/>
      <c r="C100" s="1882"/>
      <c r="D100" s="1882"/>
      <c r="E100" s="1882"/>
      <c r="F100" s="1882"/>
      <c r="G100" s="1897"/>
      <c r="H100" s="1897"/>
      <c r="I100" s="1897"/>
      <c r="J100" s="1897"/>
      <c r="K100" s="1897"/>
      <c r="L100" s="1897"/>
      <c r="M100" s="1898"/>
      <c r="N100" s="3019"/>
      <c r="O100" s="3019"/>
      <c r="P100" s="2057"/>
      <c r="Q100" s="1821"/>
    </row>
    <row r="101" spans="1:17" ht="14.4">
      <c r="A101" s="1846" t="s">
        <v>2282</v>
      </c>
      <c r="B101" s="1847" t="s">
        <v>2330</v>
      </c>
      <c r="C101" s="1849"/>
      <c r="D101" s="1849"/>
      <c r="E101" s="1849"/>
      <c r="F101" s="1849"/>
      <c r="G101" s="1849"/>
      <c r="H101" s="1849"/>
      <c r="I101" s="1849"/>
      <c r="J101" s="1849"/>
      <c r="K101" s="417"/>
      <c r="L101" s="417"/>
      <c r="M101" s="1850"/>
      <c r="N101" s="3018"/>
      <c r="O101" s="3018"/>
      <c r="P101" s="2057"/>
      <c r="Q101" s="1821"/>
    </row>
    <row r="102" spans="1:17" ht="14.4"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9"/>
      <c r="O102" s="3019"/>
      <c r="P102" s="2057"/>
      <c r="Q102" s="1821"/>
    </row>
    <row r="103" spans="1:17" ht="15" thickTop="1">
      <c r="A103" s="1853"/>
      <c r="B103" s="1858" t="s">
        <v>2331</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7"/>
      <c r="O103" s="3017"/>
      <c r="P103" s="2057"/>
      <c r="Q103" s="1821"/>
    </row>
    <row r="104" spans="1:17" s="1771" customFormat="1">
      <c r="A104" s="1899"/>
      <c r="B104" s="1900"/>
      <c r="C104" s="1901">
        <v>0</v>
      </c>
      <c r="D104" s="1901"/>
      <c r="E104" s="1901"/>
      <c r="F104" s="1901"/>
      <c r="G104" s="1901"/>
      <c r="H104" s="1901"/>
      <c r="I104" s="1901"/>
      <c r="J104" s="485"/>
      <c r="K104" s="485"/>
      <c r="L104" s="485"/>
      <c r="M104" s="1902"/>
      <c r="N104" s="3020"/>
      <c r="O104" s="3020"/>
      <c r="P104" s="2058"/>
      <c r="Q104" s="1873"/>
    </row>
    <row r="105" spans="1:17" s="1771" customFormat="1" ht="14.4" thickBot="1">
      <c r="A105" s="1869"/>
      <c r="B105" s="1861"/>
      <c r="C105" s="1874"/>
      <c r="D105" s="1855"/>
      <c r="E105" s="1855"/>
      <c r="F105" s="1855"/>
      <c r="G105" s="1855"/>
      <c r="H105" s="1855"/>
      <c r="I105" s="1855"/>
      <c r="J105" s="1855"/>
      <c r="K105" s="1855"/>
      <c r="L105" s="1855"/>
      <c r="M105" s="1856"/>
      <c r="N105" s="3019"/>
      <c r="O105" s="3019"/>
      <c r="P105" s="2058"/>
      <c r="Q105" s="1873"/>
    </row>
    <row r="106" spans="1:17" ht="15" thickTop="1">
      <c r="A106" s="1903"/>
      <c r="B106" s="1858" t="s">
        <v>2332</v>
      </c>
      <c r="C106" s="468"/>
      <c r="D106" s="468"/>
      <c r="E106" s="1578"/>
      <c r="F106" s="1578"/>
      <c r="G106" s="1578"/>
      <c r="H106" s="1578"/>
      <c r="I106" s="1578"/>
      <c r="J106" s="1578"/>
      <c r="K106" s="473"/>
      <c r="L106" s="473"/>
      <c r="M106" s="1893"/>
      <c r="N106" s="3018"/>
      <c r="O106" s="3018"/>
      <c r="P106" s="2057"/>
      <c r="Q106" s="1821"/>
    </row>
    <row r="107" spans="1:17" ht="14.4"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9"/>
      <c r="O107" s="3019"/>
      <c r="P107" s="2057"/>
      <c r="Q107" s="1821"/>
    </row>
    <row r="108" spans="1:17" ht="15" thickTop="1">
      <c r="A108" s="1903"/>
      <c r="B108" s="1858" t="s">
        <v>2334</v>
      </c>
      <c r="C108" s="3152" t="s">
        <v>2944</v>
      </c>
      <c r="D108" s="468"/>
      <c r="E108" s="468"/>
      <c r="F108" s="1578"/>
      <c r="G108" s="1578"/>
      <c r="H108" s="1578"/>
      <c r="I108" s="1578"/>
      <c r="J108" s="1578"/>
      <c r="K108" s="473"/>
      <c r="L108" s="473"/>
      <c r="M108" s="1893"/>
      <c r="N108" s="3018"/>
      <c r="O108" s="3018"/>
      <c r="P108" s="2057"/>
      <c r="Q108" s="1821"/>
    </row>
    <row r="109" spans="1:17" ht="14.4"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9"/>
      <c r="O109" s="3019"/>
      <c r="P109" s="2057"/>
      <c r="Q109" s="1821"/>
    </row>
    <row r="110" spans="1:17" ht="15" thickTop="1">
      <c r="A110" s="1903"/>
      <c r="B110" s="1858" t="s">
        <v>2335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8"/>
      <c r="O110" s="3018"/>
      <c r="P110" s="2057"/>
      <c r="Q110" s="1821"/>
    </row>
    <row r="111" spans="1:17">
      <c r="A111" s="1903"/>
      <c r="B111" s="1864"/>
      <c r="C111" s="1905">
        <v>0.5</v>
      </c>
      <c r="D111" s="1905">
        <v>0.6</v>
      </c>
      <c r="E111" s="1905">
        <v>0.7</v>
      </c>
      <c r="F111" s="1905">
        <v>0.8</v>
      </c>
      <c r="G111" s="1905">
        <v>0.9</v>
      </c>
      <c r="H111" s="1905">
        <v>1</v>
      </c>
      <c r="I111" s="2486"/>
      <c r="J111" s="2486"/>
      <c r="K111" s="508"/>
      <c r="L111" s="508"/>
      <c r="M111" s="2487"/>
      <c r="N111" s="3018"/>
      <c r="O111" s="3018"/>
      <c r="P111" s="2057"/>
      <c r="Q111" s="1821"/>
    </row>
    <row r="112" spans="1:17" ht="14.4"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9"/>
      <c r="O112" s="3019"/>
      <c r="P112" s="2057"/>
      <c r="Q112" s="1821"/>
    </row>
    <row r="113" spans="1:17" s="1771" customFormat="1" ht="15" thickTop="1">
      <c r="A113" s="1899"/>
      <c r="B113" s="1858" t="s">
        <v>2405</v>
      </c>
      <c r="C113" s="3152" t="s">
        <v>2940</v>
      </c>
      <c r="D113" s="3152" t="s">
        <v>2942</v>
      </c>
      <c r="E113" s="468"/>
      <c r="F113" s="468"/>
      <c r="G113" s="468"/>
      <c r="H113" s="1578"/>
      <c r="I113" s="1578"/>
      <c r="J113" s="1578"/>
      <c r="K113" s="473"/>
      <c r="L113" s="473"/>
      <c r="M113" s="1893"/>
      <c r="N113" s="3020"/>
      <c r="O113" s="3020"/>
      <c r="P113" s="2058"/>
      <c r="Q113" s="1873"/>
    </row>
    <row r="114" spans="1:17" s="1771" customFormat="1" ht="14.4" thickBot="1">
      <c r="A114" s="1869"/>
      <c r="B114" s="1861"/>
      <c r="C114" s="1862">
        <v>100</v>
      </c>
      <c r="D114" s="1862">
        <f>C114-$K38</f>
        <v>97</v>
      </c>
      <c r="E114" s="1862">
        <f t="shared" ref="E114:M114" si="27">D114-$K38</f>
        <v>94</v>
      </c>
      <c r="F114" s="1862">
        <f t="shared" si="27"/>
        <v>91</v>
      </c>
      <c r="G114" s="1862">
        <f t="shared" si="27"/>
        <v>88</v>
      </c>
      <c r="H114" s="1862">
        <f t="shared" si="27"/>
        <v>85</v>
      </c>
      <c r="I114" s="1862">
        <f t="shared" si="27"/>
        <v>82</v>
      </c>
      <c r="J114" s="1862">
        <f t="shared" si="27"/>
        <v>79</v>
      </c>
      <c r="K114" s="1862">
        <f t="shared" si="27"/>
        <v>76</v>
      </c>
      <c r="L114" s="1862">
        <f t="shared" si="27"/>
        <v>73</v>
      </c>
      <c r="M114" s="1862">
        <f t="shared" si="27"/>
        <v>70</v>
      </c>
      <c r="N114" s="3020"/>
      <c r="O114" s="3020"/>
      <c r="P114" s="2058"/>
      <c r="Q114" s="1873"/>
    </row>
    <row r="115" spans="1:17" ht="15" thickTop="1">
      <c r="A115" s="1903"/>
      <c r="B115" s="1858" t="s">
        <v>2336</v>
      </c>
      <c r="C115" s="3152" t="s">
        <v>2946</v>
      </c>
      <c r="D115" s="468"/>
      <c r="E115" s="1578"/>
      <c r="F115" s="1578"/>
      <c r="G115" s="1578"/>
      <c r="H115" s="1578"/>
      <c r="I115" s="1578"/>
      <c r="J115" s="1578"/>
      <c r="K115" s="473"/>
      <c r="L115" s="473"/>
      <c r="M115" s="1893"/>
      <c r="N115" s="3018"/>
      <c r="O115" s="3018"/>
      <c r="P115" s="2057"/>
      <c r="Q115" s="1821"/>
    </row>
    <row r="116" spans="1:17" ht="14.4" thickBot="1">
      <c r="A116" s="1853"/>
      <c r="B116" s="1861"/>
      <c r="C116" s="1862">
        <v>100</v>
      </c>
      <c r="D116" s="1862">
        <f t="shared" ref="D116:M116" si="28">C116-$K39</f>
        <v>98</v>
      </c>
      <c r="E116" s="1862">
        <f t="shared" si="28"/>
        <v>96</v>
      </c>
      <c r="F116" s="1862">
        <f t="shared" si="28"/>
        <v>94</v>
      </c>
      <c r="G116" s="1862">
        <f t="shared" si="28"/>
        <v>92</v>
      </c>
      <c r="H116" s="1862">
        <f t="shared" si="28"/>
        <v>90</v>
      </c>
      <c r="I116" s="1862">
        <f t="shared" si="28"/>
        <v>88</v>
      </c>
      <c r="J116" s="1862">
        <f t="shared" si="28"/>
        <v>86</v>
      </c>
      <c r="K116" s="1862">
        <f t="shared" si="28"/>
        <v>84</v>
      </c>
      <c r="L116" s="1862">
        <f t="shared" si="28"/>
        <v>82</v>
      </c>
      <c r="M116" s="1863">
        <f t="shared" si="28"/>
        <v>80</v>
      </c>
      <c r="N116" s="3019"/>
      <c r="O116" s="3019"/>
      <c r="P116" s="2057"/>
      <c r="Q116" s="1821"/>
    </row>
    <row r="117" spans="1:17" ht="15" thickTop="1">
      <c r="A117" s="1903"/>
      <c r="B117" s="1858" t="s">
        <v>2337</v>
      </c>
      <c r="C117" s="3152" t="s">
        <v>2947</v>
      </c>
      <c r="D117" s="468"/>
      <c r="E117" s="468"/>
      <c r="F117" s="468"/>
      <c r="G117" s="468"/>
      <c r="H117" s="1578"/>
      <c r="I117" s="1578"/>
      <c r="J117" s="1578"/>
      <c r="K117" s="473"/>
      <c r="L117" s="473"/>
      <c r="M117" s="1893"/>
      <c r="N117" s="3018"/>
      <c r="O117" s="3018"/>
      <c r="P117" s="2057"/>
      <c r="Q117" s="1821"/>
    </row>
    <row r="118" spans="1:17" ht="14.4" thickBot="1">
      <c r="A118" s="1853"/>
      <c r="B118" s="1861"/>
      <c r="C118" s="1862">
        <v>100</v>
      </c>
      <c r="D118" s="1862">
        <f>C118-$K40</f>
        <v>99</v>
      </c>
      <c r="E118" s="1862">
        <f>D118-$K40</f>
        <v>98</v>
      </c>
      <c r="F118" s="1862">
        <f>E118-$K40</f>
        <v>97</v>
      </c>
      <c r="G118" s="1862">
        <f>F118-$K40</f>
        <v>96</v>
      </c>
      <c r="H118" s="1862"/>
      <c r="I118" s="1862"/>
      <c r="J118" s="1862"/>
      <c r="K118" s="1862"/>
      <c r="L118" s="1862"/>
      <c r="M118" s="1863"/>
      <c r="N118" s="3019"/>
      <c r="O118" s="3019"/>
      <c r="P118" s="2057"/>
      <c r="Q118" s="1821"/>
    </row>
    <row r="119" spans="1:17" ht="15" thickTop="1">
      <c r="A119" s="1903"/>
      <c r="B119" s="2508" t="s">
        <v>2406</v>
      </c>
      <c r="C119" s="3158" t="s">
        <v>2949</v>
      </c>
      <c r="D119" s="1578"/>
      <c r="E119" s="1578"/>
      <c r="F119" s="1578"/>
      <c r="G119" s="1578"/>
      <c r="H119" s="1578"/>
      <c r="I119" s="1578"/>
      <c r="J119" s="1578"/>
      <c r="K119" s="1578"/>
      <c r="L119" s="1578"/>
      <c r="M119" s="2509"/>
      <c r="N119" s="3019"/>
      <c r="O119" s="3019"/>
      <c r="P119" s="2510"/>
      <c r="Q119" s="2511"/>
    </row>
    <row r="120" spans="1:17" ht="14.4" thickBot="1">
      <c r="A120" s="1853"/>
      <c r="B120" s="1861"/>
      <c r="C120" s="1891">
        <v>100</v>
      </c>
      <c r="D120" s="1862">
        <f>C120-$K41</f>
        <v>98</v>
      </c>
      <c r="E120" s="1862">
        <f t="shared" ref="E120:M120" si="29">D120-$K41</f>
        <v>96</v>
      </c>
      <c r="F120" s="1862">
        <f t="shared" si="29"/>
        <v>94</v>
      </c>
      <c r="G120" s="1862">
        <f t="shared" si="29"/>
        <v>92</v>
      </c>
      <c r="H120" s="1862">
        <f t="shared" si="29"/>
        <v>90</v>
      </c>
      <c r="I120" s="1862">
        <f t="shared" si="29"/>
        <v>88</v>
      </c>
      <c r="J120" s="1862">
        <f t="shared" si="29"/>
        <v>86</v>
      </c>
      <c r="K120" s="1862">
        <f t="shared" si="29"/>
        <v>84</v>
      </c>
      <c r="L120" s="1862">
        <f t="shared" si="29"/>
        <v>82</v>
      </c>
      <c r="M120" s="1862">
        <f t="shared" si="29"/>
        <v>80</v>
      </c>
      <c r="N120" s="3019"/>
      <c r="O120" s="3019"/>
      <c r="P120" s="2057"/>
      <c r="Q120" s="1821"/>
    </row>
    <row r="121" spans="1:17" s="1771" customFormat="1" ht="15" thickTop="1">
      <c r="A121" s="1899"/>
      <c r="B121" s="1858" t="s">
        <v>2388</v>
      </c>
      <c r="C121" s="468"/>
      <c r="D121" s="468"/>
      <c r="E121" s="468"/>
      <c r="F121" s="1578"/>
      <c r="G121" s="443"/>
      <c r="H121" s="443"/>
      <c r="I121" s="443"/>
      <c r="J121" s="443"/>
      <c r="K121" s="443"/>
      <c r="L121" s="443"/>
      <c r="M121" s="1870"/>
      <c r="N121" s="3020"/>
      <c r="O121" s="3020"/>
      <c r="P121" s="2058"/>
      <c r="Q121" s="1873"/>
    </row>
    <row r="122" spans="1:17" s="1771" customFormat="1" ht="14.4" thickBot="1">
      <c r="A122" s="1869"/>
      <c r="B122" s="1854"/>
      <c r="C122" s="1874"/>
      <c r="D122" s="1874"/>
      <c r="E122" s="1874"/>
      <c r="F122" s="1874"/>
      <c r="G122" s="1874"/>
      <c r="H122" s="1874"/>
      <c r="I122" s="1874"/>
      <c r="J122" s="1874"/>
      <c r="K122" s="1874"/>
      <c r="L122" s="1874"/>
      <c r="M122" s="1874"/>
      <c r="N122" s="3020"/>
      <c r="O122" s="3020"/>
      <c r="P122" s="2058"/>
      <c r="Q122" s="1873"/>
    </row>
    <row r="123" spans="1:17" ht="15" thickTop="1">
      <c r="A123" s="1903"/>
      <c r="B123" s="1858" t="s">
        <v>2339</v>
      </c>
      <c r="C123" s="3152" t="s">
        <v>2944</v>
      </c>
      <c r="D123" s="468"/>
      <c r="E123" s="468"/>
      <c r="F123" s="1578"/>
      <c r="G123" s="1578"/>
      <c r="H123" s="1578"/>
      <c r="I123" s="1578"/>
      <c r="J123" s="1578"/>
      <c r="K123" s="473"/>
      <c r="L123" s="473"/>
      <c r="M123" s="1893"/>
      <c r="N123" s="3018"/>
      <c r="O123" s="3018"/>
      <c r="P123" s="2057"/>
      <c r="Q123" s="1821"/>
    </row>
    <row r="124" spans="1:17" ht="14.4"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9"/>
      <c r="O124" s="3019"/>
      <c r="P124" s="2057"/>
      <c r="Q124" s="1821"/>
    </row>
    <row r="125" spans="1:17" ht="29.4" thickTop="1">
      <c r="A125" s="1903"/>
      <c r="B125" s="1858" t="s">
        <v>2340</v>
      </c>
      <c r="C125" s="579" t="s">
        <v>2315</v>
      </c>
      <c r="D125" s="579" t="s">
        <v>2316</v>
      </c>
      <c r="E125" s="579" t="s">
        <v>2317</v>
      </c>
      <c r="F125" s="579" t="s">
        <v>2318</v>
      </c>
      <c r="G125" s="579" t="s">
        <v>2319</v>
      </c>
      <c r="H125" s="1859"/>
      <c r="I125" s="1859"/>
      <c r="J125" s="1859"/>
      <c r="K125" s="428"/>
      <c r="L125" s="428"/>
      <c r="M125" s="1860"/>
      <c r="N125" s="3018"/>
      <c r="O125" s="3018"/>
      <c r="P125" s="2058"/>
      <c r="Q125" s="1821"/>
    </row>
    <row r="126" spans="1:17" ht="14.4"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9"/>
      <c r="O126" s="3019"/>
      <c r="P126" s="2057"/>
      <c r="Q126" s="1821"/>
    </row>
    <row r="127" spans="1:17" s="1771" customFormat="1" ht="14.4" thickTop="1">
      <c r="A127" s="1899"/>
      <c r="B127" s="1858">
        <f>B45</f>
        <v>111</v>
      </c>
      <c r="C127" s="468"/>
      <c r="D127" s="468"/>
      <c r="E127" s="468"/>
      <c r="F127" s="468"/>
      <c r="G127" s="468"/>
      <c r="H127" s="443"/>
      <c r="I127" s="443"/>
      <c r="J127" s="443"/>
      <c r="K127" s="443"/>
      <c r="L127" s="443"/>
      <c r="M127" s="1870"/>
      <c r="N127" s="3020"/>
      <c r="O127" s="3020"/>
      <c r="P127" s="2058"/>
      <c r="Q127" s="1873"/>
    </row>
    <row r="128" spans="1:17" s="1771" customFormat="1" ht="14.4" thickBot="1">
      <c r="A128" s="1869"/>
      <c r="B128" s="1861"/>
      <c r="C128" s="1874"/>
      <c r="D128" s="1855"/>
      <c r="E128" s="1855"/>
      <c r="F128" s="1855"/>
      <c r="G128" s="1874"/>
      <c r="H128" s="1877"/>
      <c r="I128" s="1877"/>
      <c r="J128" s="1877"/>
      <c r="K128" s="1877"/>
      <c r="L128" s="1877"/>
      <c r="M128" s="1878"/>
      <c r="N128" s="3020"/>
      <c r="O128" s="3020"/>
      <c r="P128" s="2058"/>
      <c r="Q128" s="1873"/>
    </row>
    <row r="129" spans="1:17" ht="14.4" thickTop="1">
      <c r="A129" s="1903"/>
      <c r="B129" s="1858">
        <f>B46</f>
        <v>111</v>
      </c>
      <c r="C129" s="468"/>
      <c r="D129" s="468"/>
      <c r="E129" s="468"/>
      <c r="F129" s="468"/>
      <c r="G129" s="1578"/>
      <c r="H129" s="1578"/>
      <c r="I129" s="1578"/>
      <c r="J129" s="1578"/>
      <c r="K129" s="473"/>
      <c r="L129" s="473"/>
      <c r="M129" s="1893"/>
      <c r="N129" s="3018"/>
      <c r="O129" s="3018"/>
      <c r="P129" s="2057"/>
      <c r="Q129" s="1821"/>
    </row>
    <row r="130" spans="1:17" ht="14.4" thickBot="1">
      <c r="A130" s="1853"/>
      <c r="B130" s="1861"/>
      <c r="C130" s="1874"/>
      <c r="D130" s="1874"/>
      <c r="E130" s="1874"/>
      <c r="F130" s="1874"/>
      <c r="G130" s="1855"/>
      <c r="H130" s="1855"/>
      <c r="I130" s="1855"/>
      <c r="J130" s="1855"/>
      <c r="K130" s="1855"/>
      <c r="L130" s="1855"/>
      <c r="M130" s="1856"/>
      <c r="N130" s="3019"/>
      <c r="O130" s="3019"/>
      <c r="P130" s="2057"/>
      <c r="Q130" s="1821"/>
    </row>
    <row r="131" spans="1:17" ht="14.4" thickTop="1">
      <c r="A131" s="1903"/>
      <c r="B131" s="1864">
        <f>B47</f>
        <v>111</v>
      </c>
      <c r="C131" s="409"/>
      <c r="D131" s="409"/>
      <c r="E131" s="409"/>
      <c r="F131" s="409"/>
      <c r="G131" s="1894"/>
      <c r="H131" s="1894"/>
      <c r="I131" s="1894"/>
      <c r="J131" s="1894"/>
      <c r="K131" s="409"/>
      <c r="L131" s="409"/>
      <c r="M131" s="1895"/>
      <c r="N131" s="3018"/>
      <c r="O131" s="3018"/>
      <c r="P131" s="2057"/>
      <c r="Q131" s="1821"/>
    </row>
    <row r="132" spans="1:17" ht="14.4" thickBot="1">
      <c r="A132" s="2512"/>
      <c r="B132" s="1881"/>
      <c r="C132" s="1882"/>
      <c r="D132" s="1882"/>
      <c r="E132" s="1882"/>
      <c r="F132" s="1882"/>
      <c r="G132" s="1897"/>
      <c r="H132" s="1897"/>
      <c r="I132" s="1897"/>
      <c r="J132" s="1897"/>
      <c r="K132" s="1897"/>
      <c r="L132" s="1897"/>
      <c r="M132" s="1898"/>
      <c r="N132" s="3019"/>
      <c r="O132" s="3019"/>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2249</v>
      </c>
      <c r="B1" s="1226" t="s">
        <v>2407</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f>'数据-取费表'!B3</f>
        <v>0</v>
      </c>
      <c r="D2" s="1560"/>
      <c r="E2" s="1579" t="e">
        <f ca="1">SUMIF(INDIRECT("'"&amp;G2&amp;"'"&amp;"!A:A"),"承租人权益价值",INDIRECT("'"&amp;G2&amp;"'"&amp;"!c:c"))</f>
        <v>#REF!</v>
      </c>
      <c r="F2" s="1561">
        <f>C2</f>
        <v>0</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41" t="s">
        <v>2254</v>
      </c>
      <c r="D4" s="3542"/>
      <c r="E4" s="3543" t="s">
        <v>2255</v>
      </c>
      <c r="F4" s="3544"/>
      <c r="G4" s="3541" t="s">
        <v>2256</v>
      </c>
      <c r="H4" s="3542"/>
      <c r="I4" s="3541" t="s">
        <v>2257</v>
      </c>
      <c r="J4" s="3542"/>
      <c r="K4" s="496" t="s">
        <v>2258</v>
      </c>
      <c r="L4" s="3027"/>
      <c r="M4" s="3028"/>
      <c r="N4" s="3028"/>
      <c r="O4" s="3028"/>
      <c r="P4" s="3545" t="s">
        <v>2259</v>
      </c>
      <c r="Q4" s="3546"/>
      <c r="R4" s="3528" t="s">
        <v>2255</v>
      </c>
      <c r="S4" s="3529"/>
      <c r="T4" s="3528" t="s">
        <v>2256</v>
      </c>
      <c r="U4" s="3529"/>
      <c r="V4" s="3551" t="s">
        <v>2257</v>
      </c>
      <c r="W4" s="3551"/>
      <c r="X4" s="1335"/>
      <c r="Y4" s="3528" t="s">
        <v>2259</v>
      </c>
      <c r="Z4" s="3529"/>
      <c r="AA4" s="3538" t="s">
        <v>2255</v>
      </c>
      <c r="AB4" s="3539" t="s">
        <v>2256</v>
      </c>
      <c r="AC4" s="3538" t="s">
        <v>2257</v>
      </c>
    </row>
    <row r="5" spans="1:29">
      <c r="A5" s="297"/>
      <c r="B5" s="298"/>
      <c r="C5" s="3554" t="s">
        <v>2260</v>
      </c>
      <c r="D5" s="3555"/>
      <c r="E5" s="3552" t="s">
        <v>2261</v>
      </c>
      <c r="F5" s="3553"/>
      <c r="G5" s="3554" t="s">
        <v>2262</v>
      </c>
      <c r="H5" s="3555"/>
      <c r="I5" s="3554" t="s">
        <v>2263</v>
      </c>
      <c r="J5" s="3555"/>
      <c r="K5" s="496"/>
      <c r="L5" s="3027"/>
      <c r="M5" s="3028"/>
      <c r="N5" s="3028"/>
      <c r="O5" s="3028"/>
      <c r="P5" s="3547"/>
      <c r="Q5" s="3548"/>
      <c r="R5" s="3530"/>
      <c r="S5" s="3531"/>
      <c r="T5" s="3530"/>
      <c r="U5" s="3531"/>
      <c r="V5" s="3551"/>
      <c r="W5" s="3551"/>
      <c r="X5" s="1335"/>
      <c r="Y5" s="3530"/>
      <c r="Z5" s="3531"/>
      <c r="AA5" s="3539"/>
      <c r="AB5" s="3539"/>
      <c r="AC5" s="3539"/>
    </row>
    <row r="6" spans="1:29" ht="15" thickBot="1">
      <c r="A6" s="299"/>
      <c r="B6" s="300"/>
      <c r="C6" s="3556" t="s">
        <v>2264</v>
      </c>
      <c r="D6" s="3557"/>
      <c r="E6" s="3558" t="s">
        <v>2264</v>
      </c>
      <c r="F6" s="3559"/>
      <c r="G6" s="3556" t="s">
        <v>2264</v>
      </c>
      <c r="H6" s="3557"/>
      <c r="I6" s="3556" t="s">
        <v>2264</v>
      </c>
      <c r="J6" s="3557"/>
      <c r="K6" s="496" t="s">
        <v>2265</v>
      </c>
      <c r="L6" s="3027"/>
      <c r="M6" s="3028"/>
      <c r="N6" s="3028"/>
      <c r="O6" s="3028"/>
      <c r="P6" s="3549"/>
      <c r="Q6" s="3550"/>
      <c r="R6" s="3530"/>
      <c r="S6" s="3531"/>
      <c r="T6" s="3532"/>
      <c r="U6" s="3533"/>
      <c r="V6" s="3551"/>
      <c r="W6" s="3551"/>
      <c r="X6" s="1335"/>
      <c r="Y6" s="3532"/>
      <c r="Z6" s="3533"/>
      <c r="AA6" s="3540"/>
      <c r="AB6" s="3540"/>
      <c r="AC6" s="3540"/>
    </row>
    <row r="7" spans="1:29" s="25" customFormat="1" ht="15" thickBot="1">
      <c r="A7" s="301" t="s">
        <v>2266</v>
      </c>
      <c r="B7" s="302"/>
      <c r="C7" s="303">
        <f>'数据-取费表'!B2</f>
        <v>45558</v>
      </c>
      <c r="D7" s="304">
        <v>100</v>
      </c>
      <c r="E7" s="305"/>
      <c r="F7" s="306">
        <f>SUMIF(52:52,YEAR(E7)&amp;"-"&amp;MONTH(E7),53:53)</f>
        <v>0</v>
      </c>
      <c r="G7" s="305"/>
      <c r="H7" s="304">
        <f>SUMIF(52:52,YEAR(G7)&amp;"-"&amp;MONTH(G7),53:53)</f>
        <v>0</v>
      </c>
      <c r="I7" s="305"/>
      <c r="J7" s="304">
        <f>SUMIF(52:52,YEAR(I7)&amp;"-"&amp;MONTH(I7),53:53)</f>
        <v>0</v>
      </c>
      <c r="K7" s="497"/>
      <c r="L7" s="3029"/>
      <c r="M7" s="3030"/>
      <c r="N7" s="3030"/>
      <c r="O7" s="3030"/>
      <c r="P7" s="3526" t="s">
        <v>2267</v>
      </c>
      <c r="Q7" s="3534"/>
      <c r="R7" s="627" t="s">
        <v>25</v>
      </c>
      <c r="S7" s="628">
        <f t="shared" ref="S7:S15" si="0">F7</f>
        <v>0</v>
      </c>
      <c r="T7" s="627" t="s">
        <v>25</v>
      </c>
      <c r="U7" s="628">
        <f t="shared" ref="U7:U15" si="1">H7</f>
        <v>0</v>
      </c>
      <c r="V7" s="627" t="s">
        <v>25</v>
      </c>
      <c r="W7" s="628">
        <f t="shared" ref="W7:W15" si="2">J7</f>
        <v>0</v>
      </c>
      <c r="X7" s="629"/>
      <c r="Y7" s="3526" t="s">
        <v>2267</v>
      </c>
      <c r="Z7" s="3527"/>
      <c r="AA7" s="630" t="e">
        <f>D7/F7</f>
        <v>#DIV/0!</v>
      </c>
      <c r="AB7" s="630" t="e">
        <f>D7/H7</f>
        <v>#DIV/0!</v>
      </c>
      <c r="AC7" s="630" t="e">
        <f>D7/J7</f>
        <v>#DIV/0!</v>
      </c>
    </row>
    <row r="8" spans="1:29" s="25" customFormat="1" ht="1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526" t="s">
        <v>2270</v>
      </c>
      <c r="Q8" s="3527"/>
      <c r="R8" s="627" t="s">
        <v>25</v>
      </c>
      <c r="S8" s="628">
        <f t="shared" si="0"/>
        <v>0</v>
      </c>
      <c r="T8" s="627" t="s">
        <v>25</v>
      </c>
      <c r="U8" s="628">
        <f t="shared" si="1"/>
        <v>0</v>
      </c>
      <c r="V8" s="627" t="s">
        <v>25</v>
      </c>
      <c r="W8" s="628">
        <f t="shared" si="2"/>
        <v>0</v>
      </c>
      <c r="X8" s="629"/>
      <c r="Y8" s="3526" t="s">
        <v>2270</v>
      </c>
      <c r="Z8" s="3527"/>
      <c r="AA8" s="630" t="e">
        <f t="shared" ref="AA8:AA40" si="3">D8/F8</f>
        <v>#DIV/0!</v>
      </c>
      <c r="AB8" s="630" t="e">
        <f t="shared" ref="AB8:AB40" si="4">D8/H8</f>
        <v>#DIV/0!</v>
      </c>
      <c r="AC8" s="630" t="e">
        <f t="shared" ref="AC8:AC40" si="5">D8/J8</f>
        <v>#DIV/0!</v>
      </c>
    </row>
    <row r="9" spans="1:29" s="25" customFormat="1" ht="14.4">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518" t="s">
        <v>2273</v>
      </c>
      <c r="Q9" s="1327" t="str">
        <f t="shared" ref="Q9:Q15" si="6">B9</f>
        <v>用途</v>
      </c>
      <c r="R9" s="627" t="s">
        <v>25</v>
      </c>
      <c r="S9" s="628">
        <f t="shared" si="0"/>
        <v>100</v>
      </c>
      <c r="T9" s="627" t="s">
        <v>25</v>
      </c>
      <c r="U9" s="628">
        <f t="shared" si="1"/>
        <v>100</v>
      </c>
      <c r="V9" s="627" t="s">
        <v>25</v>
      </c>
      <c r="W9" s="628">
        <f t="shared" si="2"/>
        <v>100</v>
      </c>
      <c r="X9" s="629"/>
      <c r="Y9" s="3537" t="s">
        <v>2274</v>
      </c>
      <c r="Z9" s="19" t="str">
        <f t="shared" ref="Z9:Z15" si="7">Q9</f>
        <v>用途</v>
      </c>
      <c r="AA9" s="630">
        <f t="shared" si="3"/>
        <v>1</v>
      </c>
      <c r="AB9" s="630">
        <f t="shared" si="4"/>
        <v>1</v>
      </c>
      <c r="AC9" s="630">
        <f t="shared" si="5"/>
        <v>1</v>
      </c>
    </row>
    <row r="10" spans="1:29" s="317" customFormat="1" ht="28.8">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518"/>
      <c r="Q10" s="1327" t="str">
        <f t="shared" si="6"/>
        <v>土地使用年限（年）</v>
      </c>
      <c r="R10" s="627" t="s">
        <v>25</v>
      </c>
      <c r="S10" s="628">
        <f t="shared" si="0"/>
        <v>100</v>
      </c>
      <c r="T10" s="627" t="s">
        <v>25</v>
      </c>
      <c r="U10" s="628">
        <f t="shared" si="1"/>
        <v>100</v>
      </c>
      <c r="V10" s="627" t="s">
        <v>25</v>
      </c>
      <c r="W10" s="628">
        <f t="shared" si="2"/>
        <v>100</v>
      </c>
      <c r="X10" s="629"/>
      <c r="Y10" s="3537"/>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518"/>
      <c r="Q11" s="1327" t="str">
        <f t="shared" si="6"/>
        <v>容积率</v>
      </c>
      <c r="R11" s="627" t="s">
        <v>25</v>
      </c>
      <c r="S11" s="628" t="e">
        <f t="shared" si="0"/>
        <v>#N/A</v>
      </c>
      <c r="T11" s="627" t="s">
        <v>25</v>
      </c>
      <c r="U11" s="628" t="e">
        <f t="shared" si="1"/>
        <v>#N/A</v>
      </c>
      <c r="V11" s="627" t="s">
        <v>25</v>
      </c>
      <c r="W11" s="628" t="e">
        <f t="shared" si="2"/>
        <v>#N/A</v>
      </c>
      <c r="X11" s="629"/>
      <c r="Y11" s="353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518"/>
      <c r="Q12" s="1327">
        <f t="shared" si="6"/>
        <v>111</v>
      </c>
      <c r="R12" s="627" t="s">
        <v>25</v>
      </c>
      <c r="S12" s="628">
        <f t="shared" si="0"/>
        <v>100</v>
      </c>
      <c r="T12" s="627" t="s">
        <v>25</v>
      </c>
      <c r="U12" s="628">
        <f t="shared" si="1"/>
        <v>100</v>
      </c>
      <c r="V12" s="627" t="s">
        <v>25</v>
      </c>
      <c r="W12" s="628">
        <f t="shared" si="2"/>
        <v>100</v>
      </c>
      <c r="X12" s="629"/>
      <c r="Y12" s="353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518"/>
      <c r="Q13" s="1327">
        <f t="shared" si="6"/>
        <v>111</v>
      </c>
      <c r="R13" s="627" t="s">
        <v>25</v>
      </c>
      <c r="S13" s="628">
        <f t="shared" si="0"/>
        <v>100</v>
      </c>
      <c r="T13" s="627" t="s">
        <v>25</v>
      </c>
      <c r="U13" s="628">
        <f t="shared" si="1"/>
        <v>100</v>
      </c>
      <c r="V13" s="627" t="s">
        <v>25</v>
      </c>
      <c r="W13" s="628">
        <f t="shared" si="2"/>
        <v>100</v>
      </c>
      <c r="X13" s="629"/>
      <c r="Y13" s="3537"/>
      <c r="Z13" s="19">
        <f t="shared" si="7"/>
        <v>111</v>
      </c>
      <c r="AA13" s="630">
        <f t="shared" si="3"/>
        <v>1</v>
      </c>
      <c r="AB13" s="630">
        <f t="shared" si="4"/>
        <v>1</v>
      </c>
      <c r="AC13" s="630">
        <f t="shared" si="5"/>
        <v>1</v>
      </c>
    </row>
    <row r="14" spans="1:29" ht="15.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518"/>
      <c r="Q14" s="1327">
        <f t="shared" si="6"/>
        <v>111</v>
      </c>
      <c r="R14" s="627" t="s">
        <v>25</v>
      </c>
      <c r="S14" s="628">
        <f t="shared" si="0"/>
        <v>100</v>
      </c>
      <c r="T14" s="627" t="s">
        <v>25</v>
      </c>
      <c r="U14" s="628">
        <f t="shared" si="1"/>
        <v>100</v>
      </c>
      <c r="V14" s="627" t="s">
        <v>25</v>
      </c>
      <c r="W14" s="628">
        <f t="shared" si="2"/>
        <v>100</v>
      </c>
      <c r="X14" s="629"/>
      <c r="Y14" s="3537"/>
      <c r="Z14" s="19">
        <f t="shared" si="7"/>
        <v>111</v>
      </c>
      <c r="AA14" s="630">
        <f t="shared" si="3"/>
        <v>1</v>
      </c>
      <c r="AB14" s="630">
        <f t="shared" si="4"/>
        <v>1</v>
      </c>
      <c r="AC14" s="630">
        <f t="shared" si="5"/>
        <v>1</v>
      </c>
    </row>
    <row r="15" spans="1:29" ht="69">
      <c r="A15" s="329" t="s">
        <v>2277</v>
      </c>
      <c r="B15" s="22" t="s">
        <v>2408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35" t="s">
        <v>2278</v>
      </c>
      <c r="Q15" s="1334" t="str">
        <f t="shared" si="6"/>
        <v>产业集聚程度</v>
      </c>
      <c r="R15" s="631" t="s">
        <v>25</v>
      </c>
      <c r="S15" s="632">
        <f t="shared" si="0"/>
        <v>100</v>
      </c>
      <c r="T15" s="631" t="s">
        <v>25</v>
      </c>
      <c r="U15" s="632">
        <f t="shared" si="1"/>
        <v>100</v>
      </c>
      <c r="V15" s="631" t="s">
        <v>25</v>
      </c>
      <c r="W15" s="632">
        <f t="shared" si="2"/>
        <v>100</v>
      </c>
      <c r="X15" s="1335"/>
      <c r="Y15" s="3535"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36"/>
      <c r="Q16" s="1334"/>
      <c r="R16" s="631"/>
      <c r="S16" s="632"/>
      <c r="T16" s="631"/>
      <c r="U16" s="632"/>
      <c r="V16" s="631"/>
      <c r="W16" s="632"/>
      <c r="X16" s="1335"/>
      <c r="Y16" s="3536"/>
      <c r="Z16" s="1336"/>
      <c r="AA16" s="1337">
        <v>1</v>
      </c>
      <c r="AB16" s="1337">
        <v>1</v>
      </c>
      <c r="AC16" s="1337">
        <v>1</v>
      </c>
    </row>
    <row r="17" spans="1:29" ht="96.6">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36"/>
      <c r="Q17" s="1334" t="str">
        <f>B17</f>
        <v>交通便捷度</v>
      </c>
      <c r="R17" s="631" t="s">
        <v>25</v>
      </c>
      <c r="S17" s="632">
        <f>F17</f>
        <v>100</v>
      </c>
      <c r="T17" s="631" t="s">
        <v>25</v>
      </c>
      <c r="U17" s="632">
        <f>H17</f>
        <v>100</v>
      </c>
      <c r="V17" s="631" t="s">
        <v>25</v>
      </c>
      <c r="W17" s="632">
        <f>J17</f>
        <v>100</v>
      </c>
      <c r="X17" s="1335"/>
      <c r="Y17" s="353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36"/>
      <c r="Q18" s="1334"/>
      <c r="R18" s="631"/>
      <c r="S18" s="632"/>
      <c r="T18" s="631"/>
      <c r="U18" s="632"/>
      <c r="V18" s="631"/>
      <c r="W18" s="632"/>
      <c r="X18" s="1335"/>
      <c r="Y18" s="3536"/>
      <c r="Z18" s="1336"/>
      <c r="AA18" s="1337">
        <v>1</v>
      </c>
      <c r="AB18" s="1337">
        <v>1</v>
      </c>
      <c r="AC18" s="1337">
        <v>1</v>
      </c>
    </row>
    <row r="19" spans="1:29" ht="41.4">
      <c r="A19" s="318"/>
      <c r="B19" s="513" t="s">
        <v>2392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36"/>
      <c r="Q19" s="1334" t="str">
        <f>B19</f>
        <v>公共配套设施</v>
      </c>
      <c r="R19" s="631" t="s">
        <v>25</v>
      </c>
      <c r="S19" s="632">
        <f>F19</f>
        <v>100</v>
      </c>
      <c r="T19" s="631" t="s">
        <v>25</v>
      </c>
      <c r="U19" s="632">
        <f>H19</f>
        <v>100</v>
      </c>
      <c r="V19" s="631" t="s">
        <v>25</v>
      </c>
      <c r="W19" s="632">
        <f>J19</f>
        <v>100</v>
      </c>
      <c r="X19" s="1335"/>
      <c r="Y19" s="353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36"/>
      <c r="Q20" s="1334"/>
      <c r="R20" s="631"/>
      <c r="S20" s="632"/>
      <c r="T20" s="631"/>
      <c r="U20" s="632"/>
      <c r="V20" s="631"/>
      <c r="W20" s="632"/>
      <c r="X20" s="1335"/>
      <c r="Y20" s="3536"/>
      <c r="Z20" s="1336"/>
      <c r="AA20" s="1337">
        <v>1</v>
      </c>
      <c r="AB20" s="1337">
        <v>1</v>
      </c>
      <c r="AC20" s="1337">
        <v>1</v>
      </c>
    </row>
    <row r="21" spans="1:29" ht="41.4">
      <c r="A21" s="318"/>
      <c r="B21" s="515" t="s">
        <v>2393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36"/>
      <c r="Q21" s="1334" t="str">
        <f>B21</f>
        <v>基础设施水平</v>
      </c>
      <c r="R21" s="631" t="s">
        <v>25</v>
      </c>
      <c r="S21" s="632">
        <f>F21</f>
        <v>100</v>
      </c>
      <c r="T21" s="631" t="s">
        <v>25</v>
      </c>
      <c r="U21" s="632">
        <f>H21</f>
        <v>100</v>
      </c>
      <c r="V21" s="631" t="s">
        <v>25</v>
      </c>
      <c r="W21" s="632">
        <f>J21</f>
        <v>100</v>
      </c>
      <c r="X21" s="1335"/>
      <c r="Y21" s="353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36"/>
      <c r="Q22" s="1334"/>
      <c r="R22" s="631"/>
      <c r="S22" s="632"/>
      <c r="T22" s="631"/>
      <c r="U22" s="632"/>
      <c r="V22" s="631"/>
      <c r="W22" s="632"/>
      <c r="X22" s="1335"/>
      <c r="Y22" s="3536"/>
      <c r="Z22" s="1336"/>
      <c r="AA22" s="1337">
        <v>1</v>
      </c>
      <c r="AB22" s="1337">
        <v>1</v>
      </c>
      <c r="AC22" s="1337">
        <v>1</v>
      </c>
    </row>
    <row r="23" spans="1:29" ht="82.8">
      <c r="A23" s="318"/>
      <c r="B23" s="340" t="s">
        <v>2394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36"/>
      <c r="Q23" s="1334" t="str">
        <f>B23</f>
        <v>环境质量</v>
      </c>
      <c r="R23" s="631" t="s">
        <v>25</v>
      </c>
      <c r="S23" s="632">
        <f>F23</f>
        <v>100</v>
      </c>
      <c r="T23" s="631" t="s">
        <v>25</v>
      </c>
      <c r="U23" s="632">
        <f>H23</f>
        <v>100</v>
      </c>
      <c r="V23" s="631" t="s">
        <v>25</v>
      </c>
      <c r="W23" s="632">
        <f>J23</f>
        <v>100</v>
      </c>
      <c r="X23" s="1335"/>
      <c r="Y23" s="353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36"/>
      <c r="Q24" s="1334"/>
      <c r="R24" s="631"/>
      <c r="S24" s="632"/>
      <c r="T24" s="631"/>
      <c r="U24" s="632"/>
      <c r="V24" s="631"/>
      <c r="W24" s="632"/>
      <c r="X24" s="1335"/>
      <c r="Y24" s="353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36"/>
      <c r="Q25" s="1334">
        <f>B25</f>
        <v>111</v>
      </c>
      <c r="R25" s="631" t="s">
        <v>25</v>
      </c>
      <c r="S25" s="632">
        <f>F25</f>
        <v>100</v>
      </c>
      <c r="T25" s="631" t="s">
        <v>25</v>
      </c>
      <c r="U25" s="632">
        <f>H25</f>
        <v>100</v>
      </c>
      <c r="V25" s="631" t="s">
        <v>25</v>
      </c>
      <c r="W25" s="632">
        <f>J25</f>
        <v>100</v>
      </c>
      <c r="X25" s="1335"/>
      <c r="Y25" s="353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36"/>
      <c r="Q26" s="1334">
        <f t="shared" ref="Q26:Q40" si="11">B26</f>
        <v>111</v>
      </c>
      <c r="R26" s="631" t="s">
        <v>25</v>
      </c>
      <c r="S26" s="632">
        <f>F26</f>
        <v>100</v>
      </c>
      <c r="T26" s="631" t="s">
        <v>25</v>
      </c>
      <c r="U26" s="632">
        <f>H26</f>
        <v>100</v>
      </c>
      <c r="V26" s="631" t="s">
        <v>25</v>
      </c>
      <c r="W26" s="632">
        <f>J26</f>
        <v>100</v>
      </c>
      <c r="X26" s="1335"/>
      <c r="Y26" s="353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36"/>
      <c r="Q27" s="1327">
        <f t="shared" si="11"/>
        <v>111</v>
      </c>
      <c r="R27" s="627" t="s">
        <v>25</v>
      </c>
      <c r="S27" s="628">
        <f>F27</f>
        <v>100</v>
      </c>
      <c r="T27" s="627" t="s">
        <v>25</v>
      </c>
      <c r="U27" s="628">
        <f>H27</f>
        <v>100</v>
      </c>
      <c r="V27" s="627" t="s">
        <v>25</v>
      </c>
      <c r="W27" s="628">
        <f>J27</f>
        <v>100</v>
      </c>
      <c r="X27" s="629"/>
      <c r="Y27" s="3536"/>
      <c r="Z27" s="19">
        <f>Q27</f>
        <v>111</v>
      </c>
      <c r="AA27" s="1337">
        <f>D27/F27</f>
        <v>1</v>
      </c>
      <c r="AB27" s="1337">
        <f>D27/H27</f>
        <v>1</v>
      </c>
      <c r="AC27" s="1337">
        <f>D27/J27</f>
        <v>1</v>
      </c>
    </row>
    <row r="28" spans="1:29" ht="15.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36"/>
      <c r="Q28" s="1334">
        <f t="shared" si="11"/>
        <v>111</v>
      </c>
      <c r="R28" s="631" t="s">
        <v>25</v>
      </c>
      <c r="S28" s="632">
        <f t="shared" ref="S28:S40" si="12">F28</f>
        <v>100</v>
      </c>
      <c r="T28" s="631" t="s">
        <v>25</v>
      </c>
      <c r="U28" s="632">
        <f t="shared" ref="U28:U40" si="13">H28</f>
        <v>100</v>
      </c>
      <c r="V28" s="631" t="s">
        <v>25</v>
      </c>
      <c r="W28" s="632">
        <f t="shared" ref="W28:W40" si="14">J28</f>
        <v>100</v>
      </c>
      <c r="X28" s="1335"/>
      <c r="Y28" s="3536"/>
      <c r="Z28" s="1336">
        <f t="shared" ref="Z28:Z40" si="15">Q28</f>
        <v>111</v>
      </c>
      <c r="AA28" s="1337">
        <f t="shared" si="3"/>
        <v>1</v>
      </c>
      <c r="AB28" s="1337">
        <f t="shared" si="4"/>
        <v>1</v>
      </c>
      <c r="AC28" s="1337">
        <f t="shared" si="5"/>
        <v>1</v>
      </c>
    </row>
    <row r="29" spans="1:29" ht="30">
      <c r="A29" s="354" t="s">
        <v>2282</v>
      </c>
      <c r="B29" s="24" t="s">
        <v>2397</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523" t="s">
        <v>2284</v>
      </c>
      <c r="Q29" s="1334" t="str">
        <f t="shared" si="11"/>
        <v>建筑类型</v>
      </c>
      <c r="R29" s="631" t="s">
        <v>25</v>
      </c>
      <c r="S29" s="632">
        <f t="shared" si="12"/>
        <v>100</v>
      </c>
      <c r="T29" s="631" t="s">
        <v>25</v>
      </c>
      <c r="U29" s="632">
        <f t="shared" si="13"/>
        <v>100</v>
      </c>
      <c r="V29" s="631" t="s">
        <v>25</v>
      </c>
      <c r="W29" s="632">
        <f t="shared" si="14"/>
        <v>100</v>
      </c>
      <c r="X29" s="1335"/>
      <c r="Y29" s="3524"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24"/>
      <c r="Q30" s="633" t="str">
        <f t="shared" si="11"/>
        <v>项目建筑规模</v>
      </c>
      <c r="R30" s="634" t="s">
        <v>25</v>
      </c>
      <c r="S30" s="635" t="e">
        <f t="shared" si="12"/>
        <v>#N/A</v>
      </c>
      <c r="T30" s="634" t="s">
        <v>25</v>
      </c>
      <c r="U30" s="635" t="e">
        <f t="shared" si="13"/>
        <v>#N/A</v>
      </c>
      <c r="V30" s="634" t="s">
        <v>25</v>
      </c>
      <c r="W30" s="635" t="e">
        <f t="shared" si="14"/>
        <v>#N/A</v>
      </c>
      <c r="X30" s="636"/>
      <c r="Y30" s="3524"/>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24"/>
      <c r="Q31" s="1334" t="str">
        <f t="shared" si="11"/>
        <v>建筑结构</v>
      </c>
      <c r="R31" s="631" t="s">
        <v>25</v>
      </c>
      <c r="S31" s="632">
        <f t="shared" si="12"/>
        <v>100</v>
      </c>
      <c r="T31" s="631" t="s">
        <v>25</v>
      </c>
      <c r="U31" s="632">
        <f t="shared" si="13"/>
        <v>100</v>
      </c>
      <c r="V31" s="631" t="s">
        <v>25</v>
      </c>
      <c r="W31" s="632">
        <f t="shared" si="14"/>
        <v>100</v>
      </c>
      <c r="X31" s="1335"/>
      <c r="Y31" s="3524"/>
      <c r="Z31" s="1336" t="str">
        <f t="shared" si="15"/>
        <v>建筑结构</v>
      </c>
      <c r="AA31" s="1337">
        <f t="shared" si="3"/>
        <v>1</v>
      </c>
      <c r="AB31" s="1337">
        <f t="shared" si="4"/>
        <v>1</v>
      </c>
      <c r="AC31" s="1337">
        <f t="shared" si="5"/>
        <v>1</v>
      </c>
    </row>
    <row r="32" spans="1:29" ht="15">
      <c r="A32" s="360"/>
      <c r="B32" s="313" t="s">
        <v>2370</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24"/>
      <c r="Q32" s="1334" t="str">
        <f t="shared" si="11"/>
        <v>公共部分装修</v>
      </c>
      <c r="R32" s="631" t="s">
        <v>25</v>
      </c>
      <c r="S32" s="632">
        <f t="shared" si="12"/>
        <v>100</v>
      </c>
      <c r="T32" s="631" t="s">
        <v>25</v>
      </c>
      <c r="U32" s="632">
        <f t="shared" si="13"/>
        <v>100</v>
      </c>
      <c r="V32" s="631" t="s">
        <v>25</v>
      </c>
      <c r="W32" s="632">
        <f t="shared" si="14"/>
        <v>100</v>
      </c>
      <c r="X32" s="1335"/>
      <c r="Y32" s="3524"/>
      <c r="Z32" s="1336" t="str">
        <f t="shared" si="15"/>
        <v>公共部分装修</v>
      </c>
      <c r="AA32" s="1337">
        <f t="shared" si="3"/>
        <v>1</v>
      </c>
      <c r="AB32" s="1337">
        <f t="shared" si="4"/>
        <v>1</v>
      </c>
      <c r="AC32" s="1337">
        <f t="shared" si="5"/>
        <v>1</v>
      </c>
    </row>
    <row r="33" spans="1:29" ht="15">
      <c r="A33" s="360"/>
      <c r="B33" s="313" t="s">
        <v>2371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24"/>
      <c r="Q33" s="1334" t="str">
        <f t="shared" si="11"/>
        <v>成新度</v>
      </c>
      <c r="R33" s="631" t="s">
        <v>25</v>
      </c>
      <c r="S33" s="632" t="e">
        <f t="shared" si="12"/>
        <v>#N/A</v>
      </c>
      <c r="T33" s="631" t="s">
        <v>25</v>
      </c>
      <c r="U33" s="632" t="e">
        <f t="shared" si="13"/>
        <v>#N/A</v>
      </c>
      <c r="V33" s="631" t="s">
        <v>25</v>
      </c>
      <c r="W33" s="632" t="e">
        <f t="shared" si="14"/>
        <v>#N/A</v>
      </c>
      <c r="X33" s="1335"/>
      <c r="Y33" s="3524"/>
      <c r="Z33" s="1336" t="str">
        <f t="shared" si="15"/>
        <v>成新度</v>
      </c>
      <c r="AA33" s="1337" t="e">
        <f t="shared" si="3"/>
        <v>#N/A</v>
      </c>
      <c r="AB33" s="1337" t="e">
        <f t="shared" si="4"/>
        <v>#N/A</v>
      </c>
      <c r="AC33" s="1337" t="e">
        <f t="shared" si="5"/>
        <v>#N/A</v>
      </c>
    </row>
    <row r="34" spans="1:29" s="25" customFormat="1" ht="15">
      <c r="A34" s="361"/>
      <c r="B34" s="313" t="s">
        <v>2399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24"/>
      <c r="Q34" s="1327" t="str">
        <f t="shared" si="11"/>
        <v>物业管理</v>
      </c>
      <c r="R34" s="627" t="s">
        <v>25</v>
      </c>
      <c r="S34" s="628">
        <f t="shared" si="12"/>
        <v>100</v>
      </c>
      <c r="T34" s="627" t="s">
        <v>25</v>
      </c>
      <c r="U34" s="628">
        <f t="shared" si="13"/>
        <v>100</v>
      </c>
      <c r="V34" s="627" t="s">
        <v>25</v>
      </c>
      <c r="W34" s="628">
        <f t="shared" si="14"/>
        <v>100</v>
      </c>
      <c r="X34" s="629"/>
      <c r="Y34" s="3524"/>
      <c r="Z34" s="19" t="str">
        <f t="shared" si="15"/>
        <v>物业管理</v>
      </c>
      <c r="AA34" s="630">
        <f t="shared" si="3"/>
        <v>1</v>
      </c>
      <c r="AB34" s="630">
        <f t="shared" si="4"/>
        <v>1</v>
      </c>
      <c r="AC34" s="630">
        <f t="shared" si="5"/>
        <v>1</v>
      </c>
    </row>
    <row r="35" spans="1:29" ht="15">
      <c r="A35" s="360"/>
      <c r="B35" s="313" t="s">
        <v>2372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24" t="s">
        <v>2284</v>
      </c>
      <c r="Q35" s="1334" t="str">
        <f t="shared" si="11"/>
        <v>市政基础设施</v>
      </c>
      <c r="R35" s="631" t="s">
        <v>25</v>
      </c>
      <c r="S35" s="632">
        <f t="shared" si="12"/>
        <v>100</v>
      </c>
      <c r="T35" s="631" t="s">
        <v>25</v>
      </c>
      <c r="U35" s="632">
        <f t="shared" si="13"/>
        <v>100</v>
      </c>
      <c r="V35" s="631" t="s">
        <v>25</v>
      </c>
      <c r="W35" s="632">
        <f t="shared" si="14"/>
        <v>100</v>
      </c>
      <c r="X35" s="1335"/>
      <c r="Y35" s="3524" t="s">
        <v>2284</v>
      </c>
      <c r="Z35" s="1336" t="str">
        <f t="shared" si="15"/>
        <v>市政基础设施</v>
      </c>
      <c r="AA35" s="1337">
        <f t="shared" si="3"/>
        <v>1</v>
      </c>
      <c r="AB35" s="1337">
        <f t="shared" si="4"/>
        <v>1</v>
      </c>
      <c r="AC35" s="1337">
        <f t="shared" si="5"/>
        <v>1</v>
      </c>
    </row>
    <row r="36" spans="1:29" ht="15">
      <c r="A36" s="360"/>
      <c r="B36" s="313" t="s">
        <v>2377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24"/>
      <c r="Q36" s="1334" t="str">
        <f t="shared" si="11"/>
        <v>内部装修</v>
      </c>
      <c r="R36" s="631" t="s">
        <v>25</v>
      </c>
      <c r="S36" s="632">
        <f t="shared" si="12"/>
        <v>100</v>
      </c>
      <c r="T36" s="631" t="s">
        <v>25</v>
      </c>
      <c r="U36" s="632">
        <f t="shared" si="13"/>
        <v>100</v>
      </c>
      <c r="V36" s="631" t="s">
        <v>25</v>
      </c>
      <c r="W36" s="632">
        <f t="shared" si="14"/>
        <v>100</v>
      </c>
      <c r="X36" s="1335"/>
      <c r="Y36" s="3524"/>
      <c r="Z36" s="1336" t="str">
        <f t="shared" si="15"/>
        <v>内部装修</v>
      </c>
      <c r="AA36" s="1337">
        <f t="shared" si="3"/>
        <v>1</v>
      </c>
      <c r="AB36" s="1337">
        <f t="shared" si="4"/>
        <v>1</v>
      </c>
      <c r="AC36" s="1337">
        <f t="shared" si="5"/>
        <v>1</v>
      </c>
    </row>
    <row r="37" spans="1:29" ht="15">
      <c r="A37" s="360"/>
      <c r="B37" s="313" t="s">
        <v>2409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24"/>
      <c r="Q37" s="1334" t="str">
        <f t="shared" si="11"/>
        <v>内部装修状况</v>
      </c>
      <c r="R37" s="631" t="s">
        <v>25</v>
      </c>
      <c r="S37" s="632">
        <f t="shared" si="12"/>
        <v>100</v>
      </c>
      <c r="T37" s="631" t="s">
        <v>25</v>
      </c>
      <c r="U37" s="632">
        <f t="shared" si="13"/>
        <v>100</v>
      </c>
      <c r="V37" s="631" t="s">
        <v>25</v>
      </c>
      <c r="W37" s="632">
        <f t="shared" si="14"/>
        <v>100</v>
      </c>
      <c r="X37" s="1335"/>
      <c r="Y37" s="3524"/>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24"/>
      <c r="Q38" s="633">
        <f t="shared" si="11"/>
        <v>111</v>
      </c>
      <c r="R38" s="634" t="s">
        <v>25</v>
      </c>
      <c r="S38" s="635">
        <f t="shared" si="12"/>
        <v>100</v>
      </c>
      <c r="T38" s="634" t="s">
        <v>25</v>
      </c>
      <c r="U38" s="635">
        <f t="shared" si="13"/>
        <v>100</v>
      </c>
      <c r="V38" s="634" t="s">
        <v>25</v>
      </c>
      <c r="W38" s="635">
        <f t="shared" si="14"/>
        <v>100</v>
      </c>
      <c r="X38" s="636"/>
      <c r="Y38" s="3524"/>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24"/>
      <c r="Q39" s="1334">
        <f t="shared" si="11"/>
        <v>111</v>
      </c>
      <c r="R39" s="631" t="s">
        <v>25</v>
      </c>
      <c r="S39" s="632">
        <f t="shared" si="12"/>
        <v>100</v>
      </c>
      <c r="T39" s="631" t="s">
        <v>25</v>
      </c>
      <c r="U39" s="632">
        <f t="shared" si="13"/>
        <v>100</v>
      </c>
      <c r="V39" s="631" t="s">
        <v>25</v>
      </c>
      <c r="W39" s="632">
        <f t="shared" si="14"/>
        <v>100</v>
      </c>
      <c r="X39" s="1335"/>
      <c r="Y39" s="3524"/>
      <c r="Z39" s="1336">
        <f t="shared" si="15"/>
        <v>111</v>
      </c>
      <c r="AA39" s="1337">
        <f t="shared" si="3"/>
        <v>1</v>
      </c>
      <c r="AB39" s="1337">
        <f t="shared" si="4"/>
        <v>1</v>
      </c>
      <c r="AC39" s="1337">
        <f t="shared" si="5"/>
        <v>1</v>
      </c>
    </row>
    <row r="40" spans="1:29" ht="15.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25"/>
      <c r="Q40" s="1334">
        <f t="shared" si="11"/>
        <v>111</v>
      </c>
      <c r="R40" s="631" t="s">
        <v>25</v>
      </c>
      <c r="S40" s="632">
        <f t="shared" si="12"/>
        <v>100</v>
      </c>
      <c r="T40" s="631" t="s">
        <v>25</v>
      </c>
      <c r="U40" s="632">
        <f t="shared" si="13"/>
        <v>100</v>
      </c>
      <c r="V40" s="631" t="s">
        <v>25</v>
      </c>
      <c r="W40" s="632">
        <f t="shared" si="14"/>
        <v>100</v>
      </c>
      <c r="X40" s="1335"/>
      <c r="Y40" s="3525"/>
      <c r="Z40" s="1336">
        <f t="shared" si="15"/>
        <v>111</v>
      </c>
      <c r="AA40" s="1337">
        <f t="shared" si="3"/>
        <v>1</v>
      </c>
      <c r="AB40" s="1337">
        <f t="shared" si="4"/>
        <v>1</v>
      </c>
      <c r="AC40" s="1337">
        <f t="shared" si="5"/>
        <v>1</v>
      </c>
    </row>
    <row r="41" spans="1:29" ht="14.4">
      <c r="A41" s="367" t="s">
        <v>2296</v>
      </c>
      <c r="B41" s="368"/>
      <c r="C41" s="1153" t="s">
        <v>1</v>
      </c>
      <c r="D41" s="1154"/>
      <c r="E41" s="1155"/>
      <c r="F41" s="1156"/>
      <c r="G41" s="1157"/>
      <c r="H41" s="1158"/>
      <c r="I41" s="1155"/>
      <c r="J41" s="1158"/>
      <c r="K41" s="640"/>
      <c r="L41" s="3039"/>
      <c r="N41" s="3028"/>
      <c r="P41" s="3518" t="str">
        <f>A41</f>
        <v>成交单价（元/平方米）</v>
      </c>
      <c r="Q41" s="3518"/>
      <c r="R41" s="3519">
        <f>E41</f>
        <v>0</v>
      </c>
      <c r="S41" s="3519"/>
      <c r="T41" s="3519">
        <f>G41</f>
        <v>0</v>
      </c>
      <c r="U41" s="3519"/>
      <c r="V41" s="3519">
        <f>I41</f>
        <v>0</v>
      </c>
      <c r="W41" s="3519"/>
      <c r="X41" s="618"/>
      <c r="Y41" s="638"/>
      <c r="Z41" s="618"/>
      <c r="AA41" s="618"/>
      <c r="AB41" s="618"/>
      <c r="AC41" s="618"/>
    </row>
    <row r="42" spans="1:29" ht="15" thickBot="1">
      <c r="A42" s="374" t="s">
        <v>2378</v>
      </c>
      <c r="B42" s="375"/>
      <c r="C42" s="1159" t="e">
        <f>R43</f>
        <v>#DIV/0!</v>
      </c>
      <c r="D42" s="1796" t="s">
        <v>2753</v>
      </c>
      <c r="E42" s="1160" t="e">
        <f>R42</f>
        <v>#DIV/0!</v>
      </c>
      <c r="F42" s="1798"/>
      <c r="G42" s="1159" t="e">
        <f>T42</f>
        <v>#DIV/0!</v>
      </c>
      <c r="H42" s="1798"/>
      <c r="I42" s="1160" t="e">
        <f>V42</f>
        <v>#DIV/0!</v>
      </c>
      <c r="J42" s="1798"/>
      <c r="K42" s="2513">
        <f>F42+H42+J42</f>
        <v>0</v>
      </c>
      <c r="L42" s="3039"/>
      <c r="N42" s="3028"/>
      <c r="P42" s="3518" t="str">
        <f>A42</f>
        <v>比较价值（元/平方米）</v>
      </c>
      <c r="Q42" s="3518"/>
      <c r="R42" s="3519" t="e">
        <f>IF(E1="售价",ROUND(PRODUCT(R41,AA7:AA40),0),ROUND(PRODUCT(R41,AA7:AA40),1))</f>
        <v>#DIV/0!</v>
      </c>
      <c r="S42" s="3519"/>
      <c r="T42" s="3519" t="e">
        <f>IF(E1="售价",ROUND(PRODUCT(T41,AB7:AB40),0),ROUND(PRODUCT(T41,AB7:AB40),1))</f>
        <v>#DIV/0!</v>
      </c>
      <c r="U42" s="3519"/>
      <c r="V42" s="3519" t="e">
        <f>IF(E1="售价",ROUND(PRODUCT(V41,AC7:AC40),0),ROUND(PRODUCT(V41,AC7:AC40),1))</f>
        <v>#DIV/0!</v>
      </c>
      <c r="W42" s="3519"/>
      <c r="X42" s="618"/>
      <c r="Y42" s="618"/>
      <c r="Z42" s="618"/>
      <c r="AA42" s="618"/>
      <c r="AB42" s="618"/>
      <c r="AC42" s="618"/>
    </row>
    <row r="43" spans="1:29" ht="15" thickBot="1">
      <c r="A43" s="378" t="s">
        <v>2401</v>
      </c>
      <c r="B43" s="379"/>
      <c r="C43" s="1161" t="e">
        <f>R43</f>
        <v>#DIV/0!</v>
      </c>
      <c r="D43" s="1161"/>
      <c r="E43" s="1161"/>
      <c r="F43" s="1161"/>
      <c r="G43" s="1161"/>
      <c r="H43" s="1161"/>
      <c r="I43" s="1161"/>
      <c r="J43" s="1161"/>
      <c r="K43" s="641"/>
      <c r="L43" s="3039"/>
      <c r="P43" s="3520" t="str">
        <f>A43</f>
        <v>估价对象XX用房的比较价值（楼面单价，元/平方米）</v>
      </c>
      <c r="Q43" s="3521"/>
      <c r="R43" s="3522" t="e">
        <f>IF(E1="售价",ROUND(IF(D42="简单平均",AVERAGE(R42:V42),R42*F42+T42*H42+V42*J42),0),ROUND(IF(D42="简单平均",AVERAGE(R42:V42),R42*F42+T42*H42+V42*J42),1))</f>
        <v>#DIV/0!</v>
      </c>
      <c r="S43" s="3522"/>
      <c r="T43" s="3522"/>
      <c r="U43" s="3522"/>
      <c r="V43" s="3522"/>
      <c r="W43" s="3522"/>
      <c r="X43" s="618"/>
      <c r="Y43" s="618"/>
      <c r="Z43" s="618"/>
      <c r="AA43" s="618"/>
      <c r="AB43" s="618"/>
      <c r="AC43" s="618"/>
    </row>
    <row r="44" spans="1:29">
      <c r="G44" s="3042"/>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2.2" thickBot="1">
      <c r="A51" s="620" t="s">
        <v>2383</v>
      </c>
      <c r="B51" s="618"/>
      <c r="C51" s="621"/>
      <c r="D51" s="621"/>
      <c r="E51" s="621"/>
      <c r="F51" s="622"/>
      <c r="G51" s="622"/>
      <c r="H51" s="621"/>
      <c r="I51" s="621"/>
      <c r="J51" s="621"/>
      <c r="K51" s="623"/>
      <c r="L51" s="624"/>
      <c r="M51" s="621"/>
      <c r="N51" s="3045"/>
      <c r="O51" s="3045"/>
      <c r="P51" s="389"/>
      <c r="Q51" s="390"/>
    </row>
    <row r="52" spans="1:17" s="394" customFormat="1" ht="14.4">
      <c r="A52" s="391" t="s">
        <v>2266</v>
      </c>
      <c r="B52" s="392"/>
      <c r="C52" s="1187" t="str">
        <f>YEAR(C7)&amp;"-"&amp;MONTH(C7)</f>
        <v>2024-9</v>
      </c>
      <c r="D52" s="1188">
        <f>EDATE(C52,-1)</f>
        <v>45505</v>
      </c>
      <c r="E52" s="1189">
        <f t="shared" ref="E52:O52" si="16">EDATE(D52,-1)</f>
        <v>45474</v>
      </c>
      <c r="F52" s="1189">
        <f t="shared" si="16"/>
        <v>45444</v>
      </c>
      <c r="G52" s="1189">
        <f t="shared" si="16"/>
        <v>45413</v>
      </c>
      <c r="H52" s="1189">
        <f t="shared" si="16"/>
        <v>45383</v>
      </c>
      <c r="I52" s="1189">
        <f t="shared" si="16"/>
        <v>45352</v>
      </c>
      <c r="J52" s="1189">
        <f t="shared" si="16"/>
        <v>45323</v>
      </c>
      <c r="K52" s="1189">
        <f t="shared" si="16"/>
        <v>45292</v>
      </c>
      <c r="L52" s="1189">
        <f t="shared" si="16"/>
        <v>45261</v>
      </c>
      <c r="M52" s="1189">
        <f t="shared" si="16"/>
        <v>45231</v>
      </c>
      <c r="N52" s="1189">
        <f t="shared" si="16"/>
        <v>45200</v>
      </c>
      <c r="O52" s="1189">
        <f t="shared" si="16"/>
        <v>45170</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2303</v>
      </c>
      <c r="B54" s="401"/>
      <c r="C54" s="402"/>
      <c r="D54" s="403"/>
      <c r="E54" s="403"/>
      <c r="F54" s="403"/>
      <c r="G54" s="403"/>
      <c r="H54" s="403"/>
      <c r="I54" s="403"/>
      <c r="J54" s="403"/>
      <c r="K54" s="403"/>
      <c r="L54" s="403"/>
      <c r="M54" s="404"/>
      <c r="N54" s="403"/>
      <c r="O54" s="405"/>
      <c r="P54" s="390"/>
      <c r="Q54" s="390"/>
    </row>
    <row r="55" spans="1:17" s="25" customFormat="1" ht="14.4">
      <c r="A55" s="406" t="s">
        <v>2268</v>
      </c>
      <c r="B55" s="396"/>
      <c r="C55" s="407" t="s">
        <v>2269</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2306</v>
      </c>
      <c r="B57" s="413" t="s">
        <v>2272</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2275</v>
      </c>
      <c r="C59" s="426" t="s">
        <v>2307</v>
      </c>
      <c r="D59" s="426" t="s">
        <v>2308</v>
      </c>
      <c r="E59" s="426" t="s">
        <v>2309</v>
      </c>
      <c r="F59" s="426" t="s">
        <v>2310</v>
      </c>
      <c r="G59" s="426" t="s">
        <v>2311</v>
      </c>
      <c r="H59" s="426" t="s">
        <v>2312</v>
      </c>
      <c r="I59" s="426" t="s">
        <v>2313</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2277</v>
      </c>
      <c r="B70" s="413" t="s">
        <v>2410</v>
      </c>
      <c r="C70" s="461" t="s">
        <v>2315</v>
      </c>
      <c r="D70" s="461" t="s">
        <v>2316</v>
      </c>
      <c r="E70" s="461" t="s">
        <v>2317</v>
      </c>
      <c r="F70" s="461" t="s">
        <v>2318</v>
      </c>
      <c r="G70" s="461" t="s">
        <v>2319</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2320</v>
      </c>
      <c r="C72" s="466" t="s">
        <v>2315</v>
      </c>
      <c r="D72" s="466" t="s">
        <v>2316</v>
      </c>
      <c r="E72" s="466" t="s">
        <v>2317</v>
      </c>
      <c r="F72" s="466" t="s">
        <v>2318</v>
      </c>
      <c r="G72" s="466" t="s">
        <v>2319</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2321</v>
      </c>
      <c r="C74" s="466" t="s">
        <v>2315</v>
      </c>
      <c r="D74" s="466" t="s">
        <v>2316</v>
      </c>
      <c r="E74" s="466" t="s">
        <v>2317</v>
      </c>
      <c r="F74" s="466" t="s">
        <v>2318</v>
      </c>
      <c r="G74" s="466" t="s">
        <v>2319</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2393</v>
      </c>
      <c r="C76" s="426" t="s">
        <v>2322</v>
      </c>
      <c r="D76" s="426" t="s">
        <v>2323</v>
      </c>
      <c r="E76" s="426" t="s">
        <v>2324</v>
      </c>
      <c r="F76" s="426" t="s">
        <v>2325</v>
      </c>
      <c r="G76" s="426" t="s">
        <v>2326</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2403</v>
      </c>
      <c r="C78" s="466" t="s">
        <v>2315</v>
      </c>
      <c r="D78" s="466" t="s">
        <v>2316</v>
      </c>
      <c r="E78" s="466" t="s">
        <v>2317</v>
      </c>
      <c r="F78" s="466" t="s">
        <v>2318</v>
      </c>
      <c r="G78" s="466" t="s">
        <v>2319</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2"/>
      <c r="B87" s="457"/>
      <c r="C87" s="458"/>
      <c r="D87" s="458"/>
      <c r="E87" s="458"/>
      <c r="F87" s="458"/>
      <c r="G87" s="479"/>
      <c r="H87" s="479"/>
      <c r="I87" s="479"/>
      <c r="J87" s="479"/>
      <c r="K87" s="479"/>
      <c r="L87" s="479"/>
      <c r="M87" s="480"/>
      <c r="N87" s="424"/>
      <c r="O87" s="424"/>
      <c r="P87" s="18"/>
      <c r="Q87" s="390"/>
    </row>
    <row r="88" spans="1:17" ht="14.4">
      <c r="A88" s="412" t="s">
        <v>2282</v>
      </c>
      <c r="B88" s="413" t="s">
        <v>2330</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2331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2332</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2334</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2336</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2337</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2339</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2411</v>
      </c>
      <c r="C106" s="466" t="s">
        <v>2315</v>
      </c>
      <c r="D106" s="466" t="s">
        <v>2316</v>
      </c>
      <c r="E106" s="466" t="s">
        <v>2317</v>
      </c>
      <c r="F106" s="466" t="s">
        <v>2318</v>
      </c>
      <c r="G106" s="466" t="s">
        <v>2319</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70" zoomScaleNormal="60" zoomScaleSheetLayoutView="70" workbookViewId="0">
      <selection activeCell="K30" sqref="K30"/>
    </sheetView>
  </sheetViews>
  <sheetFormatPr defaultColWidth="9" defaultRowHeight="13.8"/>
  <cols>
    <col min="1" max="1" width="10.44140625" style="296" customWidth="1"/>
    <col min="2" max="2" width="15.6640625" style="296" customWidth="1"/>
    <col min="3" max="3" width="16.44140625" style="296" customWidth="1"/>
    <col min="4" max="4" width="12.109375" style="296" customWidth="1"/>
    <col min="5" max="5" width="15.44140625" style="296" customWidth="1"/>
    <col min="6" max="6" width="12.109375" style="296" customWidth="1"/>
    <col min="7" max="7" width="15.6640625" style="296" customWidth="1"/>
    <col min="8" max="8" width="12.109375" style="296" customWidth="1"/>
    <col min="9" max="9" width="15.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2412</v>
      </c>
      <c r="B1" s="1582" t="s">
        <v>2980</v>
      </c>
      <c r="C1" s="1221" t="s">
        <v>2756</v>
      </c>
      <c r="D1" s="1222"/>
      <c r="E1" s="1559" t="s">
        <v>1224</v>
      </c>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f>IF(D2="——",IF(B37="元/平方米",IF(C2="元",ROUND(C39*D3,0),ROUND(C39*D3/10000,0)),IF(C2="元",ROUND(F3*C39,0),ROUND(F3*C39/10000,0))),IF(B37="元/平方米",IF(C2="元",ROUND(C39*D3,0),ROUND(C39*D3/10000,0)),IF(C2="元",ROUND(F3*C39,0),ROUND(F3*C39/10000,0)))-E2)</f>
        <v>0</v>
      </c>
      <c r="C2" s="79">
        <f>'数据-取费表'!B3</f>
        <v>0</v>
      </c>
      <c r="D2" s="1560" t="s">
        <v>1240</v>
      </c>
      <c r="E2" s="927"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f>IF(AND(D2="——",B37="元/平方米"),C39,ROUND(F3*C39/D3,0))</f>
        <v>449.1</v>
      </c>
      <c r="C3" s="293" t="s">
        <v>2252</v>
      </c>
      <c r="D3" s="292">
        <f>IF(C1="仅计算典型户型",'数据-取费表'!E5,'数据-取费表'!B5)</f>
        <v>0</v>
      </c>
      <c r="E3" s="839" t="s">
        <v>2413</v>
      </c>
      <c r="F3" s="293">
        <f>'数据-取费表'!B42</f>
        <v>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41" t="s">
        <v>2254</v>
      </c>
      <c r="D4" s="3542"/>
      <c r="E4" s="3543" t="s">
        <v>2255</v>
      </c>
      <c r="F4" s="3544"/>
      <c r="G4" s="3541" t="s">
        <v>2256</v>
      </c>
      <c r="H4" s="3542"/>
      <c r="I4" s="3541" t="s">
        <v>2257</v>
      </c>
      <c r="J4" s="3542"/>
      <c r="K4" s="496" t="s">
        <v>2258</v>
      </c>
      <c r="L4" s="3027"/>
      <c r="M4" s="3028"/>
      <c r="N4" s="3028"/>
      <c r="O4" s="3028"/>
      <c r="P4" s="3545" t="s">
        <v>2259</v>
      </c>
      <c r="Q4" s="3546"/>
      <c r="R4" s="3528" t="s">
        <v>2255</v>
      </c>
      <c r="S4" s="3529"/>
      <c r="T4" s="3528" t="s">
        <v>2256</v>
      </c>
      <c r="U4" s="3529"/>
      <c r="V4" s="3551" t="s">
        <v>2257</v>
      </c>
      <c r="W4" s="3551"/>
      <c r="X4" s="1335"/>
      <c r="Y4" s="3528" t="s">
        <v>2259</v>
      </c>
      <c r="Z4" s="3529"/>
      <c r="AA4" s="3538" t="s">
        <v>2255</v>
      </c>
      <c r="AB4" s="3539" t="s">
        <v>2256</v>
      </c>
      <c r="AC4" s="3538" t="s">
        <v>2257</v>
      </c>
    </row>
    <row r="5" spans="1:29">
      <c r="A5" s="297"/>
      <c r="B5" s="298"/>
      <c r="C5" s="3554" t="str">
        <f>'比较法-住宅'!C5:D5</f>
        <v>首创美伦湾</v>
      </c>
      <c r="D5" s="3555"/>
      <c r="E5" s="3560" t="s">
        <v>2991</v>
      </c>
      <c r="F5" s="3553"/>
      <c r="G5" s="3561" t="s">
        <v>2993</v>
      </c>
      <c r="H5" s="3555"/>
      <c r="I5" s="3561" t="s">
        <v>2982</v>
      </c>
      <c r="J5" s="3555"/>
      <c r="K5" s="496"/>
      <c r="L5" s="3027"/>
      <c r="M5" s="3028"/>
      <c r="N5" s="3028"/>
      <c r="O5" s="3028"/>
      <c r="P5" s="3547"/>
      <c r="Q5" s="3548"/>
      <c r="R5" s="3530"/>
      <c r="S5" s="3531"/>
      <c r="T5" s="3530"/>
      <c r="U5" s="3531"/>
      <c r="V5" s="3551"/>
      <c r="W5" s="3551"/>
      <c r="X5" s="1335"/>
      <c r="Y5" s="3530"/>
      <c r="Z5" s="3531"/>
      <c r="AA5" s="3539"/>
      <c r="AB5" s="3539"/>
      <c r="AC5" s="3539"/>
    </row>
    <row r="6" spans="1:29" ht="15" thickBot="1">
      <c r="A6" s="299"/>
      <c r="B6" s="300"/>
      <c r="C6" s="3556">
        <f>'比较法-住宅'!C6:D6</f>
        <v>0</v>
      </c>
      <c r="D6" s="3557"/>
      <c r="E6" s="3558" t="s">
        <v>2264</v>
      </c>
      <c r="F6" s="3559"/>
      <c r="G6" s="3556" t="s">
        <v>2264</v>
      </c>
      <c r="H6" s="3557"/>
      <c r="I6" s="3556" t="s">
        <v>2264</v>
      </c>
      <c r="J6" s="3557"/>
      <c r="K6" s="496" t="s">
        <v>2265</v>
      </c>
      <c r="L6" s="3027"/>
      <c r="M6" s="3028"/>
      <c r="N6" s="3028"/>
      <c r="O6" s="3028"/>
      <c r="P6" s="3549"/>
      <c r="Q6" s="3550"/>
      <c r="R6" s="3530"/>
      <c r="S6" s="3531"/>
      <c r="T6" s="3532"/>
      <c r="U6" s="3533"/>
      <c r="V6" s="3551"/>
      <c r="W6" s="3551"/>
      <c r="X6" s="1335"/>
      <c r="Y6" s="3532"/>
      <c r="Z6" s="3533"/>
      <c r="AA6" s="3540"/>
      <c r="AB6" s="3540"/>
      <c r="AC6" s="3540"/>
    </row>
    <row r="7" spans="1:29" s="25" customFormat="1" ht="15" thickBot="1">
      <c r="A7" s="301" t="s">
        <v>2266</v>
      </c>
      <c r="B7" s="302"/>
      <c r="C7" s="303">
        <f>'数据-取费表'!B2</f>
        <v>45558</v>
      </c>
      <c r="D7" s="304">
        <v>100</v>
      </c>
      <c r="E7" s="305">
        <f>C7</f>
        <v>45558</v>
      </c>
      <c r="F7" s="306">
        <f>SUMIF(48:48,YEAR(E7)&amp;"-"&amp;MONTH(E7),49:49)</f>
        <v>100</v>
      </c>
      <c r="G7" s="305">
        <f>C7</f>
        <v>45558</v>
      </c>
      <c r="H7" s="304">
        <f>SUMIF(48:48,YEAR(G7)&amp;"-"&amp;MONTH(G7),49:49)</f>
        <v>100</v>
      </c>
      <c r="I7" s="305">
        <f>C7</f>
        <v>45558</v>
      </c>
      <c r="J7" s="304">
        <f>SUMIF(48:48,YEAR(I7)&amp;"-"&amp;MONTH(I7),49:49)</f>
        <v>100</v>
      </c>
      <c r="K7" s="497"/>
      <c r="L7" s="3029"/>
      <c r="M7" s="3030"/>
      <c r="N7" s="3030"/>
      <c r="O7" s="3030"/>
      <c r="P7" s="3526" t="s">
        <v>2267</v>
      </c>
      <c r="Q7" s="3534"/>
      <c r="R7" s="627" t="s">
        <v>25</v>
      </c>
      <c r="S7" s="628">
        <f t="shared" ref="S7:S14" si="0">F7</f>
        <v>100</v>
      </c>
      <c r="T7" s="627" t="s">
        <v>25</v>
      </c>
      <c r="U7" s="628">
        <f t="shared" ref="U7:U14" si="1">H7</f>
        <v>100</v>
      </c>
      <c r="V7" s="627" t="s">
        <v>25</v>
      </c>
      <c r="W7" s="628">
        <f t="shared" ref="W7:W14" si="2">J7</f>
        <v>100</v>
      </c>
      <c r="X7" s="629"/>
      <c r="Y7" s="3526" t="s">
        <v>2267</v>
      </c>
      <c r="Z7" s="3527"/>
      <c r="AA7" s="630">
        <f>D7/F7</f>
        <v>1</v>
      </c>
      <c r="AB7" s="630">
        <f>D7/H7</f>
        <v>1</v>
      </c>
      <c r="AC7" s="630">
        <f>D7/J7</f>
        <v>1</v>
      </c>
    </row>
    <row r="8" spans="1:29" s="25" customFormat="1" ht="15" thickBot="1">
      <c r="A8" s="301" t="s">
        <v>2268</v>
      </c>
      <c r="B8" s="302"/>
      <c r="C8" s="307" t="s">
        <v>2269</v>
      </c>
      <c r="D8" s="304">
        <v>100</v>
      </c>
      <c r="E8" s="307" t="s">
        <v>2890</v>
      </c>
      <c r="F8" s="306">
        <f>SUMIF(51:51,E8,52:52)-SUMIF(51:51,C8,52:52)+100</f>
        <v>100</v>
      </c>
      <c r="G8" s="307" t="s">
        <v>2890</v>
      </c>
      <c r="H8" s="304">
        <f>SUMIF(51:51,G8,52:52)-SUMIF(51:51,C8,52:52)+100</f>
        <v>100</v>
      </c>
      <c r="I8" s="307" t="s">
        <v>2890</v>
      </c>
      <c r="J8" s="304">
        <f>SUMIF(51:51,I8,52:52)-SUMIF(51:51,C8,52:52)+100</f>
        <v>100</v>
      </c>
      <c r="K8" s="497"/>
      <c r="L8" s="3029"/>
      <c r="M8" s="3030"/>
      <c r="N8" s="3030"/>
      <c r="O8" s="3030"/>
      <c r="P8" s="3526" t="s">
        <v>2270</v>
      </c>
      <c r="Q8" s="3527"/>
      <c r="R8" s="627" t="s">
        <v>25</v>
      </c>
      <c r="S8" s="628">
        <f t="shared" si="0"/>
        <v>100</v>
      </c>
      <c r="T8" s="627" t="s">
        <v>25</v>
      </c>
      <c r="U8" s="628">
        <f t="shared" si="1"/>
        <v>100</v>
      </c>
      <c r="V8" s="627" t="s">
        <v>25</v>
      </c>
      <c r="W8" s="628">
        <f t="shared" si="2"/>
        <v>100</v>
      </c>
      <c r="X8" s="629"/>
      <c r="Y8" s="3526" t="s">
        <v>2270</v>
      </c>
      <c r="Z8" s="3527"/>
      <c r="AA8" s="630">
        <f t="shared" ref="AA8:AA36" si="3">D8/F8</f>
        <v>1</v>
      </c>
      <c r="AB8" s="630">
        <f t="shared" ref="AB8:AB36" si="4">D8/H8</f>
        <v>1</v>
      </c>
      <c r="AC8" s="630">
        <f t="shared" ref="AC8:AC36" si="5">D8/J8</f>
        <v>1</v>
      </c>
    </row>
    <row r="9" spans="1:29" s="25" customFormat="1" ht="15" thickBot="1">
      <c r="A9" s="21" t="s">
        <v>2271</v>
      </c>
      <c r="B9" s="522" t="s">
        <v>2272</v>
      </c>
      <c r="C9" s="3173" t="s">
        <v>2981</v>
      </c>
      <c r="D9" s="28">
        <v>100</v>
      </c>
      <c r="E9" s="311" t="s">
        <v>2980</v>
      </c>
      <c r="F9" s="28">
        <f>SUMIF(53:53,E9,54:54)-SUMIF(53:53,C9,54:54)+100</f>
        <v>100</v>
      </c>
      <c r="G9" s="310" t="s">
        <v>2980</v>
      </c>
      <c r="H9" s="28">
        <f>SUMIF(53:53,G9,54:54)-SUMIF(53:53,C9,54:54)+100</f>
        <v>100</v>
      </c>
      <c r="I9" s="310" t="s">
        <v>2980</v>
      </c>
      <c r="J9" s="28">
        <f>SUMIF(53:53,I9,54:54)-SUMIF(53:53,C9,54:54)+100</f>
        <v>100</v>
      </c>
      <c r="K9" s="497"/>
      <c r="L9" s="3029"/>
      <c r="M9" s="3030"/>
      <c r="N9" s="3030"/>
      <c r="O9" s="3031"/>
      <c r="P9" s="3518" t="s">
        <v>2273</v>
      </c>
      <c r="Q9" s="1327" t="str">
        <f t="shared" ref="Q9:Q14" si="6">B9</f>
        <v>用途</v>
      </c>
      <c r="R9" s="627" t="s">
        <v>25</v>
      </c>
      <c r="S9" s="628">
        <f t="shared" si="0"/>
        <v>100</v>
      </c>
      <c r="T9" s="627" t="s">
        <v>25</v>
      </c>
      <c r="U9" s="628">
        <f t="shared" si="1"/>
        <v>100</v>
      </c>
      <c r="V9" s="627" t="s">
        <v>25</v>
      </c>
      <c r="W9" s="628">
        <f t="shared" si="2"/>
        <v>100</v>
      </c>
      <c r="X9" s="629"/>
      <c r="Y9" s="3537" t="s">
        <v>2274</v>
      </c>
      <c r="Z9" s="19" t="str">
        <f t="shared" ref="Z9:Z14" si="7">Q9</f>
        <v>用途</v>
      </c>
      <c r="AA9" s="630">
        <f t="shared" si="3"/>
        <v>1</v>
      </c>
      <c r="AB9" s="630">
        <f t="shared" si="4"/>
        <v>1</v>
      </c>
      <c r="AC9" s="630">
        <f t="shared" si="5"/>
        <v>1</v>
      </c>
    </row>
    <row r="10" spans="1:29" s="317" customFormat="1" ht="28.8" hidden="1">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518"/>
      <c r="Q10" s="1327" t="str">
        <f t="shared" si="6"/>
        <v>土地使用年限（年）</v>
      </c>
      <c r="R10" s="627" t="s">
        <v>25</v>
      </c>
      <c r="S10" s="628">
        <f t="shared" si="0"/>
        <v>100</v>
      </c>
      <c r="T10" s="627" t="s">
        <v>25</v>
      </c>
      <c r="U10" s="628">
        <f t="shared" si="1"/>
        <v>100</v>
      </c>
      <c r="V10" s="627" t="s">
        <v>25</v>
      </c>
      <c r="W10" s="628">
        <f t="shared" si="2"/>
        <v>100</v>
      </c>
      <c r="X10" s="629"/>
      <c r="Y10" s="3537"/>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518"/>
      <c r="Q11" s="1327">
        <f t="shared" si="6"/>
        <v>111</v>
      </c>
      <c r="R11" s="627" t="s">
        <v>25</v>
      </c>
      <c r="S11" s="628">
        <f t="shared" si="0"/>
        <v>100</v>
      </c>
      <c r="T11" s="627" t="s">
        <v>25</v>
      </c>
      <c r="U11" s="628">
        <f t="shared" si="1"/>
        <v>100</v>
      </c>
      <c r="V11" s="627" t="s">
        <v>25</v>
      </c>
      <c r="W11" s="628">
        <f t="shared" si="2"/>
        <v>100</v>
      </c>
      <c r="X11" s="629"/>
      <c r="Y11" s="3537"/>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518"/>
      <c r="Q12" s="1327">
        <f t="shared" si="6"/>
        <v>111</v>
      </c>
      <c r="R12" s="627" t="s">
        <v>25</v>
      </c>
      <c r="S12" s="628">
        <f t="shared" si="0"/>
        <v>100</v>
      </c>
      <c r="T12" s="627" t="s">
        <v>25</v>
      </c>
      <c r="U12" s="628">
        <f t="shared" si="1"/>
        <v>100</v>
      </c>
      <c r="V12" s="627" t="s">
        <v>25</v>
      </c>
      <c r="W12" s="628">
        <f t="shared" si="2"/>
        <v>100</v>
      </c>
      <c r="X12" s="629"/>
      <c r="Y12" s="3537"/>
      <c r="Z12" s="19">
        <f t="shared" si="7"/>
        <v>111</v>
      </c>
      <c r="AA12" s="630">
        <f>D12/F12</f>
        <v>1</v>
      </c>
      <c r="AB12" s="630">
        <f>D12/H12</f>
        <v>1</v>
      </c>
      <c r="AC12" s="630">
        <f>D12/J12</f>
        <v>1</v>
      </c>
    </row>
    <row r="13" spans="1:29" ht="15.6"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518"/>
      <c r="Q13" s="1327">
        <f t="shared" si="6"/>
        <v>111</v>
      </c>
      <c r="R13" s="627" t="s">
        <v>25</v>
      </c>
      <c r="S13" s="628">
        <f t="shared" si="0"/>
        <v>100</v>
      </c>
      <c r="T13" s="627" t="s">
        <v>25</v>
      </c>
      <c r="U13" s="628">
        <f t="shared" si="1"/>
        <v>100</v>
      </c>
      <c r="V13" s="627" t="s">
        <v>25</v>
      </c>
      <c r="W13" s="628">
        <f t="shared" si="2"/>
        <v>100</v>
      </c>
      <c r="X13" s="629"/>
      <c r="Y13" s="3537"/>
      <c r="Z13" s="19">
        <f t="shared" si="7"/>
        <v>111</v>
      </c>
      <c r="AA13" s="630">
        <f t="shared" si="3"/>
        <v>1</v>
      </c>
      <c r="AB13" s="630">
        <f t="shared" si="4"/>
        <v>1</v>
      </c>
      <c r="AC13" s="630">
        <f t="shared" si="5"/>
        <v>1</v>
      </c>
    </row>
    <row r="14" spans="1:29" ht="110.4">
      <c r="A14" s="294" t="s">
        <v>2277</v>
      </c>
      <c r="B14" s="511" t="s">
        <v>2414</v>
      </c>
      <c r="C14" s="1143" t="str">
        <f>IF(B1="工业",估价对象房地状况!G4,估价对象房地状况!C6)</f>
        <v>估价对象周边有顺2路、顺27路、顺28路、顺38路等多条公交线路，地铁15号线南法信站，综合评价交通便捷度较好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35" t="s">
        <v>2278</v>
      </c>
      <c r="Q14" s="1334" t="str">
        <f t="shared" si="6"/>
        <v>交通便捷度</v>
      </c>
      <c r="R14" s="631" t="s">
        <v>25</v>
      </c>
      <c r="S14" s="632">
        <f t="shared" si="0"/>
        <v>100</v>
      </c>
      <c r="T14" s="631" t="s">
        <v>25</v>
      </c>
      <c r="U14" s="632">
        <f t="shared" si="1"/>
        <v>100</v>
      </c>
      <c r="V14" s="631" t="s">
        <v>25</v>
      </c>
      <c r="W14" s="632">
        <f t="shared" si="2"/>
        <v>100</v>
      </c>
      <c r="X14" s="1335"/>
      <c r="Y14" s="3535" t="s">
        <v>2278</v>
      </c>
      <c r="Z14" s="1336" t="str">
        <f t="shared" si="7"/>
        <v>交通便捷度</v>
      </c>
      <c r="AA14" s="1337">
        <f t="shared" si="3"/>
        <v>1</v>
      </c>
      <c r="AB14" s="1337">
        <f t="shared" si="4"/>
        <v>1</v>
      </c>
      <c r="AC14" s="1337">
        <f t="shared" si="5"/>
        <v>1</v>
      </c>
    </row>
    <row r="15" spans="1:29" ht="15">
      <c r="A15" s="297"/>
      <c r="B15" s="529"/>
      <c r="C15" s="1144" t="s">
        <v>30</v>
      </c>
      <c r="D15" s="1138"/>
      <c r="E15" s="335" t="s">
        <v>30</v>
      </c>
      <c r="F15" s="336"/>
      <c r="G15" s="1135" t="s">
        <v>30</v>
      </c>
      <c r="H15" s="339"/>
      <c r="I15" s="335" t="s">
        <v>30</v>
      </c>
      <c r="J15" s="336"/>
      <c r="K15" s="501"/>
      <c r="L15" s="3037"/>
      <c r="M15" s="3028"/>
      <c r="N15" s="3028"/>
      <c r="O15" s="3036"/>
      <c r="P15" s="3536"/>
      <c r="Q15" s="1334"/>
      <c r="R15" s="631"/>
      <c r="S15" s="632"/>
      <c r="T15" s="631"/>
      <c r="U15" s="632"/>
      <c r="V15" s="631"/>
      <c r="W15" s="632"/>
      <c r="X15" s="1335"/>
      <c r="Y15" s="3536"/>
      <c r="Z15" s="1336"/>
      <c r="AA15" s="1337">
        <v>1</v>
      </c>
      <c r="AB15" s="1337">
        <v>1</v>
      </c>
      <c r="AC15" s="1337">
        <v>1</v>
      </c>
    </row>
    <row r="16" spans="1:29" ht="41.4">
      <c r="A16" s="297"/>
      <c r="B16" s="513" t="s">
        <v>2392</v>
      </c>
      <c r="C16" s="1145" t="str">
        <f>IF(B1="工业",估价对象房地状况!G5,估价对象房地状况!C7)</f>
        <v>估价对象所在区域公共配套设施较齐备</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36"/>
      <c r="Q16" s="1334" t="str">
        <f>B16</f>
        <v>公共配套设施</v>
      </c>
      <c r="R16" s="631" t="s">
        <v>25</v>
      </c>
      <c r="S16" s="632">
        <f>F16</f>
        <v>100</v>
      </c>
      <c r="T16" s="631" t="s">
        <v>25</v>
      </c>
      <c r="U16" s="632">
        <f>H16</f>
        <v>100</v>
      </c>
      <c r="V16" s="631" t="s">
        <v>25</v>
      </c>
      <c r="W16" s="632">
        <f>J16</f>
        <v>100</v>
      </c>
      <c r="X16" s="1335"/>
      <c r="Y16" s="3536"/>
      <c r="Z16" s="1336" t="str">
        <f>Q16</f>
        <v>公共配套设施</v>
      </c>
      <c r="AA16" s="1337">
        <f t="shared" si="3"/>
        <v>1</v>
      </c>
      <c r="AB16" s="1337">
        <f t="shared" si="4"/>
        <v>1</v>
      </c>
      <c r="AC16" s="1337">
        <f t="shared" si="5"/>
        <v>1</v>
      </c>
    </row>
    <row r="17" spans="1:29" ht="15">
      <c r="A17" s="297"/>
      <c r="B17" s="514"/>
      <c r="C17" s="1133" t="s">
        <v>30</v>
      </c>
      <c r="D17" s="1139"/>
      <c r="E17" s="337" t="s">
        <v>30</v>
      </c>
      <c r="F17" s="339"/>
      <c r="G17" s="337" t="s">
        <v>30</v>
      </c>
      <c r="H17" s="336"/>
      <c r="I17" s="337" t="s">
        <v>30</v>
      </c>
      <c r="J17" s="336"/>
      <c r="K17" s="501"/>
      <c r="L17" s="3037"/>
      <c r="M17" s="3028"/>
      <c r="N17" s="3028"/>
      <c r="O17" s="3036"/>
      <c r="P17" s="3536"/>
      <c r="Q17" s="1334"/>
      <c r="R17" s="631"/>
      <c r="S17" s="632"/>
      <c r="T17" s="631"/>
      <c r="U17" s="632"/>
      <c r="V17" s="631"/>
      <c r="W17" s="632"/>
      <c r="X17" s="1335"/>
      <c r="Y17" s="3536"/>
      <c r="Z17" s="1336"/>
      <c r="AA17" s="1337">
        <v>1</v>
      </c>
      <c r="AB17" s="1337">
        <v>1</v>
      </c>
      <c r="AC17" s="1337">
        <v>1</v>
      </c>
    </row>
    <row r="18" spans="1:29" ht="15">
      <c r="A18" s="297"/>
      <c r="B18" s="515" t="s">
        <v>2393</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36"/>
      <c r="Q18" s="1334" t="str">
        <f>B18</f>
        <v>基础设施水平</v>
      </c>
      <c r="R18" s="631" t="s">
        <v>25</v>
      </c>
      <c r="S18" s="632">
        <f>F18</f>
        <v>100</v>
      </c>
      <c r="T18" s="631" t="s">
        <v>25</v>
      </c>
      <c r="U18" s="632">
        <f>H18</f>
        <v>100</v>
      </c>
      <c r="V18" s="631" t="s">
        <v>25</v>
      </c>
      <c r="W18" s="632">
        <f>J18</f>
        <v>100</v>
      </c>
      <c r="X18" s="1335"/>
      <c r="Y18" s="3536"/>
      <c r="Z18" s="1336" t="str">
        <f>Q18</f>
        <v>基础设施水平</v>
      </c>
      <c r="AA18" s="1337">
        <f t="shared" ref="AA18" si="8">D18/F18</f>
        <v>1</v>
      </c>
      <c r="AB18" s="1337">
        <f t="shared" ref="AB18" si="9">D18/H18</f>
        <v>1</v>
      </c>
      <c r="AC18" s="1337">
        <f t="shared" ref="AC18" si="10">D18/J18</f>
        <v>1</v>
      </c>
    </row>
    <row r="19" spans="1:29" ht="15">
      <c r="A19" s="297"/>
      <c r="B19" s="515"/>
      <c r="C19" s="1134" t="s">
        <v>2904</v>
      </c>
      <c r="D19" s="1139"/>
      <c r="E19" s="1131" t="s">
        <v>2904</v>
      </c>
      <c r="F19" s="339"/>
      <c r="G19" s="1131" t="s">
        <v>2904</v>
      </c>
      <c r="H19" s="336"/>
      <c r="I19" s="337" t="s">
        <v>2904</v>
      </c>
      <c r="J19" s="336"/>
      <c r="K19" s="1132"/>
      <c r="L19" s="3037"/>
      <c r="M19" s="3028"/>
      <c r="N19" s="3028"/>
      <c r="O19" s="3036"/>
      <c r="P19" s="3536"/>
      <c r="Q19" s="1334"/>
      <c r="R19" s="631"/>
      <c r="S19" s="632"/>
      <c r="T19" s="631"/>
      <c r="U19" s="632"/>
      <c r="V19" s="631"/>
      <c r="W19" s="632"/>
      <c r="X19" s="1335"/>
      <c r="Y19" s="3536"/>
      <c r="Z19" s="1336"/>
      <c r="AA19" s="1337">
        <v>1</v>
      </c>
      <c r="AB19" s="1337">
        <v>1</v>
      </c>
      <c r="AC19" s="1337">
        <v>1</v>
      </c>
    </row>
    <row r="20" spans="1:29" ht="41.4">
      <c r="A20" s="297"/>
      <c r="B20" s="513" t="s">
        <v>2415</v>
      </c>
      <c r="C20" s="1145" t="str">
        <f>IF(B1="工业",估价对象房地状况!G7,估价对象房地状况!C9)</f>
        <v>区域自然环境：小中河；综合评价环境状况一般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36"/>
      <c r="Q20" s="1334" t="str">
        <f>B20</f>
        <v>自然及人文环境</v>
      </c>
      <c r="R20" s="631" t="s">
        <v>25</v>
      </c>
      <c r="S20" s="632">
        <f>F20</f>
        <v>100</v>
      </c>
      <c r="T20" s="631" t="s">
        <v>25</v>
      </c>
      <c r="U20" s="632">
        <f>H20</f>
        <v>100</v>
      </c>
      <c r="V20" s="631" t="s">
        <v>25</v>
      </c>
      <c r="W20" s="632">
        <f>J20</f>
        <v>100</v>
      </c>
      <c r="X20" s="1335"/>
      <c r="Y20" s="3536"/>
      <c r="Z20" s="1336" t="str">
        <f>Q20</f>
        <v>自然及人文环境</v>
      </c>
      <c r="AA20" s="1337">
        <f t="shared" si="3"/>
        <v>1</v>
      </c>
      <c r="AB20" s="1337">
        <f t="shared" si="4"/>
        <v>1</v>
      </c>
      <c r="AC20" s="1337">
        <f t="shared" si="5"/>
        <v>1</v>
      </c>
    </row>
    <row r="21" spans="1:29" ht="15.6" thickBot="1">
      <c r="A21" s="297"/>
      <c r="B21" s="514"/>
      <c r="C21" s="1144" t="s">
        <v>30</v>
      </c>
      <c r="D21" s="1138"/>
      <c r="E21" s="335" t="s">
        <v>30</v>
      </c>
      <c r="F21" s="336"/>
      <c r="G21" s="1135" t="s">
        <v>30</v>
      </c>
      <c r="H21" s="336"/>
      <c r="I21" s="335" t="s">
        <v>30</v>
      </c>
      <c r="J21" s="336"/>
      <c r="K21" s="501"/>
      <c r="L21" s="3037"/>
      <c r="M21" s="3028"/>
      <c r="N21" s="3028"/>
      <c r="O21" s="3036"/>
      <c r="P21" s="3536"/>
      <c r="Q21" s="1334"/>
      <c r="R21" s="631"/>
      <c r="S21" s="632"/>
      <c r="T21" s="631"/>
      <c r="U21" s="632"/>
      <c r="V21" s="631"/>
      <c r="W21" s="632"/>
      <c r="X21" s="1335"/>
      <c r="Y21" s="3536"/>
      <c r="Z21" s="1336"/>
      <c r="AA21" s="1337">
        <v>1</v>
      </c>
      <c r="AB21" s="1337">
        <v>1</v>
      </c>
      <c r="AC21" s="1337">
        <v>1</v>
      </c>
    </row>
    <row r="22" spans="1:29" ht="15" hidden="1">
      <c r="A22" s="297"/>
      <c r="B22" s="513" t="s">
        <v>2416</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36"/>
      <c r="Q22" s="1334" t="str">
        <f>B22</f>
        <v>楼层</v>
      </c>
      <c r="R22" s="631" t="s">
        <v>25</v>
      </c>
      <c r="S22" s="632">
        <f>F22</f>
        <v>100</v>
      </c>
      <c r="T22" s="631" t="s">
        <v>25</v>
      </c>
      <c r="U22" s="632">
        <f>H22</f>
        <v>100</v>
      </c>
      <c r="V22" s="631" t="s">
        <v>25</v>
      </c>
      <c r="W22" s="632">
        <f>J22</f>
        <v>100</v>
      </c>
      <c r="X22" s="1335"/>
      <c r="Y22" s="3536"/>
      <c r="Z22" s="1336" t="str">
        <f>Q22</f>
        <v>楼层</v>
      </c>
      <c r="AA22" s="1337">
        <f t="shared" si="3"/>
        <v>1</v>
      </c>
      <c r="AB22" s="1337">
        <f t="shared" si="4"/>
        <v>1</v>
      </c>
      <c r="AC22" s="1337">
        <f t="shared" si="5"/>
        <v>1</v>
      </c>
    </row>
    <row r="23" spans="1:29" ht="15" hidden="1">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36"/>
      <c r="Q23" s="1334">
        <f>B23</f>
        <v>111</v>
      </c>
      <c r="R23" s="631" t="s">
        <v>25</v>
      </c>
      <c r="S23" s="632">
        <f>F23</f>
        <v>100</v>
      </c>
      <c r="T23" s="631" t="s">
        <v>25</v>
      </c>
      <c r="U23" s="632">
        <f>H23</f>
        <v>100</v>
      </c>
      <c r="V23" s="631" t="s">
        <v>25</v>
      </c>
      <c r="W23" s="632">
        <f>J23</f>
        <v>100</v>
      </c>
      <c r="X23" s="1335"/>
      <c r="Y23" s="3536"/>
      <c r="Z23" s="1336">
        <f>Q23</f>
        <v>111</v>
      </c>
      <c r="AA23" s="1337">
        <f t="shared" si="3"/>
        <v>1</v>
      </c>
      <c r="AB23" s="1337">
        <f t="shared" si="4"/>
        <v>1</v>
      </c>
      <c r="AC23" s="1337">
        <f t="shared" si="5"/>
        <v>1</v>
      </c>
    </row>
    <row r="24" spans="1:29" ht="15" hidden="1">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36"/>
      <c r="Q24" s="1334">
        <f t="shared" ref="Q24:Q36" si="11">B24</f>
        <v>111</v>
      </c>
      <c r="R24" s="631" t="s">
        <v>25</v>
      </c>
      <c r="S24" s="632">
        <f>F24</f>
        <v>100</v>
      </c>
      <c r="T24" s="631" t="s">
        <v>25</v>
      </c>
      <c r="U24" s="632">
        <f>H24</f>
        <v>100</v>
      </c>
      <c r="V24" s="631" t="s">
        <v>25</v>
      </c>
      <c r="W24" s="632">
        <f>J24</f>
        <v>100</v>
      </c>
      <c r="X24" s="1335"/>
      <c r="Y24" s="3536"/>
      <c r="Z24" s="1336">
        <f>Q24</f>
        <v>111</v>
      </c>
      <c r="AA24" s="1337">
        <f t="shared" si="3"/>
        <v>1</v>
      </c>
      <c r="AB24" s="1337">
        <f t="shared" si="4"/>
        <v>1</v>
      </c>
      <c r="AC24" s="1337">
        <f t="shared" si="5"/>
        <v>1</v>
      </c>
    </row>
    <row r="25" spans="1:29" s="25" customFormat="1" ht="15.6" hidden="1"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36"/>
      <c r="Q25" s="1327">
        <f t="shared" si="11"/>
        <v>111</v>
      </c>
      <c r="R25" s="627" t="s">
        <v>25</v>
      </c>
      <c r="S25" s="628">
        <f>F25</f>
        <v>100</v>
      </c>
      <c r="T25" s="627" t="s">
        <v>25</v>
      </c>
      <c r="U25" s="628">
        <f>H25</f>
        <v>100</v>
      </c>
      <c r="V25" s="627" t="s">
        <v>25</v>
      </c>
      <c r="W25" s="628">
        <f>J25</f>
        <v>100</v>
      </c>
      <c r="X25" s="629"/>
      <c r="Y25" s="3536"/>
      <c r="Z25" s="19">
        <f>Q25</f>
        <v>111</v>
      </c>
      <c r="AA25" s="1337">
        <f>D25/F25</f>
        <v>1</v>
      </c>
      <c r="AB25" s="1337">
        <f>D25/H25</f>
        <v>1</v>
      </c>
      <c r="AC25" s="1337">
        <f>D25/J25</f>
        <v>1</v>
      </c>
    </row>
    <row r="26" spans="1:29" ht="30">
      <c r="A26" s="533" t="s">
        <v>2282</v>
      </c>
      <c r="B26" s="23" t="s">
        <v>2417</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523"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4" t="s">
        <v>2284</v>
      </c>
      <c r="Z26" s="1336" t="str">
        <f t="shared" ref="Z26:Z36" si="15">Q26</f>
        <v>配套类型</v>
      </c>
      <c r="AA26" s="1337">
        <f t="shared" si="3"/>
        <v>1</v>
      </c>
      <c r="AB26" s="1337">
        <f t="shared" si="4"/>
        <v>1</v>
      </c>
      <c r="AC26" s="1337">
        <f t="shared" si="5"/>
        <v>1</v>
      </c>
    </row>
    <row r="27" spans="1:29" s="359" customFormat="1" ht="15">
      <c r="A27" s="534"/>
      <c r="B27" s="535" t="s">
        <v>2418</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24"/>
      <c r="Q27" s="633" t="str">
        <f t="shared" si="11"/>
        <v>项目停车位配比</v>
      </c>
      <c r="R27" s="634" t="s">
        <v>25</v>
      </c>
      <c r="S27" s="635">
        <f t="shared" si="12"/>
        <v>100</v>
      </c>
      <c r="T27" s="634" t="s">
        <v>25</v>
      </c>
      <c r="U27" s="635">
        <f t="shared" si="13"/>
        <v>100</v>
      </c>
      <c r="V27" s="634" t="s">
        <v>25</v>
      </c>
      <c r="W27" s="635">
        <f t="shared" si="14"/>
        <v>100</v>
      </c>
      <c r="X27" s="636"/>
      <c r="Y27" s="3524"/>
      <c r="Z27" s="637" t="str">
        <f t="shared" si="15"/>
        <v>项目停车位配比</v>
      </c>
      <c r="AA27" s="1337">
        <f t="shared" si="3"/>
        <v>1</v>
      </c>
      <c r="AB27" s="1337">
        <f t="shared" si="4"/>
        <v>1</v>
      </c>
      <c r="AC27" s="1337">
        <f t="shared" si="5"/>
        <v>1</v>
      </c>
    </row>
    <row r="28" spans="1:29" ht="15">
      <c r="A28" s="537"/>
      <c r="B28" s="535" t="s">
        <v>2419</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24"/>
      <c r="Q28" s="1334" t="str">
        <f t="shared" si="11"/>
        <v>公共部分装修</v>
      </c>
      <c r="R28" s="631" t="s">
        <v>25</v>
      </c>
      <c r="S28" s="632">
        <f t="shared" si="12"/>
        <v>100</v>
      </c>
      <c r="T28" s="631" t="s">
        <v>25</v>
      </c>
      <c r="U28" s="632">
        <f t="shared" si="13"/>
        <v>100</v>
      </c>
      <c r="V28" s="631" t="s">
        <v>25</v>
      </c>
      <c r="W28" s="632">
        <f t="shared" si="14"/>
        <v>100</v>
      </c>
      <c r="X28" s="1335"/>
      <c r="Y28" s="3524"/>
      <c r="Z28" s="1336" t="str">
        <f t="shared" si="15"/>
        <v>公共部分装修</v>
      </c>
      <c r="AA28" s="1337">
        <f t="shared" si="3"/>
        <v>1</v>
      </c>
      <c r="AB28" s="1337">
        <f t="shared" si="4"/>
        <v>1</v>
      </c>
      <c r="AC28" s="1337">
        <f t="shared" si="5"/>
        <v>1</v>
      </c>
    </row>
    <row r="29" spans="1:29" ht="15">
      <c r="A29" s="537"/>
      <c r="B29" s="535" t="s">
        <v>2420</v>
      </c>
      <c r="C29" s="362">
        <v>0.85</v>
      </c>
      <c r="D29" s="325">
        <v>100</v>
      </c>
      <c r="E29" s="362">
        <v>0.75</v>
      </c>
      <c r="F29" s="351">
        <f>LOOKUP(E29,86:86,87:87)-LOOKUP(C29,86:86,87:87)+100</f>
        <v>95</v>
      </c>
      <c r="G29" s="362">
        <f>E29</f>
        <v>0.75</v>
      </c>
      <c r="H29" s="351">
        <f>LOOKUP(G29,86:86,87:87)-LOOKUP(C29,86:86,87:87)+100</f>
        <v>95</v>
      </c>
      <c r="I29" s="362">
        <f>E29</f>
        <v>0.75</v>
      </c>
      <c r="J29" s="325">
        <f>LOOKUP(I29,86:86,87:87)-LOOKUP(C29,86:86,87:87)+100</f>
        <v>95</v>
      </c>
      <c r="K29" s="498">
        <v>5</v>
      </c>
      <c r="L29" s="3037"/>
      <c r="M29" s="3028"/>
      <c r="N29" s="3028"/>
      <c r="O29" s="3036"/>
      <c r="P29" s="3524"/>
      <c r="Q29" s="1334" t="str">
        <f t="shared" si="11"/>
        <v>成新率</v>
      </c>
      <c r="R29" s="631" t="s">
        <v>25</v>
      </c>
      <c r="S29" s="632">
        <f t="shared" si="12"/>
        <v>95</v>
      </c>
      <c r="T29" s="631" t="s">
        <v>25</v>
      </c>
      <c r="U29" s="632">
        <f t="shared" si="13"/>
        <v>95</v>
      </c>
      <c r="V29" s="631" t="s">
        <v>25</v>
      </c>
      <c r="W29" s="632">
        <f t="shared" si="14"/>
        <v>95</v>
      </c>
      <c r="X29" s="1335"/>
      <c r="Y29" s="3524"/>
      <c r="Z29" s="1336" t="str">
        <f t="shared" si="15"/>
        <v>成新率</v>
      </c>
      <c r="AA29" s="1337">
        <f t="shared" si="3"/>
        <v>1.0526315789473684</v>
      </c>
      <c r="AB29" s="1337">
        <f t="shared" si="4"/>
        <v>1.0526315789473684</v>
      </c>
      <c r="AC29" s="1337">
        <f t="shared" si="5"/>
        <v>1.0526315789473684</v>
      </c>
    </row>
    <row r="30" spans="1:29" ht="15">
      <c r="A30" s="537"/>
      <c r="B30" s="535" t="s">
        <v>2421</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24"/>
      <c r="Q30" s="1334" t="str">
        <f t="shared" si="11"/>
        <v>物业等级</v>
      </c>
      <c r="R30" s="631" t="s">
        <v>25</v>
      </c>
      <c r="S30" s="632">
        <f t="shared" si="12"/>
        <v>100</v>
      </c>
      <c r="T30" s="631" t="s">
        <v>25</v>
      </c>
      <c r="U30" s="632">
        <f t="shared" si="13"/>
        <v>100</v>
      </c>
      <c r="V30" s="631" t="s">
        <v>25</v>
      </c>
      <c r="W30" s="632">
        <f t="shared" si="14"/>
        <v>100</v>
      </c>
      <c r="X30" s="1335"/>
      <c r="Y30" s="3524"/>
      <c r="Z30" s="1336" t="str">
        <f t="shared" si="15"/>
        <v>物业等级</v>
      </c>
      <c r="AA30" s="1337">
        <f t="shared" si="3"/>
        <v>1</v>
      </c>
      <c r="AB30" s="1337">
        <f t="shared" si="4"/>
        <v>1</v>
      </c>
      <c r="AC30" s="1337">
        <f t="shared" si="5"/>
        <v>1</v>
      </c>
    </row>
    <row r="31" spans="1:29" s="25" customFormat="1" ht="15" hidden="1">
      <c r="A31" s="539"/>
      <c r="B31" s="535" t="s">
        <v>2422</v>
      </c>
      <c r="C31" s="357">
        <v>30</v>
      </c>
      <c r="D31" s="29">
        <v>100</v>
      </c>
      <c r="E31" s="357">
        <v>20</v>
      </c>
      <c r="F31" s="351">
        <f>LOOKUP(E31,91:91,92:92)-LOOKUP(C31,91:91,92:92)+100</f>
        <v>100</v>
      </c>
      <c r="G31" s="357">
        <v>20</v>
      </c>
      <c r="H31" s="325">
        <f>LOOKUP(G31,91:91,92:92)-LOOKUP(C31,91:91,92:92)+100</f>
        <v>100</v>
      </c>
      <c r="I31" s="357">
        <v>12</v>
      </c>
      <c r="J31" s="325">
        <f>LOOKUP(I31,91:91,92:92)-LOOKUP(C31,91:91,92:92)+100</f>
        <v>100</v>
      </c>
      <c r="K31" s="498"/>
      <c r="L31" s="3029"/>
      <c r="M31" s="3030"/>
      <c r="N31" s="3030"/>
      <c r="O31" s="3031"/>
      <c r="P31" s="3524"/>
      <c r="Q31" s="1327" t="str">
        <f t="shared" si="11"/>
        <v>停车位面积</v>
      </c>
      <c r="R31" s="627" t="s">
        <v>25</v>
      </c>
      <c r="S31" s="628">
        <f t="shared" si="12"/>
        <v>100</v>
      </c>
      <c r="T31" s="627" t="s">
        <v>25</v>
      </c>
      <c r="U31" s="628">
        <f t="shared" si="13"/>
        <v>100</v>
      </c>
      <c r="V31" s="627" t="s">
        <v>25</v>
      </c>
      <c r="W31" s="628">
        <f t="shared" si="14"/>
        <v>100</v>
      </c>
      <c r="X31" s="629"/>
      <c r="Y31" s="3524"/>
      <c r="Z31" s="19" t="str">
        <f t="shared" si="15"/>
        <v>停车位面积</v>
      </c>
      <c r="AA31" s="630">
        <f t="shared" si="3"/>
        <v>1</v>
      </c>
      <c r="AB31" s="630">
        <f t="shared" si="4"/>
        <v>1</v>
      </c>
      <c r="AC31" s="630">
        <f t="shared" si="5"/>
        <v>1</v>
      </c>
    </row>
    <row r="32" spans="1:29" ht="15">
      <c r="A32" s="537"/>
      <c r="B32" s="535" t="s">
        <v>2423</v>
      </c>
      <c r="C32" s="350" t="s">
        <v>2986</v>
      </c>
      <c r="D32" s="325">
        <v>100</v>
      </c>
      <c r="E32" s="350" t="s">
        <v>2986</v>
      </c>
      <c r="F32" s="351">
        <f>SUMIF(93:93,E32,94:94)-SUMIF(93:93,C32,94:94)+100</f>
        <v>100</v>
      </c>
      <c r="G32" s="350" t="s">
        <v>2986</v>
      </c>
      <c r="H32" s="325">
        <f>SUMIF(93:93,G32,94:94)-SUMIF(93:93,C32,94:94)+100</f>
        <v>100</v>
      </c>
      <c r="I32" s="350" t="s">
        <v>2986</v>
      </c>
      <c r="J32" s="325">
        <f>SUMIF(93:93,I32,94:94)-SUMIF(93:93,C32,94:94)+100</f>
        <v>100</v>
      </c>
      <c r="K32" s="498">
        <v>2</v>
      </c>
      <c r="L32" s="3037"/>
      <c r="M32" s="3028"/>
      <c r="N32" s="3028"/>
      <c r="O32" s="3036"/>
      <c r="P32" s="3524" t="s">
        <v>2284</v>
      </c>
      <c r="Q32" s="1334" t="str">
        <f t="shared" si="11"/>
        <v>车位类型</v>
      </c>
      <c r="R32" s="631" t="s">
        <v>25</v>
      </c>
      <c r="S32" s="632">
        <f t="shared" si="12"/>
        <v>100</v>
      </c>
      <c r="T32" s="631" t="s">
        <v>25</v>
      </c>
      <c r="U32" s="632">
        <f t="shared" si="13"/>
        <v>100</v>
      </c>
      <c r="V32" s="631" t="s">
        <v>25</v>
      </c>
      <c r="W32" s="632">
        <f t="shared" si="14"/>
        <v>100</v>
      </c>
      <c r="X32" s="1335"/>
      <c r="Y32" s="3524" t="s">
        <v>2284</v>
      </c>
      <c r="Z32" s="1336" t="str">
        <f t="shared" si="15"/>
        <v>车位类型</v>
      </c>
      <c r="AA32" s="1337">
        <f t="shared" si="3"/>
        <v>1</v>
      </c>
      <c r="AB32" s="1337">
        <f t="shared" si="4"/>
        <v>1</v>
      </c>
      <c r="AC32" s="1337">
        <f t="shared" si="5"/>
        <v>1</v>
      </c>
    </row>
    <row r="33" spans="1:29" ht="15">
      <c r="A33" s="537"/>
      <c r="B33" s="535" t="s">
        <v>2424</v>
      </c>
      <c r="C33" s="350" t="s">
        <v>2983</v>
      </c>
      <c r="D33" s="325">
        <v>100</v>
      </c>
      <c r="E33" s="350" t="s">
        <v>2983</v>
      </c>
      <c r="F33" s="351">
        <f>SUMIF(95:95,E33,96:96)-SUMIF(95:95,C33,96:96)+100</f>
        <v>100</v>
      </c>
      <c r="G33" s="350" t="s">
        <v>2983</v>
      </c>
      <c r="H33" s="325">
        <f>SUMIF(95:95,G33,96:96)-SUMIF(95:95,C33,96:96)+100</f>
        <v>100</v>
      </c>
      <c r="I33" s="350" t="s">
        <v>2983</v>
      </c>
      <c r="J33" s="325">
        <f>SUMIF(95:95,I33,96:96)-SUMIF(95:95,C33,96:96)+100</f>
        <v>100</v>
      </c>
      <c r="K33" s="498"/>
      <c r="L33" s="3037"/>
      <c r="M33" s="3028"/>
      <c r="N33" s="3028"/>
      <c r="O33" s="3036"/>
      <c r="P33" s="3524"/>
      <c r="Q33" s="1334" t="str">
        <f t="shared" si="11"/>
        <v>是否直接入户</v>
      </c>
      <c r="R33" s="631" t="s">
        <v>25</v>
      </c>
      <c r="S33" s="632">
        <f t="shared" si="12"/>
        <v>100</v>
      </c>
      <c r="T33" s="631" t="s">
        <v>25</v>
      </c>
      <c r="U33" s="632">
        <f t="shared" si="13"/>
        <v>100</v>
      </c>
      <c r="V33" s="631" t="s">
        <v>25</v>
      </c>
      <c r="W33" s="632">
        <f t="shared" si="14"/>
        <v>100</v>
      </c>
      <c r="X33" s="1335"/>
      <c r="Y33" s="3524"/>
      <c r="Z33" s="1336" t="str">
        <f t="shared" si="15"/>
        <v>是否直接入户</v>
      </c>
      <c r="AA33" s="1337">
        <f t="shared" si="3"/>
        <v>1</v>
      </c>
      <c r="AB33" s="1337">
        <f t="shared" si="4"/>
        <v>1</v>
      </c>
      <c r="AC33" s="1337">
        <f t="shared" si="5"/>
        <v>1</v>
      </c>
    </row>
    <row r="34" spans="1:29" ht="15">
      <c r="A34" s="537"/>
      <c r="B34" s="3178" t="s">
        <v>2990</v>
      </c>
      <c r="C34" s="322" t="str">
        <f>C97</f>
        <v>无</v>
      </c>
      <c r="D34" s="325">
        <v>100</v>
      </c>
      <c r="E34" s="3179" t="s">
        <v>2992</v>
      </c>
      <c r="F34" s="351">
        <f>SUMIF(97:97,E34,98:98)-SUMIF(97:97,C34,98:98)+100</f>
        <v>100</v>
      </c>
      <c r="G34" s="322" t="str">
        <f>C34</f>
        <v>无</v>
      </c>
      <c r="H34" s="325">
        <f>SUMIF(97:97,G34,98:98)-SUMIF(97:97,C34,98:98)+100</f>
        <v>100</v>
      </c>
      <c r="I34" s="322" t="str">
        <f>E34</f>
        <v>无</v>
      </c>
      <c r="J34" s="325">
        <f>SUMIF(97:97,I34,98:98)-SUMIF(97:97,C34,98:98)+100</f>
        <v>100</v>
      </c>
      <c r="K34" s="499"/>
      <c r="L34" s="3037"/>
      <c r="M34" s="3028"/>
      <c r="N34" s="3028"/>
      <c r="O34" s="3036"/>
      <c r="P34" s="3524"/>
      <c r="Q34" s="1334" t="str">
        <f t="shared" si="11"/>
        <v>其他</v>
      </c>
      <c r="R34" s="631" t="s">
        <v>25</v>
      </c>
      <c r="S34" s="632">
        <f t="shared" si="12"/>
        <v>100</v>
      </c>
      <c r="T34" s="631" t="s">
        <v>25</v>
      </c>
      <c r="U34" s="632">
        <f t="shared" si="13"/>
        <v>100</v>
      </c>
      <c r="V34" s="631" t="s">
        <v>25</v>
      </c>
      <c r="W34" s="632">
        <f t="shared" si="14"/>
        <v>100</v>
      </c>
      <c r="X34" s="1335"/>
      <c r="Y34" s="3524"/>
      <c r="Z34" s="1336" t="str">
        <f t="shared" si="15"/>
        <v>其他</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24"/>
      <c r="Q35" s="633">
        <f t="shared" si="11"/>
        <v>111</v>
      </c>
      <c r="R35" s="634" t="s">
        <v>25</v>
      </c>
      <c r="S35" s="635">
        <f t="shared" si="12"/>
        <v>100</v>
      </c>
      <c r="T35" s="634" t="s">
        <v>25</v>
      </c>
      <c r="U35" s="635">
        <f t="shared" si="13"/>
        <v>100</v>
      </c>
      <c r="V35" s="634" t="s">
        <v>25</v>
      </c>
      <c r="W35" s="635">
        <f t="shared" si="14"/>
        <v>100</v>
      </c>
      <c r="X35" s="636"/>
      <c r="Y35" s="3524"/>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24"/>
      <c r="Q36" s="1334">
        <f t="shared" si="11"/>
        <v>111</v>
      </c>
      <c r="R36" s="631" t="s">
        <v>25</v>
      </c>
      <c r="S36" s="632">
        <f t="shared" si="12"/>
        <v>100</v>
      </c>
      <c r="T36" s="631" t="s">
        <v>25</v>
      </c>
      <c r="U36" s="632">
        <f t="shared" si="13"/>
        <v>100</v>
      </c>
      <c r="V36" s="631" t="s">
        <v>25</v>
      </c>
      <c r="W36" s="632">
        <f t="shared" si="14"/>
        <v>100</v>
      </c>
      <c r="X36" s="1335"/>
      <c r="Y36" s="3524"/>
      <c r="Z36" s="1336">
        <f t="shared" si="15"/>
        <v>111</v>
      </c>
      <c r="AA36" s="1337">
        <f t="shared" si="3"/>
        <v>1</v>
      </c>
      <c r="AB36" s="1337">
        <f t="shared" si="4"/>
        <v>1</v>
      </c>
      <c r="AC36" s="1337">
        <f t="shared" si="5"/>
        <v>1</v>
      </c>
    </row>
    <row r="37" spans="1:29" ht="14.4">
      <c r="A37" s="367" t="s">
        <v>2425</v>
      </c>
      <c r="B37" s="840" t="s">
        <v>2426</v>
      </c>
      <c r="C37" s="1153" t="s">
        <v>1</v>
      </c>
      <c r="D37" s="1154"/>
      <c r="E37" s="1155">
        <v>380</v>
      </c>
      <c r="F37" s="1156"/>
      <c r="G37" s="1157">
        <v>450</v>
      </c>
      <c r="H37" s="1158"/>
      <c r="I37" s="1155">
        <v>450</v>
      </c>
      <c r="J37" s="1158"/>
      <c r="K37" s="503"/>
      <c r="L37" s="3039"/>
      <c r="N37" s="3028"/>
      <c r="P37" s="3518" t="str">
        <f>A37</f>
        <v>成交单价</v>
      </c>
      <c r="Q37" s="3518"/>
      <c r="R37" s="3519">
        <f>E37</f>
        <v>380</v>
      </c>
      <c r="S37" s="3519"/>
      <c r="T37" s="3519">
        <f>G37</f>
        <v>450</v>
      </c>
      <c r="U37" s="3519"/>
      <c r="V37" s="3519">
        <f>I37</f>
        <v>450</v>
      </c>
      <c r="W37" s="3519"/>
      <c r="X37" s="618"/>
      <c r="Y37" s="638"/>
      <c r="Z37" s="618"/>
      <c r="AA37" s="618"/>
      <c r="AB37" s="618"/>
      <c r="AC37" s="618"/>
    </row>
    <row r="38" spans="1:29" ht="15" thickBot="1">
      <c r="A38" s="374" t="s">
        <v>2427</v>
      </c>
      <c r="B38" s="375" t="str">
        <f>B37</f>
        <v>元/平方米</v>
      </c>
      <c r="C38" s="1159">
        <f>R39</f>
        <v>449.1</v>
      </c>
      <c r="D38" s="1796" t="s">
        <v>2753</v>
      </c>
      <c r="E38" s="1160">
        <f>R38</f>
        <v>400</v>
      </c>
      <c r="F38" s="1798"/>
      <c r="G38" s="1159">
        <f>T38</f>
        <v>473.7</v>
      </c>
      <c r="H38" s="1798"/>
      <c r="I38" s="1160">
        <f>V38</f>
        <v>473.7</v>
      </c>
      <c r="J38" s="1798"/>
      <c r="K38" s="2513">
        <f>F38+H38+J38</f>
        <v>0</v>
      </c>
      <c r="L38" s="3039"/>
      <c r="P38" s="3518" t="str">
        <f>A38</f>
        <v>比较价值</v>
      </c>
      <c r="Q38" s="3518"/>
      <c r="R38" s="3519">
        <f>IF(E1="售价",ROUND(PRODUCT(R37,AA7:AA36),0),ROUND(PRODUCT(R37,AA7:AA36),1))</f>
        <v>400</v>
      </c>
      <c r="S38" s="3519"/>
      <c r="T38" s="3519">
        <f>IF(E1="售价",ROUND(PRODUCT(T37,AB7:AB36),0),ROUND(PRODUCT(T37,AB7:AB36),1))</f>
        <v>473.7</v>
      </c>
      <c r="U38" s="3519"/>
      <c r="V38" s="3519">
        <f>IF(E1="售价",ROUND(PRODUCT(V37,AC7:AC36),0),ROUND(PRODUCT(V37,AC7:AC36),1))</f>
        <v>473.7</v>
      </c>
      <c r="W38" s="3519"/>
      <c r="X38" s="618"/>
      <c r="Y38" s="618"/>
      <c r="Z38" s="618"/>
      <c r="AA38" s="618"/>
      <c r="AB38" s="618"/>
      <c r="AC38" s="618"/>
    </row>
    <row r="39" spans="1:29" ht="15" thickBot="1">
      <c r="A39" s="378" t="s">
        <v>2428</v>
      </c>
      <c r="B39" s="379"/>
      <c r="C39" s="1161">
        <f>R39</f>
        <v>449.1</v>
      </c>
      <c r="D39" s="1161"/>
      <c r="E39" s="1161"/>
      <c r="F39" s="1161"/>
      <c r="G39" s="1161"/>
      <c r="H39" s="1161"/>
      <c r="I39" s="1161"/>
      <c r="J39" s="1161"/>
      <c r="K39" s="504"/>
      <c r="L39" s="3039"/>
      <c r="P39" s="3520" t="str">
        <f>A39</f>
        <v>估价对象XX用房的比较价值（楼面单价，元/平方米）</v>
      </c>
      <c r="Q39" s="3521"/>
      <c r="R39" s="3522">
        <f>IF(E1="售价",ROUND(IF(D38="简单平均",AVERAGE(R38:W38),R38*F38+T38*H38+V38*J38),0),ROUND(IF(D38="简单平均",AVERAGE(R38:V38),R38*F38+T38*H38+V38*J38),1))</f>
        <v>449.1</v>
      </c>
      <c r="S39" s="3522"/>
      <c r="T39" s="3522"/>
      <c r="U39" s="3522"/>
      <c r="V39" s="3522"/>
      <c r="W39" s="3522"/>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2429</v>
      </c>
      <c r="D42" s="384"/>
      <c r="E42" s="385">
        <f>IF(E37&lt;E38,E38/E37-1,E37/E38-1)</f>
        <v>5.2631578947368363E-2</v>
      </c>
      <c r="F42" s="386" t="str">
        <f>IF(OR(E42&gt;=0.3,E42&lt;=-0.3),"超过30%","")</f>
        <v/>
      </c>
      <c r="G42" s="385">
        <f>IF(G37&lt;G38,G38/G37-1,G37/G38-1)</f>
        <v>5.2666666666666639E-2</v>
      </c>
      <c r="H42" s="386" t="str">
        <f>IF(OR(G42&gt;=0.3,G42&lt;=-0.3),"超过30%","")</f>
        <v/>
      </c>
      <c r="I42" s="385">
        <f>IF(I37&lt;I38,I38/I37-1,I37/I38-1)</f>
        <v>5.2666666666666639E-2</v>
      </c>
      <c r="J42" s="386" t="str">
        <f>IF(OR(I42&gt;=0.3,I42&lt;=-0.3),"超过30%","")</f>
        <v/>
      </c>
      <c r="P42" s="618"/>
      <c r="Q42" s="618"/>
      <c r="R42" s="618"/>
      <c r="S42" s="618"/>
      <c r="T42" s="618"/>
      <c r="U42" s="618"/>
      <c r="V42" s="618"/>
      <c r="W42" s="618"/>
      <c r="X42" s="618"/>
      <c r="Y42" s="618"/>
      <c r="Z42" s="618"/>
      <c r="AA42" s="618"/>
      <c r="AB42" s="618"/>
      <c r="AC42" s="618"/>
    </row>
    <row r="43" spans="1:29" ht="13.5" customHeight="1">
      <c r="C43" s="383" t="s">
        <v>2430</v>
      </c>
      <c r="D43" s="387"/>
      <c r="E43" s="385">
        <f>IF(E38&lt;G38,G38/E38-1,E38/G38-1)</f>
        <v>0.18425000000000002</v>
      </c>
      <c r="F43" s="386" t="str">
        <f>IF(OR(E43&gt;=0.2,E43&lt;=-0.2),"超过20%","")</f>
        <v/>
      </c>
      <c r="G43" s="385">
        <f>IF(G38&lt;I38,I38/G38-1,G38/I38-1)</f>
        <v>0</v>
      </c>
      <c r="H43" s="386" t="str">
        <f>IF(OR(G43&gt;=0.2,G43&lt;=-0.2),"超过20%","")</f>
        <v/>
      </c>
      <c r="I43" s="385">
        <f>IF(I38&lt;E38,E38/I38-1,I38/E38-1)</f>
        <v>0.18425000000000002</v>
      </c>
      <c r="J43" s="386" t="str">
        <f>IF(OR(I43&gt;=0.2,I43&lt;=-0.2),"超过20%","")</f>
        <v/>
      </c>
      <c r="P43" s="618"/>
      <c r="Q43" s="618"/>
      <c r="R43" s="618"/>
      <c r="S43" s="618"/>
      <c r="T43" s="618"/>
      <c r="U43" s="618"/>
      <c r="V43" s="618"/>
      <c r="W43" s="618"/>
      <c r="X43" s="618"/>
      <c r="Y43" s="618"/>
      <c r="Z43" s="618"/>
      <c r="AA43" s="618"/>
      <c r="AB43" s="618"/>
      <c r="AC43" s="618"/>
    </row>
    <row r="44" spans="1:29" s="388" customFormat="1" ht="13.5" customHeight="1">
      <c r="C44" s="383" t="s">
        <v>2431</v>
      </c>
      <c r="D44" s="387"/>
      <c r="E44" s="385">
        <f>IF(E37&lt;G37,G37/E37-1,E37/G37-1)</f>
        <v>0.18421052631578938</v>
      </c>
      <c r="F44" s="386" t="str">
        <f>IF(OR(E44&gt;=0.3,E44&lt;=-0.3),"超过30%","")</f>
        <v/>
      </c>
      <c r="G44" s="385">
        <f>IF(G37&lt;I37,I37/G37-1,G37/I37-1)</f>
        <v>0</v>
      </c>
      <c r="H44" s="386" t="str">
        <f>IF(OR(G44&gt;=0.3,G44&lt;=-0.3),"超过30%","")</f>
        <v/>
      </c>
      <c r="I44" s="385">
        <f>IF(I37&lt;E37,E37/I37-1,I37/E37-1)</f>
        <v>0.18421052631578938</v>
      </c>
      <c r="J44" s="386" t="str">
        <f>IF(OR(I44&gt;=0.3,I44&lt;=-0.3),"超过30%","")</f>
        <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2.2" thickBot="1">
      <c r="A47" s="1163" t="s">
        <v>2432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2433</v>
      </c>
      <c r="B48" s="392"/>
      <c r="C48" s="1187" t="str">
        <f>YEAR(C7)&amp;"-"&amp;MONTH(C7)</f>
        <v>2024-9</v>
      </c>
      <c r="D48" s="1188">
        <f>EDATE(C48,-1)</f>
        <v>45505</v>
      </c>
      <c r="E48" s="1188">
        <f t="shared" ref="E48:O48" si="16">EDATE(D48,-1)</f>
        <v>45474</v>
      </c>
      <c r="F48" s="1188">
        <f t="shared" si="16"/>
        <v>45444</v>
      </c>
      <c r="G48" s="1188">
        <f t="shared" si="16"/>
        <v>45413</v>
      </c>
      <c r="H48" s="1188">
        <f t="shared" si="16"/>
        <v>45383</v>
      </c>
      <c r="I48" s="1188">
        <f t="shared" si="16"/>
        <v>45352</v>
      </c>
      <c r="J48" s="1188">
        <f t="shared" si="16"/>
        <v>45323</v>
      </c>
      <c r="K48" s="1188">
        <f t="shared" si="16"/>
        <v>45292</v>
      </c>
      <c r="L48" s="1188">
        <f t="shared" si="16"/>
        <v>45261</v>
      </c>
      <c r="M48" s="1188">
        <f t="shared" si="16"/>
        <v>45231</v>
      </c>
      <c r="N48" s="1188">
        <f t="shared" si="16"/>
        <v>45200</v>
      </c>
      <c r="O48" s="1188">
        <f t="shared" si="16"/>
        <v>45170</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2303</v>
      </c>
      <c r="B50" s="401"/>
      <c r="C50" s="402"/>
      <c r="D50" s="403"/>
      <c r="E50" s="403"/>
      <c r="F50" s="403"/>
      <c r="G50" s="403"/>
      <c r="H50" s="403"/>
      <c r="I50" s="403"/>
      <c r="J50" s="403"/>
      <c r="K50" s="403"/>
      <c r="L50" s="403"/>
      <c r="M50" s="404"/>
      <c r="N50" s="403"/>
      <c r="O50" s="405"/>
      <c r="P50" s="390"/>
      <c r="Q50" s="390"/>
    </row>
    <row r="51" spans="1:17" s="25" customFormat="1" ht="14.4">
      <c r="A51" s="406" t="s">
        <v>2268</v>
      </c>
      <c r="B51" s="396"/>
      <c r="C51" s="407" t="s">
        <v>2269</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2306</v>
      </c>
      <c r="B53" s="413" t="s">
        <v>2272</v>
      </c>
      <c r="C53" s="414" t="str">
        <f>C9</f>
        <v>车库</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2275</v>
      </c>
      <c r="C55" s="426" t="s">
        <v>2307</v>
      </c>
      <c r="D55" s="426" t="s">
        <v>2308</v>
      </c>
      <c r="E55" s="426" t="s">
        <v>2309</v>
      </c>
      <c r="F55" s="426" t="s">
        <v>2310</v>
      </c>
      <c r="G55" s="426" t="s">
        <v>2311</v>
      </c>
      <c r="H55" s="426" t="s">
        <v>2312</v>
      </c>
      <c r="I55" s="426" t="s">
        <v>2313</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2320</v>
      </c>
      <c r="C63" s="461" t="s">
        <v>2315</v>
      </c>
      <c r="D63" s="461" t="s">
        <v>2316</v>
      </c>
      <c r="E63" s="461" t="s">
        <v>2317</v>
      </c>
      <c r="F63" s="461" t="s">
        <v>2318</v>
      </c>
      <c r="G63" s="461" t="s">
        <v>2319</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2321</v>
      </c>
      <c r="C65" s="466" t="s">
        <v>2315</v>
      </c>
      <c r="D65" s="466" t="s">
        <v>2316</v>
      </c>
      <c r="E65" s="466" t="s">
        <v>2317</v>
      </c>
      <c r="F65" s="466" t="s">
        <v>2318</v>
      </c>
      <c r="G65" s="466" t="s">
        <v>2319</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2393</v>
      </c>
      <c r="C67" s="426" t="s">
        <v>2322</v>
      </c>
      <c r="D67" s="426" t="s">
        <v>2323</v>
      </c>
      <c r="E67" s="426" t="s">
        <v>2324</v>
      </c>
      <c r="F67" s="426" t="s">
        <v>2325</v>
      </c>
      <c r="G67" s="426" t="s">
        <v>2326</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2327</v>
      </c>
      <c r="C69" s="466" t="s">
        <v>2315</v>
      </c>
      <c r="D69" s="466" t="s">
        <v>2316</v>
      </c>
      <c r="E69" s="466" t="s">
        <v>2317</v>
      </c>
      <c r="F69" s="466" t="s">
        <v>2318</v>
      </c>
      <c r="G69" s="466" t="s">
        <v>2319</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2434</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2282</v>
      </c>
      <c r="B79" s="413" t="s">
        <v>2435</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2436</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2334</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105</v>
      </c>
      <c r="E87" s="431">
        <f t="shared" ref="E87:M87" si="19">D87+$K$29</f>
        <v>110</v>
      </c>
      <c r="F87" s="431">
        <f t="shared" si="19"/>
        <v>115</v>
      </c>
      <c r="G87" s="431">
        <f t="shared" si="19"/>
        <v>120</v>
      </c>
      <c r="H87" s="431">
        <f t="shared" si="19"/>
        <v>125</v>
      </c>
      <c r="I87" s="431">
        <f t="shared" si="19"/>
        <v>130</v>
      </c>
      <c r="J87" s="431">
        <f t="shared" si="19"/>
        <v>135</v>
      </c>
      <c r="K87" s="431">
        <f t="shared" si="19"/>
        <v>140</v>
      </c>
      <c r="L87" s="431">
        <f t="shared" si="19"/>
        <v>145</v>
      </c>
      <c r="M87" s="431">
        <f t="shared" si="19"/>
        <v>150</v>
      </c>
      <c r="N87" s="424"/>
      <c r="O87" s="424"/>
      <c r="P87" s="18"/>
      <c r="Q87" s="390"/>
    </row>
    <row r="88" spans="1:17" ht="15" thickTop="1">
      <c r="A88" s="487"/>
      <c r="B88" s="433" t="s">
        <v>2438</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2439</v>
      </c>
      <c r="C90" s="466" t="str">
        <f>C91&amp;"(含)"&amp;"-"&amp;D91</f>
        <v>10(含)-35</v>
      </c>
      <c r="D90" s="466" t="str">
        <f t="shared" ref="D90:L90" si="21">D91&amp;"(含)"&amp;"-"&amp;E91</f>
        <v>35(含)-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10</v>
      </c>
      <c r="D91" s="483">
        <v>35</v>
      </c>
      <c r="E91" s="483"/>
      <c r="F91" s="483"/>
      <c r="G91" s="483"/>
      <c r="H91" s="483"/>
      <c r="I91" s="483"/>
      <c r="J91" s="484"/>
      <c r="K91" s="484"/>
      <c r="L91" s="485"/>
      <c r="M91" s="486"/>
      <c r="N91" s="445"/>
      <c r="O91" s="445"/>
      <c r="P91" s="446"/>
      <c r="Q91" s="447"/>
    </row>
    <row r="92" spans="1:17" s="359" customFormat="1" ht="14.4" thickBot="1">
      <c r="A92" s="440"/>
      <c r="B92" s="430"/>
      <c r="C92" s="448">
        <v>100</v>
      </c>
      <c r="D92" s="422">
        <v>99</v>
      </c>
      <c r="E92" s="422"/>
      <c r="F92" s="422"/>
      <c r="G92" s="422"/>
      <c r="H92" s="422"/>
      <c r="I92" s="422"/>
      <c r="J92" s="422"/>
      <c r="K92" s="422"/>
      <c r="L92" s="422"/>
      <c r="M92" s="423"/>
      <c r="N92" s="445"/>
      <c r="O92" s="445"/>
      <c r="P92" s="446"/>
      <c r="Q92" s="447"/>
    </row>
    <row r="93" spans="1:17" ht="15" thickTop="1">
      <c r="A93" s="487"/>
      <c r="B93" s="425" t="s">
        <v>2440</v>
      </c>
      <c r="C93" s="3175" t="s">
        <v>2987</v>
      </c>
      <c r="D93" s="3175" t="s">
        <v>2985</v>
      </c>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2441</v>
      </c>
      <c r="C95" s="3174" t="s">
        <v>2984</v>
      </c>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29.4" thickTop="1">
      <c r="A97" s="487"/>
      <c r="B97" s="518" t="str">
        <f>B34</f>
        <v>其他</v>
      </c>
      <c r="C97" s="3177" t="s">
        <v>2989</v>
      </c>
      <c r="D97" s="3176" t="s">
        <v>2988</v>
      </c>
      <c r="E97" s="436"/>
      <c r="F97" s="436"/>
      <c r="G97" s="441"/>
      <c r="H97" s="442"/>
      <c r="I97" s="442"/>
      <c r="J97" s="442"/>
      <c r="K97" s="442"/>
      <c r="L97" s="443"/>
      <c r="M97" s="444"/>
      <c r="N97" s="424"/>
      <c r="O97" s="424"/>
      <c r="P97" s="519"/>
      <c r="Q97" s="520"/>
    </row>
    <row r="98" spans="1:17" ht="14.4" thickBot="1">
      <c r="A98" s="420"/>
      <c r="B98" s="430"/>
      <c r="C98" s="448">
        <v>100</v>
      </c>
      <c r="D98" s="422">
        <v>85</v>
      </c>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2412</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f>'数据-取费表'!B3</f>
        <v>0</v>
      </c>
      <c r="D2" s="1560"/>
      <c r="E2" s="1230"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41" t="s">
        <v>2254</v>
      </c>
      <c r="D4" s="3542"/>
      <c r="E4" s="3543" t="s">
        <v>2255</v>
      </c>
      <c r="F4" s="3544"/>
      <c r="G4" s="3541" t="s">
        <v>2256</v>
      </c>
      <c r="H4" s="3542"/>
      <c r="I4" s="3541" t="s">
        <v>2257</v>
      </c>
      <c r="J4" s="3542"/>
      <c r="K4" s="496" t="s">
        <v>2258</v>
      </c>
      <c r="L4" s="3027"/>
      <c r="M4" s="3028"/>
      <c r="N4" s="3028"/>
      <c r="O4" s="3028"/>
      <c r="P4" s="3545" t="s">
        <v>2259</v>
      </c>
      <c r="Q4" s="3546"/>
      <c r="R4" s="3528" t="s">
        <v>2255</v>
      </c>
      <c r="S4" s="3529"/>
      <c r="T4" s="3528" t="s">
        <v>2256</v>
      </c>
      <c r="U4" s="3529"/>
      <c r="V4" s="3551" t="s">
        <v>2257</v>
      </c>
      <c r="W4" s="3551"/>
      <c r="X4" s="1335"/>
      <c r="Y4" s="3528" t="s">
        <v>2259</v>
      </c>
      <c r="Z4" s="3529"/>
      <c r="AA4" s="3538" t="s">
        <v>2255</v>
      </c>
      <c r="AB4" s="3539" t="s">
        <v>2256</v>
      </c>
      <c r="AC4" s="3538" t="s">
        <v>2257</v>
      </c>
    </row>
    <row r="5" spans="1:29">
      <c r="A5" s="297"/>
      <c r="B5" s="298"/>
      <c r="C5" s="3554" t="s">
        <v>2260</v>
      </c>
      <c r="D5" s="3555"/>
      <c r="E5" s="3552" t="s">
        <v>2261</v>
      </c>
      <c r="F5" s="3553"/>
      <c r="G5" s="3554" t="s">
        <v>2262</v>
      </c>
      <c r="H5" s="3555"/>
      <c r="I5" s="3554" t="s">
        <v>2263</v>
      </c>
      <c r="J5" s="3555"/>
      <c r="K5" s="496"/>
      <c r="L5" s="3027"/>
      <c r="M5" s="3028"/>
      <c r="N5" s="3028"/>
      <c r="O5" s="3028"/>
      <c r="P5" s="3547"/>
      <c r="Q5" s="3548"/>
      <c r="R5" s="3530"/>
      <c r="S5" s="3531"/>
      <c r="T5" s="3530"/>
      <c r="U5" s="3531"/>
      <c r="V5" s="3551"/>
      <c r="W5" s="3551"/>
      <c r="X5" s="1335"/>
      <c r="Y5" s="3530"/>
      <c r="Z5" s="3531"/>
      <c r="AA5" s="3539"/>
      <c r="AB5" s="3539"/>
      <c r="AC5" s="3539"/>
    </row>
    <row r="6" spans="1:29" ht="15" thickBot="1">
      <c r="A6" s="299"/>
      <c r="B6" s="300"/>
      <c r="C6" s="3556" t="s">
        <v>2264</v>
      </c>
      <c r="D6" s="3557"/>
      <c r="E6" s="3558" t="s">
        <v>2264</v>
      </c>
      <c r="F6" s="3559"/>
      <c r="G6" s="3556" t="s">
        <v>2264</v>
      </c>
      <c r="H6" s="3557"/>
      <c r="I6" s="3556" t="s">
        <v>2264</v>
      </c>
      <c r="J6" s="3557"/>
      <c r="K6" s="496" t="s">
        <v>2265</v>
      </c>
      <c r="L6" s="3027"/>
      <c r="M6" s="3028"/>
      <c r="N6" s="3028"/>
      <c r="O6" s="3028"/>
      <c r="P6" s="3549"/>
      <c r="Q6" s="3550"/>
      <c r="R6" s="3530"/>
      <c r="S6" s="3531"/>
      <c r="T6" s="3532"/>
      <c r="U6" s="3533"/>
      <c r="V6" s="3551"/>
      <c r="W6" s="3551"/>
      <c r="X6" s="1335"/>
      <c r="Y6" s="3532"/>
      <c r="Z6" s="3533"/>
      <c r="AA6" s="3540"/>
      <c r="AB6" s="3540"/>
      <c r="AC6" s="3540"/>
    </row>
    <row r="7" spans="1:29" s="25" customFormat="1" ht="15" thickBot="1">
      <c r="A7" s="301" t="s">
        <v>2266</v>
      </c>
      <c r="B7" s="302"/>
      <c r="C7" s="303">
        <f>'数据-取费表'!B2</f>
        <v>45558</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526" t="s">
        <v>2267</v>
      </c>
      <c r="Q7" s="3534"/>
      <c r="R7" s="627" t="s">
        <v>25</v>
      </c>
      <c r="S7" s="628">
        <f t="shared" ref="S7:S14" si="0">F7</f>
        <v>0</v>
      </c>
      <c r="T7" s="627" t="s">
        <v>25</v>
      </c>
      <c r="U7" s="628">
        <f t="shared" ref="U7:U14" si="1">H7</f>
        <v>0</v>
      </c>
      <c r="V7" s="627" t="s">
        <v>25</v>
      </c>
      <c r="W7" s="628">
        <f t="shared" ref="W7:W14" si="2">J7</f>
        <v>0</v>
      </c>
      <c r="X7" s="629"/>
      <c r="Y7" s="3526" t="s">
        <v>2267</v>
      </c>
      <c r="Z7" s="3527"/>
      <c r="AA7" s="630" t="e">
        <f>D7/F7</f>
        <v>#DIV/0!</v>
      </c>
      <c r="AB7" s="630" t="e">
        <f>D7/H7</f>
        <v>#DIV/0!</v>
      </c>
      <c r="AC7" s="630" t="e">
        <f>D7/J7</f>
        <v>#DIV/0!</v>
      </c>
    </row>
    <row r="8" spans="1:29" s="25" customFormat="1" ht="1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526" t="s">
        <v>2270</v>
      </c>
      <c r="Q8" s="3527"/>
      <c r="R8" s="627" t="s">
        <v>25</v>
      </c>
      <c r="S8" s="628">
        <f t="shared" si="0"/>
        <v>0</v>
      </c>
      <c r="T8" s="627" t="s">
        <v>25</v>
      </c>
      <c r="U8" s="628">
        <f t="shared" si="1"/>
        <v>0</v>
      </c>
      <c r="V8" s="627" t="s">
        <v>25</v>
      </c>
      <c r="W8" s="628">
        <f t="shared" si="2"/>
        <v>0</v>
      </c>
      <c r="X8" s="629"/>
      <c r="Y8" s="3526" t="s">
        <v>2270</v>
      </c>
      <c r="Z8" s="3527"/>
      <c r="AA8" s="630" t="e">
        <f t="shared" ref="AA8:AA34" si="3">D8/F8</f>
        <v>#DIV/0!</v>
      </c>
      <c r="AB8" s="630" t="e">
        <f t="shared" ref="AB8:AB34" si="4">D8/H8</f>
        <v>#DIV/0!</v>
      </c>
      <c r="AC8" s="630" t="e">
        <f t="shared" ref="AC8:AC34" si="5">D8/J8</f>
        <v>#DIV/0!</v>
      </c>
    </row>
    <row r="9" spans="1:29" s="25" customFormat="1" ht="14.4">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518" t="s">
        <v>2273</v>
      </c>
      <c r="Q9" s="1327" t="str">
        <f t="shared" ref="Q9:Q14" si="6">B9</f>
        <v>用途</v>
      </c>
      <c r="R9" s="627" t="s">
        <v>25</v>
      </c>
      <c r="S9" s="628">
        <f t="shared" si="0"/>
        <v>100</v>
      </c>
      <c r="T9" s="627" t="s">
        <v>25</v>
      </c>
      <c r="U9" s="628">
        <f t="shared" si="1"/>
        <v>100</v>
      </c>
      <c r="V9" s="627" t="s">
        <v>25</v>
      </c>
      <c r="W9" s="628">
        <f t="shared" si="2"/>
        <v>100</v>
      </c>
      <c r="X9" s="629"/>
      <c r="Y9" s="3537" t="s">
        <v>2274</v>
      </c>
      <c r="Z9" s="19" t="str">
        <f t="shared" ref="Z9:Z14" si="7">Q9</f>
        <v>用途</v>
      </c>
      <c r="AA9" s="630">
        <f t="shared" si="3"/>
        <v>1</v>
      </c>
      <c r="AB9" s="630">
        <f t="shared" si="4"/>
        <v>1</v>
      </c>
      <c r="AC9" s="630">
        <f t="shared" si="5"/>
        <v>1</v>
      </c>
    </row>
    <row r="10" spans="1:29" s="317" customFormat="1" ht="28.8">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518"/>
      <c r="Q10" s="1327" t="str">
        <f t="shared" si="6"/>
        <v>土地使用年限（年）</v>
      </c>
      <c r="R10" s="627" t="s">
        <v>25</v>
      </c>
      <c r="S10" s="628">
        <f t="shared" si="0"/>
        <v>100</v>
      </c>
      <c r="T10" s="627" t="s">
        <v>25</v>
      </c>
      <c r="U10" s="628">
        <f t="shared" si="1"/>
        <v>100</v>
      </c>
      <c r="V10" s="627" t="s">
        <v>25</v>
      </c>
      <c r="W10" s="628">
        <f t="shared" si="2"/>
        <v>100</v>
      </c>
      <c r="X10" s="629"/>
      <c r="Y10" s="353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518"/>
      <c r="Q11" s="1327">
        <f t="shared" si="6"/>
        <v>111</v>
      </c>
      <c r="R11" s="627" t="s">
        <v>25</v>
      </c>
      <c r="S11" s="628">
        <f t="shared" si="0"/>
        <v>100</v>
      </c>
      <c r="T11" s="627" t="s">
        <v>25</v>
      </c>
      <c r="U11" s="628">
        <f t="shared" si="1"/>
        <v>100</v>
      </c>
      <c r="V11" s="627" t="s">
        <v>25</v>
      </c>
      <c r="W11" s="628">
        <f t="shared" si="2"/>
        <v>100</v>
      </c>
      <c r="X11" s="629"/>
      <c r="Y11" s="353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518"/>
      <c r="Q12" s="1327">
        <f t="shared" si="6"/>
        <v>111</v>
      </c>
      <c r="R12" s="627" t="s">
        <v>25</v>
      </c>
      <c r="S12" s="628">
        <f t="shared" si="0"/>
        <v>100</v>
      </c>
      <c r="T12" s="627" t="s">
        <v>25</v>
      </c>
      <c r="U12" s="628">
        <f t="shared" si="1"/>
        <v>100</v>
      </c>
      <c r="V12" s="627" t="s">
        <v>25</v>
      </c>
      <c r="W12" s="628">
        <f t="shared" si="2"/>
        <v>100</v>
      </c>
      <c r="X12" s="629"/>
      <c r="Y12" s="3537"/>
      <c r="Z12" s="19">
        <f t="shared" si="7"/>
        <v>111</v>
      </c>
      <c r="AA12" s="630">
        <f>D12/F12</f>
        <v>1</v>
      </c>
      <c r="AB12" s="630">
        <f>D12/H12</f>
        <v>1</v>
      </c>
      <c r="AC12" s="630">
        <f>D12/J12</f>
        <v>1</v>
      </c>
    </row>
    <row r="13" spans="1:29" ht="15.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518"/>
      <c r="Q13" s="1327">
        <f t="shared" si="6"/>
        <v>111</v>
      </c>
      <c r="R13" s="627" t="s">
        <v>25</v>
      </c>
      <c r="S13" s="628">
        <f t="shared" si="0"/>
        <v>100</v>
      </c>
      <c r="T13" s="627" t="s">
        <v>25</v>
      </c>
      <c r="U13" s="628">
        <f t="shared" si="1"/>
        <v>100</v>
      </c>
      <c r="V13" s="627" t="s">
        <v>25</v>
      </c>
      <c r="W13" s="628">
        <f t="shared" si="2"/>
        <v>100</v>
      </c>
      <c r="X13" s="629"/>
      <c r="Y13" s="3537"/>
      <c r="Z13" s="19">
        <f t="shared" si="7"/>
        <v>111</v>
      </c>
      <c r="AA13" s="630">
        <f t="shared" si="3"/>
        <v>1</v>
      </c>
      <c r="AB13" s="630">
        <f t="shared" si="4"/>
        <v>1</v>
      </c>
      <c r="AC13" s="630">
        <f t="shared" si="5"/>
        <v>1</v>
      </c>
    </row>
    <row r="14" spans="1:29" ht="124.2">
      <c r="A14" s="329" t="s">
        <v>2277</v>
      </c>
      <c r="B14" s="22" t="s">
        <v>2414</v>
      </c>
      <c r="C14" s="1581" t="str">
        <f>IF(B1="工业",估价对象房地状况!G4,估价对象房地状况!C6)</f>
        <v>估价对象周边有顺2路、顺27路、顺28路、顺38路等多条公交线路，地铁15号线南法信站，综合评价交通便捷度较好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35" t="s">
        <v>2278</v>
      </c>
      <c r="Q14" s="1334" t="str">
        <f t="shared" si="6"/>
        <v>交通便捷度</v>
      </c>
      <c r="R14" s="631" t="s">
        <v>25</v>
      </c>
      <c r="S14" s="632">
        <f t="shared" si="0"/>
        <v>100</v>
      </c>
      <c r="T14" s="631" t="s">
        <v>25</v>
      </c>
      <c r="U14" s="632">
        <f t="shared" si="1"/>
        <v>100</v>
      </c>
      <c r="V14" s="631" t="s">
        <v>25</v>
      </c>
      <c r="W14" s="632">
        <f t="shared" si="2"/>
        <v>100</v>
      </c>
      <c r="X14" s="1335"/>
      <c r="Y14" s="3535"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36"/>
      <c r="Q15" s="1334"/>
      <c r="R15" s="631"/>
      <c r="S15" s="632"/>
      <c r="T15" s="631"/>
      <c r="U15" s="632"/>
      <c r="V15" s="631"/>
      <c r="W15" s="632"/>
      <c r="X15" s="1335"/>
      <c r="Y15" s="3536"/>
      <c r="Z15" s="1336"/>
      <c r="AA15" s="1337">
        <v>1</v>
      </c>
      <c r="AB15" s="1337">
        <v>1</v>
      </c>
      <c r="AC15" s="1337">
        <v>1</v>
      </c>
    </row>
    <row r="16" spans="1:29" ht="41.4">
      <c r="A16" s="318"/>
      <c r="B16" s="513" t="s">
        <v>2392</v>
      </c>
      <c r="C16" s="1567" t="str">
        <f>IF(B1="工业",估价对象房地状况!G5,估价对象房地状况!C7)</f>
        <v>估价对象所在区域公共配套设施较齐备</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36"/>
      <c r="Q16" s="1334" t="str">
        <f>B16</f>
        <v>公共配套设施</v>
      </c>
      <c r="R16" s="631" t="s">
        <v>25</v>
      </c>
      <c r="S16" s="632">
        <f>F16</f>
        <v>100</v>
      </c>
      <c r="T16" s="631" t="s">
        <v>25</v>
      </c>
      <c r="U16" s="632">
        <f>H16</f>
        <v>100</v>
      </c>
      <c r="V16" s="631" t="s">
        <v>25</v>
      </c>
      <c r="W16" s="632">
        <f>J16</f>
        <v>100</v>
      </c>
      <c r="X16" s="1335"/>
      <c r="Y16" s="353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36"/>
      <c r="Q17" s="1334"/>
      <c r="R17" s="631"/>
      <c r="S17" s="632"/>
      <c r="T17" s="631"/>
      <c r="U17" s="632"/>
      <c r="V17" s="631"/>
      <c r="W17" s="632"/>
      <c r="X17" s="1335"/>
      <c r="Y17" s="3536"/>
      <c r="Z17" s="1336"/>
      <c r="AA17" s="1337">
        <v>1</v>
      </c>
      <c r="AB17" s="1337">
        <v>1</v>
      </c>
      <c r="AC17" s="1337">
        <v>1</v>
      </c>
    </row>
    <row r="18" spans="1:29" ht="15">
      <c r="A18" s="318"/>
      <c r="B18" s="515" t="s">
        <v>2393</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36"/>
      <c r="Q18" s="1334" t="str">
        <f>B18</f>
        <v>基础设施水平</v>
      </c>
      <c r="R18" s="631" t="s">
        <v>25</v>
      </c>
      <c r="S18" s="632">
        <f>F18</f>
        <v>100</v>
      </c>
      <c r="T18" s="631" t="s">
        <v>25</v>
      </c>
      <c r="U18" s="632">
        <f>H18</f>
        <v>100</v>
      </c>
      <c r="V18" s="631" t="s">
        <v>25</v>
      </c>
      <c r="W18" s="632">
        <f>J18</f>
        <v>100</v>
      </c>
      <c r="X18" s="1335"/>
      <c r="Y18" s="353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36"/>
      <c r="Q19" s="1334"/>
      <c r="R19" s="631"/>
      <c r="S19" s="632"/>
      <c r="T19" s="631"/>
      <c r="U19" s="632"/>
      <c r="V19" s="631"/>
      <c r="W19" s="632"/>
      <c r="X19" s="1335"/>
      <c r="Y19" s="3536"/>
      <c r="Z19" s="1336"/>
      <c r="AA19" s="1337">
        <v>1</v>
      </c>
      <c r="AB19" s="1337">
        <v>1</v>
      </c>
      <c r="AC19" s="1337">
        <v>1</v>
      </c>
    </row>
    <row r="20" spans="1:29" ht="55.2">
      <c r="A20" s="318"/>
      <c r="B20" s="340" t="s">
        <v>2415</v>
      </c>
      <c r="C20" s="1567" t="str">
        <f>IF(B1="工业",估价对象房地状况!G7,估价对象房地状况!C9)</f>
        <v>区域自然环境：小中河；综合评价环境状况一般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36"/>
      <c r="Q20" s="1334" t="str">
        <f>B20</f>
        <v>自然及人文环境</v>
      </c>
      <c r="R20" s="631" t="s">
        <v>25</v>
      </c>
      <c r="S20" s="632">
        <f>F20</f>
        <v>100</v>
      </c>
      <c r="T20" s="631" t="s">
        <v>25</v>
      </c>
      <c r="U20" s="632">
        <f>H20</f>
        <v>100</v>
      </c>
      <c r="V20" s="631" t="s">
        <v>25</v>
      </c>
      <c r="W20" s="632">
        <f>J20</f>
        <v>100</v>
      </c>
      <c r="X20" s="1335"/>
      <c r="Y20" s="353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36"/>
      <c r="Q21" s="1334"/>
      <c r="R21" s="631"/>
      <c r="S21" s="632"/>
      <c r="T21" s="631"/>
      <c r="U21" s="632"/>
      <c r="V21" s="631"/>
      <c r="W21" s="632"/>
      <c r="X21" s="1335"/>
      <c r="Y21" s="3536"/>
      <c r="Z21" s="1336"/>
      <c r="AA21" s="1337">
        <v>1</v>
      </c>
      <c r="AB21" s="1337">
        <v>1</v>
      </c>
      <c r="AC21" s="1337">
        <v>1</v>
      </c>
    </row>
    <row r="22" spans="1:29" ht="15">
      <c r="A22" s="318"/>
      <c r="B22" s="340" t="s">
        <v>2416</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36"/>
      <c r="Q22" s="1334" t="str">
        <f>B22</f>
        <v>楼层</v>
      </c>
      <c r="R22" s="631" t="s">
        <v>25</v>
      </c>
      <c r="S22" s="632">
        <f>F22</f>
        <v>100</v>
      </c>
      <c r="T22" s="631" t="s">
        <v>25</v>
      </c>
      <c r="U22" s="632">
        <f>H22</f>
        <v>100</v>
      </c>
      <c r="V22" s="631" t="s">
        <v>25</v>
      </c>
      <c r="W22" s="632">
        <f>J22</f>
        <v>100</v>
      </c>
      <c r="X22" s="1335"/>
      <c r="Y22" s="353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36"/>
      <c r="Q23" s="1334">
        <f>B23</f>
        <v>111</v>
      </c>
      <c r="R23" s="631" t="s">
        <v>25</v>
      </c>
      <c r="S23" s="632">
        <f>F23</f>
        <v>100</v>
      </c>
      <c r="T23" s="631" t="s">
        <v>25</v>
      </c>
      <c r="U23" s="632">
        <f>H23</f>
        <v>100</v>
      </c>
      <c r="V23" s="631" t="s">
        <v>25</v>
      </c>
      <c r="W23" s="632">
        <f>J23</f>
        <v>100</v>
      </c>
      <c r="X23" s="1335"/>
      <c r="Y23" s="353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36"/>
      <c r="Q24" s="1334">
        <f t="shared" ref="Q24:Q34" si="11">B24</f>
        <v>111</v>
      </c>
      <c r="R24" s="631" t="s">
        <v>25</v>
      </c>
      <c r="S24" s="632">
        <f>F24</f>
        <v>100</v>
      </c>
      <c r="T24" s="631" t="s">
        <v>25</v>
      </c>
      <c r="U24" s="632">
        <f>H24</f>
        <v>100</v>
      </c>
      <c r="V24" s="631" t="s">
        <v>25</v>
      </c>
      <c r="W24" s="632">
        <f>J24</f>
        <v>100</v>
      </c>
      <c r="X24" s="1335"/>
      <c r="Y24" s="3536"/>
      <c r="Z24" s="1336">
        <f>Q24</f>
        <v>111</v>
      </c>
      <c r="AA24" s="1337">
        <f t="shared" si="3"/>
        <v>1</v>
      </c>
      <c r="AB24" s="1337">
        <f t="shared" si="4"/>
        <v>1</v>
      </c>
      <c r="AC24" s="1337">
        <f t="shared" si="5"/>
        <v>1</v>
      </c>
    </row>
    <row r="25" spans="1:29" s="25" customFormat="1" ht="15.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36"/>
      <c r="Q25" s="1327">
        <f t="shared" si="11"/>
        <v>111</v>
      </c>
      <c r="R25" s="627" t="s">
        <v>25</v>
      </c>
      <c r="S25" s="628">
        <f>F25</f>
        <v>100</v>
      </c>
      <c r="T25" s="627" t="s">
        <v>25</v>
      </c>
      <c r="U25" s="628">
        <f>H25</f>
        <v>100</v>
      </c>
      <c r="V25" s="627" t="s">
        <v>25</v>
      </c>
      <c r="W25" s="628">
        <f>J25</f>
        <v>100</v>
      </c>
      <c r="X25" s="629"/>
      <c r="Y25" s="3536"/>
      <c r="Z25" s="19">
        <f>Q25</f>
        <v>111</v>
      </c>
      <c r="AA25" s="1337">
        <f>D25/F25</f>
        <v>1</v>
      </c>
      <c r="AB25" s="1337">
        <f>D25/H25</f>
        <v>1</v>
      </c>
      <c r="AC25" s="1337">
        <f>D25/J25</f>
        <v>1</v>
      </c>
    </row>
    <row r="26" spans="1:29" ht="30">
      <c r="A26" s="354" t="s">
        <v>2282</v>
      </c>
      <c r="B26" s="24" t="s">
        <v>2419</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523"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4" t="s">
        <v>2284</v>
      </c>
      <c r="Z26" s="1336" t="str">
        <f t="shared" ref="Z26:Z34" si="15">Q26</f>
        <v>公共部分装修</v>
      </c>
      <c r="AA26" s="1337">
        <f t="shared" si="3"/>
        <v>1</v>
      </c>
      <c r="AB26" s="1337">
        <f t="shared" si="4"/>
        <v>1</v>
      </c>
      <c r="AC26" s="1337">
        <f t="shared" si="5"/>
        <v>1</v>
      </c>
    </row>
    <row r="27" spans="1:29" s="359" customFormat="1" ht="15">
      <c r="A27" s="356"/>
      <c r="B27" s="313" t="s">
        <v>2420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24"/>
      <c r="Q27" s="633" t="str">
        <f t="shared" si="11"/>
        <v>成新率</v>
      </c>
      <c r="R27" s="634" t="s">
        <v>25</v>
      </c>
      <c r="S27" s="635" t="e">
        <f t="shared" si="12"/>
        <v>#N/A</v>
      </c>
      <c r="T27" s="634" t="s">
        <v>25</v>
      </c>
      <c r="U27" s="635" t="e">
        <f t="shared" si="13"/>
        <v>#N/A</v>
      </c>
      <c r="V27" s="634" t="s">
        <v>25</v>
      </c>
      <c r="W27" s="635" t="e">
        <f t="shared" si="14"/>
        <v>#N/A</v>
      </c>
      <c r="X27" s="636"/>
      <c r="Y27" s="3524"/>
      <c r="Z27" s="637" t="str">
        <f t="shared" si="15"/>
        <v>成新率</v>
      </c>
      <c r="AA27" s="1337" t="e">
        <f t="shared" si="3"/>
        <v>#N/A</v>
      </c>
      <c r="AB27" s="1337" t="e">
        <f t="shared" si="4"/>
        <v>#N/A</v>
      </c>
      <c r="AC27" s="1337" t="e">
        <f t="shared" si="5"/>
        <v>#N/A</v>
      </c>
    </row>
    <row r="28" spans="1:29" ht="15">
      <c r="A28" s="360"/>
      <c r="B28" s="313" t="s">
        <v>2421</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24"/>
      <c r="Q28" s="1334" t="str">
        <f t="shared" si="11"/>
        <v>物业等级</v>
      </c>
      <c r="R28" s="631" t="s">
        <v>25</v>
      </c>
      <c r="S28" s="632">
        <f t="shared" si="12"/>
        <v>100</v>
      </c>
      <c r="T28" s="631" t="s">
        <v>25</v>
      </c>
      <c r="U28" s="632">
        <f t="shared" si="13"/>
        <v>100</v>
      </c>
      <c r="V28" s="631" t="s">
        <v>25</v>
      </c>
      <c r="W28" s="632">
        <f t="shared" si="14"/>
        <v>100</v>
      </c>
      <c r="X28" s="1335"/>
      <c r="Y28" s="3524"/>
      <c r="Z28" s="1336" t="str">
        <f t="shared" si="15"/>
        <v>物业等级</v>
      </c>
      <c r="AA28" s="1337">
        <f t="shared" si="3"/>
        <v>1</v>
      </c>
      <c r="AB28" s="1337">
        <f t="shared" si="4"/>
        <v>1</v>
      </c>
      <c r="AC28" s="1337">
        <f t="shared" si="5"/>
        <v>1</v>
      </c>
    </row>
    <row r="29" spans="1:29" ht="15">
      <c r="A29" s="360"/>
      <c r="B29" s="313" t="s">
        <v>2442</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24"/>
      <c r="Q29" s="1334" t="str">
        <f t="shared" si="11"/>
        <v>有无电梯</v>
      </c>
      <c r="R29" s="631" t="s">
        <v>25</v>
      </c>
      <c r="S29" s="632">
        <f t="shared" si="12"/>
        <v>100</v>
      </c>
      <c r="T29" s="631" t="s">
        <v>25</v>
      </c>
      <c r="U29" s="632">
        <f t="shared" si="13"/>
        <v>100</v>
      </c>
      <c r="V29" s="631" t="s">
        <v>25</v>
      </c>
      <c r="W29" s="632">
        <f t="shared" si="14"/>
        <v>100</v>
      </c>
      <c r="X29" s="1335"/>
      <c r="Y29" s="3524"/>
      <c r="Z29" s="1336" t="str">
        <f t="shared" si="15"/>
        <v>有无电梯</v>
      </c>
      <c r="AA29" s="1337">
        <f t="shared" si="3"/>
        <v>1</v>
      </c>
      <c r="AB29" s="1337">
        <f t="shared" si="4"/>
        <v>1</v>
      </c>
      <c r="AC29" s="1337">
        <f t="shared" si="5"/>
        <v>1</v>
      </c>
    </row>
    <row r="30" spans="1:29" ht="15">
      <c r="A30" s="360"/>
      <c r="B30" s="313" t="s">
        <v>2443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24"/>
      <c r="Q30" s="1334" t="str">
        <f t="shared" si="11"/>
        <v>建筑面积</v>
      </c>
      <c r="R30" s="631" t="s">
        <v>25</v>
      </c>
      <c r="S30" s="632" t="e">
        <f t="shared" si="12"/>
        <v>#N/A</v>
      </c>
      <c r="T30" s="631" t="s">
        <v>25</v>
      </c>
      <c r="U30" s="632" t="e">
        <f t="shared" si="13"/>
        <v>#N/A</v>
      </c>
      <c r="V30" s="631" t="s">
        <v>25</v>
      </c>
      <c r="W30" s="632" t="e">
        <f t="shared" si="14"/>
        <v>#N/A</v>
      </c>
      <c r="X30" s="1335"/>
      <c r="Y30" s="3524"/>
      <c r="Z30" s="1336" t="str">
        <f t="shared" si="15"/>
        <v>建筑面积</v>
      </c>
      <c r="AA30" s="1337" t="e">
        <f t="shared" si="3"/>
        <v>#N/A</v>
      </c>
      <c r="AB30" s="1337" t="e">
        <f t="shared" si="4"/>
        <v>#N/A</v>
      </c>
      <c r="AC30" s="1337" t="e">
        <f t="shared" si="5"/>
        <v>#N/A</v>
      </c>
    </row>
    <row r="31" spans="1:29" s="25" customFormat="1" ht="15">
      <c r="A31" s="361"/>
      <c r="B31" s="313" t="s">
        <v>2444</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24"/>
      <c r="Q31" s="1327" t="str">
        <f t="shared" si="11"/>
        <v>是否封闭</v>
      </c>
      <c r="R31" s="627" t="s">
        <v>25</v>
      </c>
      <c r="S31" s="628">
        <f t="shared" si="12"/>
        <v>100</v>
      </c>
      <c r="T31" s="627" t="s">
        <v>25</v>
      </c>
      <c r="U31" s="628">
        <f t="shared" si="13"/>
        <v>100</v>
      </c>
      <c r="V31" s="627" t="s">
        <v>25</v>
      </c>
      <c r="W31" s="628">
        <f t="shared" si="14"/>
        <v>100</v>
      </c>
      <c r="X31" s="629"/>
      <c r="Y31" s="3524"/>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24" t="s">
        <v>2284</v>
      </c>
      <c r="Q32" s="1334">
        <f t="shared" si="11"/>
        <v>111</v>
      </c>
      <c r="R32" s="631" t="s">
        <v>25</v>
      </c>
      <c r="S32" s="632">
        <f t="shared" si="12"/>
        <v>100</v>
      </c>
      <c r="T32" s="631" t="s">
        <v>25</v>
      </c>
      <c r="U32" s="632">
        <f t="shared" si="13"/>
        <v>100</v>
      </c>
      <c r="V32" s="631" t="s">
        <v>25</v>
      </c>
      <c r="W32" s="632">
        <f t="shared" si="14"/>
        <v>100</v>
      </c>
      <c r="X32" s="1335"/>
      <c r="Y32" s="3524"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24"/>
      <c r="Q33" s="1334">
        <f t="shared" si="11"/>
        <v>111</v>
      </c>
      <c r="R33" s="631" t="s">
        <v>25</v>
      </c>
      <c r="S33" s="632">
        <f t="shared" si="12"/>
        <v>100</v>
      </c>
      <c r="T33" s="631" t="s">
        <v>25</v>
      </c>
      <c r="U33" s="632">
        <f t="shared" si="13"/>
        <v>100</v>
      </c>
      <c r="V33" s="631" t="s">
        <v>25</v>
      </c>
      <c r="W33" s="632">
        <f t="shared" si="14"/>
        <v>100</v>
      </c>
      <c r="X33" s="1335"/>
      <c r="Y33" s="3524"/>
      <c r="Z33" s="1336">
        <f t="shared" si="15"/>
        <v>111</v>
      </c>
      <c r="AA33" s="1337">
        <f t="shared" si="3"/>
        <v>1</v>
      </c>
      <c r="AB33" s="1337">
        <f t="shared" si="4"/>
        <v>1</v>
      </c>
      <c r="AC33" s="1337">
        <f t="shared" si="5"/>
        <v>1</v>
      </c>
    </row>
    <row r="34" spans="1:29" ht="15.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24"/>
      <c r="Q34" s="1334">
        <f t="shared" si="11"/>
        <v>111</v>
      </c>
      <c r="R34" s="631" t="s">
        <v>25</v>
      </c>
      <c r="S34" s="632">
        <f t="shared" si="12"/>
        <v>100</v>
      </c>
      <c r="T34" s="631" t="s">
        <v>25</v>
      </c>
      <c r="U34" s="632">
        <f t="shared" si="13"/>
        <v>100</v>
      </c>
      <c r="V34" s="631" t="s">
        <v>25</v>
      </c>
      <c r="W34" s="632">
        <f t="shared" si="14"/>
        <v>100</v>
      </c>
      <c r="X34" s="1335"/>
      <c r="Y34" s="3524"/>
      <c r="Z34" s="1336">
        <f t="shared" si="15"/>
        <v>111</v>
      </c>
      <c r="AA34" s="1337">
        <f t="shared" si="3"/>
        <v>1</v>
      </c>
      <c r="AB34" s="1337">
        <f t="shared" si="4"/>
        <v>1</v>
      </c>
      <c r="AC34" s="1337">
        <f t="shared" si="5"/>
        <v>1</v>
      </c>
    </row>
    <row r="35" spans="1:29" ht="14.4">
      <c r="A35" s="367" t="s">
        <v>2296</v>
      </c>
      <c r="B35" s="368"/>
      <c r="C35" s="1153" t="s">
        <v>1</v>
      </c>
      <c r="D35" s="1154"/>
      <c r="E35" s="1155"/>
      <c r="F35" s="1156"/>
      <c r="G35" s="1157"/>
      <c r="H35" s="1158"/>
      <c r="I35" s="1155"/>
      <c r="J35" s="1158"/>
      <c r="K35" s="640"/>
      <c r="L35" s="3039"/>
      <c r="N35" s="3028"/>
      <c r="P35" s="3518" t="str">
        <f>A35</f>
        <v>成交单价（元/平方米）</v>
      </c>
      <c r="Q35" s="3518"/>
      <c r="R35" s="3519">
        <f>E35</f>
        <v>0</v>
      </c>
      <c r="S35" s="3519"/>
      <c r="T35" s="3519">
        <f>G35</f>
        <v>0</v>
      </c>
      <c r="U35" s="3519"/>
      <c r="V35" s="3519">
        <f>I35</f>
        <v>0</v>
      </c>
      <c r="W35" s="3519"/>
      <c r="X35" s="618"/>
      <c r="Y35" s="638"/>
      <c r="Z35" s="618"/>
      <c r="AA35" s="618"/>
      <c r="AB35" s="618"/>
      <c r="AC35" s="618"/>
    </row>
    <row r="36" spans="1:29" ht="15" thickBot="1">
      <c r="A36" s="374" t="s">
        <v>2378</v>
      </c>
      <c r="B36" s="375"/>
      <c r="C36" s="1159" t="e">
        <f>R37</f>
        <v>#DIV/0!</v>
      </c>
      <c r="D36" s="1796" t="s">
        <v>2753</v>
      </c>
      <c r="E36" s="1160" t="e">
        <f>R36</f>
        <v>#DIV/0!</v>
      </c>
      <c r="F36" s="1798"/>
      <c r="G36" s="1159" t="e">
        <f>T36</f>
        <v>#DIV/0!</v>
      </c>
      <c r="H36" s="1798"/>
      <c r="I36" s="1160" t="e">
        <f>V36</f>
        <v>#DIV/0!</v>
      </c>
      <c r="J36" s="1798"/>
      <c r="K36" s="2513">
        <f>F36+H36+J36</f>
        <v>0</v>
      </c>
      <c r="L36" s="3039"/>
      <c r="N36" s="3028"/>
      <c r="P36" s="3518" t="str">
        <f>A36</f>
        <v>比较价值（元/平方米）</v>
      </c>
      <c r="Q36" s="3518"/>
      <c r="R36" s="3519" t="e">
        <f>IF(E1="售价",ROUND(PRODUCT(R35,AA7:AA34),0),ROUND(PRODUCT(R35,AA7:AA34),1))</f>
        <v>#DIV/0!</v>
      </c>
      <c r="S36" s="3519"/>
      <c r="T36" s="3519" t="e">
        <f>IF(E1="售价",ROUND(PRODUCT(T35,AB7:AB34),0),ROUND(PRODUCT(T35,AB7:AB34),1))</f>
        <v>#DIV/0!</v>
      </c>
      <c r="U36" s="3519"/>
      <c r="V36" s="3519" t="e">
        <f>IF(E1="售价",ROUND(PRODUCT(V35,AC7:AC34),0),ROUND(PRODUCT(V35,AC7:AC34),1))</f>
        <v>#DIV/0!</v>
      </c>
      <c r="W36" s="3519"/>
      <c r="X36" s="618"/>
      <c r="Y36" s="618"/>
      <c r="Z36" s="618"/>
      <c r="AA36" s="618"/>
      <c r="AB36" s="618"/>
      <c r="AC36" s="618"/>
    </row>
    <row r="37" spans="1:29" ht="15" thickBot="1">
      <c r="A37" s="378" t="s">
        <v>2401</v>
      </c>
      <c r="B37" s="379"/>
      <c r="C37" s="1161" t="e">
        <f>R37</f>
        <v>#DIV/0!</v>
      </c>
      <c r="D37" s="1161"/>
      <c r="E37" s="1161"/>
      <c r="F37" s="1161"/>
      <c r="G37" s="1161"/>
      <c r="H37" s="1161"/>
      <c r="I37" s="1161"/>
      <c r="J37" s="1161"/>
      <c r="K37" s="641"/>
      <c r="L37" s="3039"/>
      <c r="P37" s="3520" t="str">
        <f>A37</f>
        <v>估价对象XX用房的比较价值（楼面单价，元/平方米）</v>
      </c>
      <c r="Q37" s="3521"/>
      <c r="R37" s="3522" t="e">
        <f>IF(E1="售价",ROUND(IF(D36="简单平均",AVERAGE(R36:W36),R36*F36+T36*H36+V36*J36),0),ROUND(IF(D36="简单平均",AVERAGE(R36:V36),R36*F36+T36*H36+V36*J36),1))</f>
        <v>#DIV/0!</v>
      </c>
      <c r="S37" s="3522"/>
      <c r="T37" s="3522"/>
      <c r="U37" s="3522"/>
      <c r="V37" s="3522"/>
      <c r="W37" s="3522"/>
      <c r="X37" s="618"/>
      <c r="Y37" s="618"/>
      <c r="Z37" s="618"/>
      <c r="AA37" s="618"/>
      <c r="AB37" s="618"/>
      <c r="AC37" s="618"/>
    </row>
    <row r="38" spans="1:29">
      <c r="G38" s="3042"/>
    </row>
    <row r="40" spans="1:29" ht="13.5" customHeight="1">
      <c r="C40" s="383" t="s">
        <v>2380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2.2" thickBot="1">
      <c r="A45" s="620" t="s">
        <v>2383</v>
      </c>
      <c r="B45" s="618"/>
      <c r="C45" s="621"/>
      <c r="D45" s="621"/>
      <c r="E45" s="621"/>
      <c r="F45" s="622"/>
      <c r="G45" s="622"/>
      <c r="H45" s="621"/>
      <c r="I45" s="621"/>
      <c r="J45" s="621"/>
      <c r="K45" s="623"/>
      <c r="L45" s="624"/>
      <c r="M45" s="621"/>
      <c r="N45" s="3045"/>
      <c r="O45" s="3045"/>
      <c r="P45" s="389"/>
      <c r="Q45" s="390"/>
    </row>
    <row r="46" spans="1:29" s="394" customFormat="1" ht="14.4">
      <c r="A46" s="391" t="s">
        <v>2266</v>
      </c>
      <c r="B46" s="392"/>
      <c r="C46" s="1187" t="str">
        <f>YEAR(C7)&amp;"-"&amp;MONTH(C7)</f>
        <v>2024-9</v>
      </c>
      <c r="D46" s="1188">
        <f>EDATE(C46,-1)</f>
        <v>45505</v>
      </c>
      <c r="E46" s="1188">
        <f t="shared" ref="E46:O46" si="16">EDATE(D46,-1)</f>
        <v>45474</v>
      </c>
      <c r="F46" s="1188">
        <f t="shared" si="16"/>
        <v>45444</v>
      </c>
      <c r="G46" s="1188">
        <f t="shared" si="16"/>
        <v>45413</v>
      </c>
      <c r="H46" s="1188">
        <f t="shared" si="16"/>
        <v>45383</v>
      </c>
      <c r="I46" s="1188">
        <f t="shared" si="16"/>
        <v>45352</v>
      </c>
      <c r="J46" s="1188">
        <f t="shared" si="16"/>
        <v>45323</v>
      </c>
      <c r="K46" s="1188">
        <f t="shared" si="16"/>
        <v>45292</v>
      </c>
      <c r="L46" s="1188">
        <f t="shared" si="16"/>
        <v>45261</v>
      </c>
      <c r="M46" s="1188">
        <f t="shared" si="16"/>
        <v>45231</v>
      </c>
      <c r="N46" s="1188">
        <f t="shared" si="16"/>
        <v>45200</v>
      </c>
      <c r="O46" s="1188">
        <f t="shared" si="16"/>
        <v>45170</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2303</v>
      </c>
      <c r="B48" s="401"/>
      <c r="C48" s="402"/>
      <c r="D48" s="403"/>
      <c r="E48" s="403"/>
      <c r="F48" s="403"/>
      <c r="G48" s="403"/>
      <c r="H48" s="403"/>
      <c r="I48" s="403"/>
      <c r="J48" s="403"/>
      <c r="K48" s="403"/>
      <c r="L48" s="403"/>
      <c r="M48" s="404"/>
      <c r="N48" s="403"/>
      <c r="O48" s="405"/>
      <c r="P48" s="390"/>
      <c r="Q48" s="390"/>
    </row>
    <row r="49" spans="1:17" s="25" customFormat="1" ht="14.4">
      <c r="A49" s="406" t="s">
        <v>2268</v>
      </c>
      <c r="B49" s="396"/>
      <c r="C49" s="407" t="s">
        <v>2269</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2306</v>
      </c>
      <c r="B51" s="413" t="s">
        <v>2272</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2275</v>
      </c>
      <c r="C53" s="426" t="s">
        <v>2307</v>
      </c>
      <c r="D53" s="426" t="s">
        <v>2308</v>
      </c>
      <c r="E53" s="426" t="s">
        <v>2309</v>
      </c>
      <c r="F53" s="426" t="s">
        <v>2310</v>
      </c>
      <c r="G53" s="426" t="s">
        <v>2311</v>
      </c>
      <c r="H53" s="426" t="s">
        <v>2312</v>
      </c>
      <c r="I53" s="426" t="s">
        <v>2313</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2320</v>
      </c>
      <c r="C61" s="461" t="s">
        <v>2315</v>
      </c>
      <c r="D61" s="461" t="s">
        <v>2316</v>
      </c>
      <c r="E61" s="461" t="s">
        <v>2317</v>
      </c>
      <c r="F61" s="461" t="s">
        <v>2318</v>
      </c>
      <c r="G61" s="461" t="s">
        <v>2319</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2321</v>
      </c>
      <c r="C63" s="466" t="s">
        <v>2315</v>
      </c>
      <c r="D63" s="466" t="s">
        <v>2316</v>
      </c>
      <c r="E63" s="466" t="s">
        <v>2317</v>
      </c>
      <c r="F63" s="466" t="s">
        <v>2318</v>
      </c>
      <c r="G63" s="466" t="s">
        <v>2319</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2393</v>
      </c>
      <c r="C65" s="426" t="s">
        <v>2322</v>
      </c>
      <c r="D65" s="426" t="s">
        <v>2323</v>
      </c>
      <c r="E65" s="426" t="s">
        <v>2324</v>
      </c>
      <c r="F65" s="426" t="s">
        <v>2325</v>
      </c>
      <c r="G65" s="426" t="s">
        <v>2326</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2327</v>
      </c>
      <c r="C67" s="466" t="s">
        <v>2315</v>
      </c>
      <c r="D67" s="466" t="s">
        <v>2316</v>
      </c>
      <c r="E67" s="466" t="s">
        <v>2317</v>
      </c>
      <c r="F67" s="466" t="s">
        <v>2318</v>
      </c>
      <c r="G67" s="466" t="s">
        <v>2319</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2434</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2334</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2438</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2445</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2447</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3.8"/>
  <cols>
    <col min="1" max="1" width="11.88671875" style="1667" customWidth="1"/>
    <col min="2" max="2" width="15.6640625" style="1667" customWidth="1"/>
    <col min="3" max="3" width="14.3320312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667"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30" s="1959" customFormat="1" ht="28.5" customHeight="1">
      <c r="A1" s="1950" t="s">
        <v>2448</v>
      </c>
      <c r="B1" s="1951"/>
      <c r="C1" s="1952" t="s">
        <v>2449</v>
      </c>
      <c r="D1" s="1951"/>
      <c r="E1" s="1951"/>
      <c r="F1" s="1953" t="s">
        <v>2251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t="e">
        <f>F66</f>
        <v>#DIV/0!</v>
      </c>
      <c r="C2" s="1657" t="s">
        <v>2450</v>
      </c>
      <c r="D2" s="3014"/>
      <c r="E2" s="3014"/>
      <c r="F2" s="3013"/>
      <c r="G2" s="3014"/>
      <c r="H2" s="3014"/>
      <c r="I2" s="3014"/>
      <c r="J2" s="3014"/>
      <c r="K2" s="3015"/>
      <c r="L2" s="3016"/>
      <c r="M2" s="3014"/>
      <c r="N2" s="3014"/>
      <c r="O2" s="3014"/>
      <c r="P2" s="1956"/>
      <c r="Q2" s="1956"/>
      <c r="R2" s="1956"/>
      <c r="S2" s="1956"/>
      <c r="T2" s="1956"/>
      <c r="U2" s="1956"/>
      <c r="V2" s="1956"/>
      <c r="W2" s="1956"/>
      <c r="X2" s="1956"/>
      <c r="Y2" s="1956"/>
      <c r="Z2" s="1956"/>
      <c r="AA2" s="1956"/>
      <c r="AB2" s="1956"/>
      <c r="AC2" s="1957"/>
      <c r="AD2" s="1958"/>
    </row>
    <row r="3" spans="1:30" s="1959" customFormat="1" ht="28.5" customHeight="1" thickBot="1">
      <c r="A3" s="1659" t="s">
        <v>1922</v>
      </c>
      <c r="B3" s="1962" t="e">
        <f>ROUND(B2/'数据-取费表'!B5,0)</f>
        <v>#DIV/0!</v>
      </c>
      <c r="C3" s="1657" t="s">
        <v>2451</v>
      </c>
      <c r="D3" s="3014"/>
      <c r="E3" s="3014"/>
      <c r="F3" s="3013"/>
      <c r="G3" s="3014"/>
      <c r="H3" s="3014"/>
      <c r="I3" s="3014"/>
      <c r="J3" s="3014"/>
      <c r="K3" s="3015"/>
      <c r="L3" s="3016"/>
      <c r="M3" s="3014"/>
      <c r="N3" s="3014"/>
      <c r="O3" s="3014"/>
      <c r="P3" s="1956"/>
      <c r="Q3" s="1956"/>
      <c r="R3" s="1956"/>
      <c r="S3" s="1956"/>
      <c r="T3" s="1956"/>
      <c r="U3" s="1956"/>
      <c r="V3" s="1956"/>
      <c r="W3" s="1956"/>
      <c r="X3" s="1956"/>
      <c r="Y3" s="1956"/>
      <c r="Z3" s="1956"/>
      <c r="AA3" s="1956"/>
      <c r="AB3" s="1963"/>
      <c r="AC3" s="1964"/>
    </row>
    <row r="4" spans="1:30" ht="14.4">
      <c r="A4" s="1663" t="s">
        <v>2253</v>
      </c>
      <c r="B4" s="1664"/>
      <c r="C4" s="3498" t="s">
        <v>2254</v>
      </c>
      <c r="D4" s="3499"/>
      <c r="E4" s="3500" t="s">
        <v>2255</v>
      </c>
      <c r="F4" s="3501"/>
      <c r="G4" s="3498" t="s">
        <v>2256</v>
      </c>
      <c r="H4" s="3499"/>
      <c r="I4" s="3498" t="s">
        <v>2257</v>
      </c>
      <c r="J4" s="3499"/>
      <c r="K4" s="1965" t="s">
        <v>2258</v>
      </c>
      <c r="L4" s="2999"/>
      <c r="M4" s="3000"/>
      <c r="N4" s="3000"/>
      <c r="O4" s="3000"/>
      <c r="P4" s="3502" t="s">
        <v>2259</v>
      </c>
      <c r="Q4" s="3503"/>
      <c r="R4" s="3486" t="s">
        <v>2255</v>
      </c>
      <c r="S4" s="3487"/>
      <c r="T4" s="3486" t="s">
        <v>2256</v>
      </c>
      <c r="U4" s="3487"/>
      <c r="V4" s="3508" t="s">
        <v>2257</v>
      </c>
      <c r="W4" s="3508"/>
      <c r="X4" s="1666"/>
      <c r="Y4" s="3486" t="s">
        <v>2259</v>
      </c>
      <c r="Z4" s="3487"/>
      <c r="AA4" s="3495" t="s">
        <v>2255</v>
      </c>
      <c r="AB4" s="3496" t="s">
        <v>2256</v>
      </c>
      <c r="AC4" s="3495" t="s">
        <v>2257</v>
      </c>
    </row>
    <row r="5" spans="1:30">
      <c r="A5" s="1668"/>
      <c r="B5" s="1669"/>
      <c r="C5" s="3512" t="s">
        <v>2260</v>
      </c>
      <c r="D5" s="3510"/>
      <c r="E5" s="3515" t="s">
        <v>2261</v>
      </c>
      <c r="F5" s="3483"/>
      <c r="G5" s="3512" t="s">
        <v>2262</v>
      </c>
      <c r="H5" s="3510"/>
      <c r="I5" s="3512" t="s">
        <v>2263</v>
      </c>
      <c r="J5" s="3510"/>
      <c r="K5" s="1965"/>
      <c r="L5" s="2999"/>
      <c r="M5" s="3000"/>
      <c r="N5" s="3000"/>
      <c r="O5" s="3000"/>
      <c r="P5" s="3504"/>
      <c r="Q5" s="3505"/>
      <c r="R5" s="3488"/>
      <c r="S5" s="3489"/>
      <c r="T5" s="3488"/>
      <c r="U5" s="3489"/>
      <c r="V5" s="3508"/>
      <c r="W5" s="3508"/>
      <c r="X5" s="1666"/>
      <c r="Y5" s="3488"/>
      <c r="Z5" s="3489"/>
      <c r="AA5" s="3496"/>
      <c r="AB5" s="3496"/>
      <c r="AC5" s="3496"/>
    </row>
    <row r="6" spans="1:30" ht="15" thickBot="1">
      <c r="A6" s="1671"/>
      <c r="B6" s="1672"/>
      <c r="C6" s="3480" t="s">
        <v>2264</v>
      </c>
      <c r="D6" s="3481"/>
      <c r="E6" s="3564" t="s">
        <v>2264</v>
      </c>
      <c r="F6" s="3517"/>
      <c r="G6" s="3480" t="s">
        <v>2264</v>
      </c>
      <c r="H6" s="3481"/>
      <c r="I6" s="3480" t="s">
        <v>2264</v>
      </c>
      <c r="J6" s="3481"/>
      <c r="K6" s="1965" t="s">
        <v>2265</v>
      </c>
      <c r="L6" s="2999"/>
      <c r="M6" s="3000"/>
      <c r="N6" s="3000"/>
      <c r="O6" s="3000"/>
      <c r="P6" s="3506"/>
      <c r="Q6" s="3507"/>
      <c r="R6" s="3488"/>
      <c r="S6" s="3489"/>
      <c r="T6" s="3490"/>
      <c r="U6" s="3491"/>
      <c r="V6" s="3508"/>
      <c r="W6" s="3508"/>
      <c r="X6" s="1666"/>
      <c r="Y6" s="3490"/>
      <c r="Z6" s="3491"/>
      <c r="AA6" s="3497"/>
      <c r="AB6" s="3497"/>
      <c r="AC6" s="3497"/>
    </row>
    <row r="7" spans="1:30" s="1685" customFormat="1" ht="15" thickBot="1">
      <c r="A7" s="1673" t="s">
        <v>2266</v>
      </c>
      <c r="B7" s="1674"/>
      <c r="C7" s="1675">
        <f>'数据-取费表'!B2</f>
        <v>45558</v>
      </c>
      <c r="D7" s="1676">
        <v>100</v>
      </c>
      <c r="E7" s="1677"/>
      <c r="F7" s="1678">
        <f>SUMIF(70:70,YEAR(E7)&amp;"-"&amp;INT((MONTH(E7)+2)/3),71:71)</f>
        <v>0</v>
      </c>
      <c r="G7" s="1966"/>
      <c r="H7" s="1676">
        <f>SUMIF(70:70,YEAR(G7)&amp;"-"&amp;INT((MONTH(G7)+2)/3),71:71)</f>
        <v>0</v>
      </c>
      <c r="I7" s="1966"/>
      <c r="J7" s="1676">
        <f>SUMIF(70:70,YEAR(I7)&amp;"-"&amp;INT((MONTH(I7)+2)/3),71:71)</f>
        <v>0</v>
      </c>
      <c r="K7" s="1967"/>
      <c r="L7" s="2999"/>
      <c r="M7" s="2972"/>
      <c r="N7" s="2972"/>
      <c r="O7" s="2972"/>
      <c r="P7" s="3484" t="s">
        <v>2267</v>
      </c>
      <c r="Q7" s="3492"/>
      <c r="R7" s="1681" t="s">
        <v>25</v>
      </c>
      <c r="S7" s="1682">
        <f t="shared" ref="S7:S15" si="0">F7</f>
        <v>0</v>
      </c>
      <c r="T7" s="1681" t="s">
        <v>25</v>
      </c>
      <c r="U7" s="1682">
        <f t="shared" ref="U7:U15" si="1">H7</f>
        <v>0</v>
      </c>
      <c r="V7" s="1681" t="s">
        <v>25</v>
      </c>
      <c r="W7" s="1682">
        <f t="shared" ref="W7:W15" si="2">J7</f>
        <v>0</v>
      </c>
      <c r="X7" s="1683"/>
      <c r="Y7" s="3484" t="s">
        <v>2267</v>
      </c>
      <c r="Z7" s="3485"/>
      <c r="AA7" s="1684" t="e">
        <f>D7/F7</f>
        <v>#DIV/0!</v>
      </c>
      <c r="AB7" s="1684" t="e">
        <f>D7/H7</f>
        <v>#DIV/0!</v>
      </c>
      <c r="AC7" s="1684" t="e">
        <f>D7/J7</f>
        <v>#DIV/0!</v>
      </c>
    </row>
    <row r="8" spans="1:30" s="1685" customFormat="1" ht="15" thickBot="1">
      <c r="A8" s="1673" t="s">
        <v>2268</v>
      </c>
      <c r="B8" s="1674"/>
      <c r="C8" s="1686" t="s">
        <v>2452</v>
      </c>
      <c r="D8" s="1676">
        <v>100</v>
      </c>
      <c r="E8" s="1686"/>
      <c r="F8" s="1678">
        <f>SUMIF(73:73,E8,74:74)-SUMIF(73:73,C8,74:74)+100</f>
        <v>0</v>
      </c>
      <c r="G8" s="1686"/>
      <c r="H8" s="1676">
        <f>SUMIF(73:73,G8,74:74)-SUMIF(73:73,C8,74:74)+100</f>
        <v>0</v>
      </c>
      <c r="I8" s="1686"/>
      <c r="J8" s="1676">
        <f>SUMIF(73:73,I8,74:74)-SUMIF(73:73,C8,74:74)+100</f>
        <v>0</v>
      </c>
      <c r="K8" s="1967"/>
      <c r="L8" s="2999"/>
      <c r="M8" s="2972"/>
      <c r="N8" s="2972"/>
      <c r="O8" s="2972"/>
      <c r="P8" s="3484" t="s">
        <v>2270</v>
      </c>
      <c r="Q8" s="3485"/>
      <c r="R8" s="1681" t="s">
        <v>25</v>
      </c>
      <c r="S8" s="1682">
        <f t="shared" si="0"/>
        <v>0</v>
      </c>
      <c r="T8" s="1681" t="s">
        <v>25</v>
      </c>
      <c r="U8" s="1682">
        <f t="shared" si="1"/>
        <v>0</v>
      </c>
      <c r="V8" s="1681" t="s">
        <v>25</v>
      </c>
      <c r="W8" s="1682">
        <f t="shared" si="2"/>
        <v>0</v>
      </c>
      <c r="X8" s="1683"/>
      <c r="Y8" s="3484" t="s">
        <v>2270</v>
      </c>
      <c r="Z8" s="3485"/>
      <c r="AA8" s="1684" t="e">
        <f t="shared" ref="AA8:AA45" si="3">D8/F8</f>
        <v>#DIV/0!</v>
      </c>
      <c r="AB8" s="1684" t="e">
        <f t="shared" ref="AB8:AB45" si="4">D8/H8</f>
        <v>#DIV/0!</v>
      </c>
      <c r="AC8" s="1684" t="e">
        <f t="shared" ref="AC8:AC45" si="5">D8/J8</f>
        <v>#DIV/0!</v>
      </c>
    </row>
    <row r="9" spans="1:30" s="1685" customFormat="1" ht="14.4">
      <c r="A9" s="1636" t="s">
        <v>2271</v>
      </c>
      <c r="B9" s="1688" t="s">
        <v>2272</v>
      </c>
      <c r="C9" s="1968"/>
      <c r="D9" s="1689">
        <v>100</v>
      </c>
      <c r="E9" s="1968"/>
      <c r="F9" s="1689">
        <f>SUMIF(75:75,E9,76:76)-SUMIF(75:75,C9,76:76)+100</f>
        <v>100</v>
      </c>
      <c r="G9" s="1968"/>
      <c r="H9" s="1689">
        <f>SUMIF(75:75,G9,76:76)-SUMIF(75:75,C9,76:76)+100</f>
        <v>100</v>
      </c>
      <c r="I9" s="1968"/>
      <c r="J9" s="1689">
        <f>SUMIF(75:75,I9,76:76)-SUMIF(75:75,C9,76:76)+100</f>
        <v>100</v>
      </c>
      <c r="K9" s="1967"/>
      <c r="L9" s="2999"/>
      <c r="M9" s="2972"/>
      <c r="N9" s="2972"/>
      <c r="O9" s="3046"/>
      <c r="P9" s="3470" t="s">
        <v>2273</v>
      </c>
      <c r="Q9" s="1635" t="str">
        <f t="shared" ref="Q9:Q15" si="6">B9</f>
        <v>用途</v>
      </c>
      <c r="R9" s="1681" t="s">
        <v>25</v>
      </c>
      <c r="S9" s="1682">
        <f t="shared" si="0"/>
        <v>100</v>
      </c>
      <c r="T9" s="1681" t="s">
        <v>25</v>
      </c>
      <c r="U9" s="1682">
        <f t="shared" si="1"/>
        <v>100</v>
      </c>
      <c r="V9" s="1681" t="s">
        <v>25</v>
      </c>
      <c r="W9" s="1682">
        <f t="shared" si="2"/>
        <v>100</v>
      </c>
      <c r="X9" s="1683"/>
      <c r="Y9" s="3328" t="s">
        <v>2274</v>
      </c>
      <c r="Z9" s="1693" t="str">
        <f t="shared" ref="Z9:Z15" si="7">Q9</f>
        <v>用途</v>
      </c>
      <c r="AA9" s="1684">
        <f t="shared" si="3"/>
        <v>1</v>
      </c>
      <c r="AB9" s="1684">
        <f t="shared" si="4"/>
        <v>1</v>
      </c>
      <c r="AC9" s="1684">
        <f t="shared" si="5"/>
        <v>1</v>
      </c>
    </row>
    <row r="10" spans="1:30" s="1701" customFormat="1" ht="28.8">
      <c r="A10" s="1694"/>
      <c r="B10" s="1695" t="s">
        <v>2275</v>
      </c>
      <c r="C10" s="1707"/>
      <c r="D10" s="1697">
        <v>100</v>
      </c>
      <c r="E10" s="1759"/>
      <c r="F10" s="1697" t="e">
        <f>ROUND(100/'数据-取费表'!B14,0)</f>
        <v>#DIV/0!</v>
      </c>
      <c r="G10" s="1757"/>
      <c r="H10" s="1697" t="e">
        <f>ROUND(100/'数据-取费表'!B14,0)</f>
        <v>#DIV/0!</v>
      </c>
      <c r="I10" s="1757"/>
      <c r="J10" s="1697" t="e">
        <f>ROUND(100/'数据-取费表'!B14,0)</f>
        <v>#DIV/0!</v>
      </c>
      <c r="K10" s="1969"/>
      <c r="L10" s="3001"/>
      <c r="M10" s="3002"/>
      <c r="N10" s="3002"/>
      <c r="O10" s="3047"/>
      <c r="P10" s="3470"/>
      <c r="Q10" s="1635" t="str">
        <f t="shared" si="6"/>
        <v>土地使用年限（年）</v>
      </c>
      <c r="R10" s="1681" t="s">
        <v>25</v>
      </c>
      <c r="S10" s="1682" t="e">
        <f t="shared" si="0"/>
        <v>#DIV/0!</v>
      </c>
      <c r="T10" s="1681" t="s">
        <v>25</v>
      </c>
      <c r="U10" s="1682" t="e">
        <f t="shared" si="1"/>
        <v>#DIV/0!</v>
      </c>
      <c r="V10" s="1681" t="s">
        <v>25</v>
      </c>
      <c r="W10" s="1682" t="e">
        <f t="shared" si="2"/>
        <v>#DIV/0!</v>
      </c>
      <c r="X10" s="1683"/>
      <c r="Y10" s="3328"/>
      <c r="Z10" s="1693" t="str">
        <f t="shared" si="7"/>
        <v>土地使用年限（年）</v>
      </c>
      <c r="AA10" s="1684" t="e">
        <f t="shared" si="3"/>
        <v>#DIV/0!</v>
      </c>
      <c r="AB10" s="1684" t="e">
        <f t="shared" si="4"/>
        <v>#DIV/0!</v>
      </c>
      <c r="AC10" s="1684" t="e">
        <f t="shared" si="5"/>
        <v>#DIV/0!</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3"/>
      <c r="M11" s="3000"/>
      <c r="N11" s="3000"/>
      <c r="O11" s="3048"/>
      <c r="P11" s="3470"/>
      <c r="Q11" s="1635" t="str">
        <f t="shared" si="6"/>
        <v>容积率</v>
      </c>
      <c r="R11" s="1681" t="s">
        <v>25</v>
      </c>
      <c r="S11" s="1682" t="e">
        <f t="shared" si="0"/>
        <v>#N/A</v>
      </c>
      <c r="T11" s="1681" t="s">
        <v>25</v>
      </c>
      <c r="U11" s="1682" t="e">
        <f t="shared" si="1"/>
        <v>#N/A</v>
      </c>
      <c r="V11" s="1681" t="s">
        <v>25</v>
      </c>
      <c r="W11" s="1682" t="e">
        <f t="shared" si="2"/>
        <v>#N/A</v>
      </c>
      <c r="X11" s="1683"/>
      <c r="Y11" s="3328"/>
      <c r="Z11" s="1693" t="str">
        <f t="shared" si="7"/>
        <v>容积率</v>
      </c>
      <c r="AA11" s="1684" t="e">
        <f t="shared" si="3"/>
        <v>#N/A</v>
      </c>
      <c r="AB11" s="1684" t="e">
        <f t="shared" si="4"/>
        <v>#N/A</v>
      </c>
      <c r="AC11" s="1684" t="e">
        <f t="shared" si="5"/>
        <v>#N/A</v>
      </c>
    </row>
    <row r="12" spans="1:30" s="1685" customFormat="1" ht="15">
      <c r="A12" s="1705"/>
      <c r="B12" s="1706" t="s">
        <v>2453</v>
      </c>
      <c r="C12" s="1707"/>
      <c r="D12" s="1708">
        <v>100</v>
      </c>
      <c r="E12" s="1759"/>
      <c r="F12" s="1697">
        <f>SUMIF(82:82,E12,83:83)-SUMIF(82:82,C12,83:83)+100</f>
        <v>100</v>
      </c>
      <c r="G12" s="1757"/>
      <c r="H12" s="1697">
        <f>SUMIF(82:82,G12,83:83)-SUMIF(82:82,C12,83:83)+100</f>
        <v>100</v>
      </c>
      <c r="I12" s="1759"/>
      <c r="J12" s="1697">
        <f>SUMIF(82:82,I12,83:83)-SUMIF(82:82,C12,83:83)+100</f>
        <v>100</v>
      </c>
      <c r="K12" s="1969"/>
      <c r="L12" s="2999"/>
      <c r="M12" s="2972"/>
      <c r="N12" s="2972"/>
      <c r="O12" s="3046"/>
      <c r="P12" s="3470"/>
      <c r="Q12" s="1635" t="str">
        <f t="shared" si="6"/>
        <v>配建</v>
      </c>
      <c r="R12" s="1681" t="s">
        <v>25</v>
      </c>
      <c r="S12" s="1682">
        <f t="shared" si="0"/>
        <v>100</v>
      </c>
      <c r="T12" s="1681" t="s">
        <v>25</v>
      </c>
      <c r="U12" s="1682">
        <f t="shared" si="1"/>
        <v>100</v>
      </c>
      <c r="V12" s="1681" t="s">
        <v>25</v>
      </c>
      <c r="W12" s="1682">
        <f t="shared" si="2"/>
        <v>100</v>
      </c>
      <c r="X12" s="1683"/>
      <c r="Y12" s="3328"/>
      <c r="Z12" s="1693" t="str">
        <f t="shared" si="7"/>
        <v>配建</v>
      </c>
      <c r="AA12" s="1684">
        <f>D12/F12</f>
        <v>1</v>
      </c>
      <c r="AB12" s="1684">
        <f>D12/H12</f>
        <v>1</v>
      </c>
      <c r="AC12" s="1684">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4"/>
      <c r="M13" s="3000"/>
      <c r="N13" s="3000"/>
      <c r="O13" s="3048"/>
      <c r="P13" s="3470"/>
      <c r="Q13" s="1635">
        <f t="shared" si="6"/>
        <v>111</v>
      </c>
      <c r="R13" s="1681" t="s">
        <v>25</v>
      </c>
      <c r="S13" s="1682">
        <f t="shared" si="0"/>
        <v>100</v>
      </c>
      <c r="T13" s="1681" t="s">
        <v>25</v>
      </c>
      <c r="U13" s="1682">
        <f t="shared" si="1"/>
        <v>100</v>
      </c>
      <c r="V13" s="1681" t="s">
        <v>25</v>
      </c>
      <c r="W13" s="1682">
        <f t="shared" si="2"/>
        <v>100</v>
      </c>
      <c r="X13" s="1683"/>
      <c r="Y13" s="3328"/>
      <c r="Z13" s="1693">
        <f t="shared" si="7"/>
        <v>111</v>
      </c>
      <c r="AA13" s="1684">
        <f>D13/F13</f>
        <v>1</v>
      </c>
      <c r="AB13" s="1684">
        <f>D13/H13</f>
        <v>1</v>
      </c>
      <c r="AC13" s="1684">
        <f>D13/J13</f>
        <v>1</v>
      </c>
    </row>
    <row r="14" spans="1:30" ht="15.6"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4"/>
      <c r="M14" s="3000"/>
      <c r="N14" s="3000"/>
      <c r="O14" s="3048"/>
      <c r="P14" s="3470"/>
      <c r="Q14" s="1635">
        <f t="shared" si="6"/>
        <v>111</v>
      </c>
      <c r="R14" s="1681" t="s">
        <v>25</v>
      </c>
      <c r="S14" s="1682">
        <f t="shared" si="0"/>
        <v>100</v>
      </c>
      <c r="T14" s="1681" t="s">
        <v>25</v>
      </c>
      <c r="U14" s="1682">
        <f t="shared" si="1"/>
        <v>100</v>
      </c>
      <c r="V14" s="1681" t="s">
        <v>25</v>
      </c>
      <c r="W14" s="1682">
        <f t="shared" si="2"/>
        <v>100</v>
      </c>
      <c r="X14" s="1683"/>
      <c r="Y14" s="3328"/>
      <c r="Z14" s="1693">
        <f t="shared" si="7"/>
        <v>111</v>
      </c>
      <c r="AA14" s="1684">
        <f>D14/F14</f>
        <v>1</v>
      </c>
      <c r="AB14" s="1684">
        <f>D14/H14</f>
        <v>1</v>
      </c>
      <c r="AC14" s="1684">
        <f>D14/J14</f>
        <v>1</v>
      </c>
    </row>
    <row r="15" spans="1:30" ht="110.4">
      <c r="A15" s="1663" t="s">
        <v>2277</v>
      </c>
      <c r="B15" s="1972" t="s">
        <v>1711</v>
      </c>
      <c r="C15" s="1973" t="str">
        <f>估价对象房地状况!C15</f>
        <v>估价对象周边有华英园、马可汇、石门苑、玉兰苑、牡丹苑等社区，综合评价居住社区成熟度较好</v>
      </c>
      <c r="D15" s="1720">
        <v>100</v>
      </c>
      <c r="E15" s="1721"/>
      <c r="F15" s="1720">
        <f>SUMIF(88:88,E16,89:89)-SUMIF(88:88,C16,89:89)+100</f>
        <v>100</v>
      </c>
      <c r="G15" s="1721"/>
      <c r="H15" s="1720">
        <f>SUMIF(88:88,G16,89:89)-SUMIF(88:88,C16,89:89)+100</f>
        <v>100</v>
      </c>
      <c r="I15" s="1723"/>
      <c r="J15" s="1720">
        <f>SUMIF(88:88,I16,89:89)-SUMIF(88:88,C16,89:89)+100</f>
        <v>100</v>
      </c>
      <c r="K15" s="1970"/>
      <c r="L15" s="3004"/>
      <c r="M15" s="3000"/>
      <c r="N15" s="3000"/>
      <c r="O15" s="3048"/>
      <c r="P15" s="3473" t="s">
        <v>2278</v>
      </c>
      <c r="Q15" s="1616" t="str">
        <f t="shared" si="6"/>
        <v>居住社区成熟度</v>
      </c>
      <c r="R15" s="1725" t="s">
        <v>25</v>
      </c>
      <c r="S15" s="1726">
        <f t="shared" si="0"/>
        <v>100</v>
      </c>
      <c r="T15" s="1725" t="s">
        <v>25</v>
      </c>
      <c r="U15" s="1726">
        <f t="shared" si="1"/>
        <v>100</v>
      </c>
      <c r="V15" s="1725" t="s">
        <v>25</v>
      </c>
      <c r="W15" s="1726">
        <f t="shared" si="2"/>
        <v>100</v>
      </c>
      <c r="X15" s="1666"/>
      <c r="Y15" s="3473" t="s">
        <v>2278</v>
      </c>
      <c r="Z15" s="1727" t="str">
        <f t="shared" si="7"/>
        <v>居住社区成熟度</v>
      </c>
      <c r="AA15" s="1728">
        <f t="shared" si="3"/>
        <v>1</v>
      </c>
      <c r="AB15" s="1728">
        <f t="shared" si="4"/>
        <v>1</v>
      </c>
      <c r="AC15" s="1728">
        <f t="shared" si="5"/>
        <v>1</v>
      </c>
    </row>
    <row r="16" spans="1:30" ht="15">
      <c r="A16" s="1668"/>
      <c r="B16" s="1974"/>
      <c r="C16" s="1975"/>
      <c r="D16" s="1731"/>
      <c r="E16" s="1732"/>
      <c r="F16" s="1731"/>
      <c r="G16" s="1732"/>
      <c r="H16" s="1735"/>
      <c r="I16" s="1734"/>
      <c r="J16" s="1731"/>
      <c r="K16" s="1969"/>
      <c r="L16" s="3004"/>
      <c r="M16" s="3000"/>
      <c r="N16" s="3000"/>
      <c r="O16" s="3048"/>
      <c r="P16" s="3474"/>
      <c r="Q16" s="1616"/>
      <c r="R16" s="1725"/>
      <c r="S16" s="1726"/>
      <c r="T16" s="1725"/>
      <c r="U16" s="1726"/>
      <c r="V16" s="1725"/>
      <c r="W16" s="1726"/>
      <c r="X16" s="1666"/>
      <c r="Y16" s="3474"/>
      <c r="Z16" s="1727"/>
      <c r="AA16" s="1728">
        <v>1</v>
      </c>
      <c r="AB16" s="1728">
        <v>1</v>
      </c>
      <c r="AC16" s="1728">
        <v>1</v>
      </c>
    </row>
    <row r="17" spans="1:29" ht="82.8">
      <c r="A17" s="1668"/>
      <c r="B17" s="1976" t="s">
        <v>2362</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4"/>
      <c r="M17" s="3000"/>
      <c r="N17" s="3000"/>
      <c r="O17" s="3048"/>
      <c r="P17" s="3474"/>
      <c r="Q17" s="1616" t="str">
        <f>B17</f>
        <v>商业繁华度</v>
      </c>
      <c r="R17" s="1725" t="s">
        <v>25</v>
      </c>
      <c r="S17" s="1726">
        <f>F17</f>
        <v>100</v>
      </c>
      <c r="T17" s="1725" t="s">
        <v>25</v>
      </c>
      <c r="U17" s="1726">
        <f>H17</f>
        <v>100</v>
      </c>
      <c r="V17" s="1725" t="s">
        <v>25</v>
      </c>
      <c r="W17" s="1726">
        <f>J17</f>
        <v>100</v>
      </c>
      <c r="X17" s="1666"/>
      <c r="Y17" s="3474"/>
      <c r="Z17" s="1727" t="str">
        <f>Q17</f>
        <v>商业繁华度</v>
      </c>
      <c r="AA17" s="1728">
        <f t="shared" si="3"/>
        <v>1</v>
      </c>
      <c r="AB17" s="1728">
        <f t="shared" si="4"/>
        <v>1</v>
      </c>
      <c r="AC17" s="1728">
        <f t="shared" si="5"/>
        <v>1</v>
      </c>
    </row>
    <row r="18" spans="1:29" ht="15">
      <c r="A18" s="1668"/>
      <c r="B18" s="1978"/>
      <c r="C18" s="1979"/>
      <c r="D18" s="1735"/>
      <c r="E18" s="1745"/>
      <c r="F18" s="1735"/>
      <c r="G18" s="1745"/>
      <c r="H18" s="1731"/>
      <c r="I18" s="1746"/>
      <c r="J18" s="1731"/>
      <c r="K18" s="1969"/>
      <c r="L18" s="3004"/>
      <c r="M18" s="3000"/>
      <c r="N18" s="3000"/>
      <c r="O18" s="3048"/>
      <c r="P18" s="3474"/>
      <c r="Q18" s="1616"/>
      <c r="R18" s="1725"/>
      <c r="S18" s="1726"/>
      <c r="T18" s="1725"/>
      <c r="U18" s="1726"/>
      <c r="V18" s="1725"/>
      <c r="W18" s="1726"/>
      <c r="X18" s="1666"/>
      <c r="Y18" s="3474"/>
      <c r="Z18" s="1727"/>
      <c r="AA18" s="1728">
        <v>1</v>
      </c>
      <c r="AB18" s="1728">
        <v>1</v>
      </c>
      <c r="AC18" s="1728">
        <v>1</v>
      </c>
    </row>
    <row r="19" spans="1:29" ht="82.8">
      <c r="A19" s="1668"/>
      <c r="B19" s="1976" t="s">
        <v>2391</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4"/>
      <c r="M19" s="3000"/>
      <c r="N19" s="3000"/>
      <c r="O19" s="3048"/>
      <c r="P19" s="3474"/>
      <c r="Q19" s="1616" t="str">
        <f>B19</f>
        <v>办公集聚程度</v>
      </c>
      <c r="R19" s="1725" t="s">
        <v>25</v>
      </c>
      <c r="S19" s="1726">
        <f>F19</f>
        <v>100</v>
      </c>
      <c r="T19" s="1725" t="s">
        <v>25</v>
      </c>
      <c r="U19" s="1726">
        <f>H19</f>
        <v>100</v>
      </c>
      <c r="V19" s="1725" t="s">
        <v>25</v>
      </c>
      <c r="W19" s="1726">
        <f>J19</f>
        <v>100</v>
      </c>
      <c r="X19" s="1666"/>
      <c r="Y19" s="3474"/>
      <c r="Z19" s="1727" t="str">
        <f>Q19</f>
        <v>办公集聚程度</v>
      </c>
      <c r="AA19" s="1728">
        <f t="shared" si="3"/>
        <v>1</v>
      </c>
      <c r="AB19" s="1728">
        <f t="shared" si="4"/>
        <v>1</v>
      </c>
      <c r="AC19" s="1728">
        <f t="shared" si="5"/>
        <v>1</v>
      </c>
    </row>
    <row r="20" spans="1:29" ht="15">
      <c r="A20" s="1668"/>
      <c r="B20" s="1978"/>
      <c r="C20" s="1975"/>
      <c r="D20" s="1731"/>
      <c r="E20" s="1732"/>
      <c r="F20" s="1731"/>
      <c r="G20" s="1732"/>
      <c r="H20" s="1731"/>
      <c r="I20" s="1734"/>
      <c r="J20" s="1731"/>
      <c r="K20" s="1969"/>
      <c r="L20" s="3004"/>
      <c r="M20" s="3000"/>
      <c r="N20" s="3000"/>
      <c r="O20" s="3048"/>
      <c r="P20" s="3474"/>
      <c r="Q20" s="1616"/>
      <c r="R20" s="1725"/>
      <c r="S20" s="1726"/>
      <c r="T20" s="1725"/>
      <c r="U20" s="1726"/>
      <c r="V20" s="1725"/>
      <c r="W20" s="1726"/>
      <c r="X20" s="1666"/>
      <c r="Y20" s="3474"/>
      <c r="Z20" s="1727"/>
      <c r="AA20" s="1728">
        <v>1</v>
      </c>
      <c r="AB20" s="1728">
        <v>1</v>
      </c>
      <c r="AC20" s="1728">
        <v>1</v>
      </c>
    </row>
    <row r="21" spans="1:29" ht="124.2">
      <c r="A21" s="1668"/>
      <c r="B21" s="1976" t="s">
        <v>2414</v>
      </c>
      <c r="C21" s="1980" t="str">
        <f>估价对象房地状况!C18</f>
        <v>估价对象周边有顺2路、顺27路、顺28路、顺38路等多条公交线路，地铁15号线南法信站，综合评价交通便捷度较好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4"/>
      <c r="M21" s="3000"/>
      <c r="N21" s="3000"/>
      <c r="O21" s="3048"/>
      <c r="P21" s="3474"/>
      <c r="Q21" s="1616" t="str">
        <f>B21</f>
        <v>交通便捷度</v>
      </c>
      <c r="R21" s="1725" t="s">
        <v>25</v>
      </c>
      <c r="S21" s="1726">
        <f>F21</f>
        <v>100</v>
      </c>
      <c r="T21" s="1725" t="s">
        <v>25</v>
      </c>
      <c r="U21" s="1726">
        <f>H21</f>
        <v>100</v>
      </c>
      <c r="V21" s="1725" t="s">
        <v>25</v>
      </c>
      <c r="W21" s="1726">
        <f>J21</f>
        <v>100</v>
      </c>
      <c r="X21" s="1666"/>
      <c r="Y21" s="3474"/>
      <c r="Z21" s="1727" t="str">
        <f>Q21</f>
        <v>交通便捷度</v>
      </c>
      <c r="AA21" s="1728">
        <f t="shared" si="3"/>
        <v>1</v>
      </c>
      <c r="AB21" s="1728">
        <f t="shared" si="4"/>
        <v>1</v>
      </c>
      <c r="AC21" s="1728">
        <f t="shared" si="5"/>
        <v>1</v>
      </c>
    </row>
    <row r="22" spans="1:29" ht="15">
      <c r="A22" s="1668"/>
      <c r="B22" s="1981"/>
      <c r="C22" s="1975"/>
      <c r="D22" s="1735"/>
      <c r="E22" s="1732"/>
      <c r="F22" s="1731"/>
      <c r="G22" s="1732"/>
      <c r="H22" s="1731"/>
      <c r="I22" s="1734"/>
      <c r="J22" s="1731"/>
      <c r="K22" s="1969"/>
      <c r="L22" s="3004"/>
      <c r="M22" s="3000"/>
      <c r="N22" s="3000"/>
      <c r="O22" s="3048"/>
      <c r="P22" s="3474"/>
      <c r="Q22" s="1616"/>
      <c r="R22" s="1725"/>
      <c r="S22" s="1726"/>
      <c r="T22" s="1725"/>
      <c r="U22" s="1726"/>
      <c r="V22" s="1725"/>
      <c r="W22" s="1726"/>
      <c r="X22" s="1666"/>
      <c r="Y22" s="3474"/>
      <c r="Z22" s="1727"/>
      <c r="AA22" s="1728">
        <v>1</v>
      </c>
      <c r="AB22" s="1728">
        <v>1</v>
      </c>
      <c r="AC22" s="1728">
        <v>1</v>
      </c>
    </row>
    <row r="23" spans="1:29" ht="28.8">
      <c r="A23" s="1668"/>
      <c r="B23" s="1458" t="s">
        <v>2454</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4"/>
      <c r="M23" s="3000"/>
      <c r="N23" s="3000"/>
      <c r="O23" s="3048"/>
      <c r="P23" s="3474"/>
      <c r="Q23" s="1616" t="str">
        <f t="shared" ref="Q23:Q37" si="8">B23</f>
        <v>区域土地利用方向</v>
      </c>
      <c r="R23" s="1725" t="s">
        <v>25</v>
      </c>
      <c r="S23" s="1726">
        <f>F23</f>
        <v>100</v>
      </c>
      <c r="T23" s="1725" t="s">
        <v>25</v>
      </c>
      <c r="U23" s="1726">
        <f>H23</f>
        <v>100</v>
      </c>
      <c r="V23" s="1725" t="s">
        <v>25</v>
      </c>
      <c r="W23" s="1726">
        <f>J23</f>
        <v>100</v>
      </c>
      <c r="X23" s="1666"/>
      <c r="Y23" s="3474"/>
      <c r="Z23" s="1727" t="str">
        <f>Q23</f>
        <v>区域土地利用方向</v>
      </c>
      <c r="AA23" s="1728">
        <f t="shared" si="3"/>
        <v>1</v>
      </c>
      <c r="AB23" s="1728">
        <f t="shared" si="4"/>
        <v>1</v>
      </c>
      <c r="AC23" s="1728">
        <f t="shared" si="5"/>
        <v>1</v>
      </c>
    </row>
    <row r="24" spans="1:29" ht="15">
      <c r="A24" s="1668"/>
      <c r="B24" s="1459"/>
      <c r="C24" s="1983"/>
      <c r="D24" s="1731"/>
      <c r="E24" s="1732"/>
      <c r="F24" s="1731"/>
      <c r="G24" s="1734"/>
      <c r="H24" s="1731"/>
      <c r="I24" s="1734"/>
      <c r="J24" s="1731"/>
      <c r="K24" s="1984"/>
      <c r="L24" s="3004"/>
      <c r="M24" s="3000"/>
      <c r="N24" s="3000"/>
      <c r="O24" s="3048"/>
      <c r="P24" s="3474"/>
      <c r="Q24" s="1616"/>
      <c r="R24" s="1725"/>
      <c r="S24" s="1726"/>
      <c r="T24" s="1725"/>
      <c r="U24" s="1726"/>
      <c r="V24" s="1725"/>
      <c r="W24" s="1726"/>
      <c r="X24" s="1666"/>
      <c r="Y24" s="3474"/>
      <c r="Z24" s="1727"/>
      <c r="AA24" s="1728"/>
      <c r="AB24" s="1728"/>
      <c r="AC24" s="1728"/>
    </row>
    <row r="25" spans="1:29" ht="55.2">
      <c r="A25" s="1668"/>
      <c r="B25" s="1981" t="s">
        <v>2455</v>
      </c>
      <c r="C25" s="1977" t="str">
        <f>估价对象房地状况!C20</f>
        <v>区域自然环境：小中河；综合评价环境状况一般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4"/>
      <c r="M25" s="3000"/>
      <c r="N25" s="3000"/>
      <c r="O25" s="3048"/>
      <c r="P25" s="3474"/>
      <c r="Q25" s="1616" t="str">
        <f t="shared" si="8"/>
        <v>自然及人文环境状况</v>
      </c>
      <c r="R25" s="1725" t="s">
        <v>25</v>
      </c>
      <c r="S25" s="1726">
        <f>F25</f>
        <v>100</v>
      </c>
      <c r="T25" s="1725" t="s">
        <v>25</v>
      </c>
      <c r="U25" s="1726">
        <f>H25</f>
        <v>100</v>
      </c>
      <c r="V25" s="1725" t="s">
        <v>25</v>
      </c>
      <c r="W25" s="1726">
        <f>J25</f>
        <v>100</v>
      </c>
      <c r="X25" s="1666"/>
      <c r="Y25" s="3474"/>
      <c r="Z25" s="1727" t="str">
        <f>Q25</f>
        <v>自然及人文环境状况</v>
      </c>
      <c r="AA25" s="1728">
        <f t="shared" si="3"/>
        <v>1</v>
      </c>
      <c r="AB25" s="1728">
        <f t="shared" si="4"/>
        <v>1</v>
      </c>
      <c r="AC25" s="1728">
        <f t="shared" si="5"/>
        <v>1</v>
      </c>
    </row>
    <row r="26" spans="1:29" ht="15">
      <c r="A26" s="1668"/>
      <c r="B26" s="1978"/>
      <c r="C26" s="1975"/>
      <c r="D26" s="1731"/>
      <c r="E26" s="1975"/>
      <c r="F26" s="1731"/>
      <c r="G26" s="1975"/>
      <c r="H26" s="1731"/>
      <c r="I26" s="1730"/>
      <c r="J26" s="1731"/>
      <c r="K26" s="1969"/>
      <c r="L26" s="3004"/>
      <c r="M26" s="3000"/>
      <c r="N26" s="3000"/>
      <c r="O26" s="3048"/>
      <c r="P26" s="3474"/>
      <c r="Q26" s="1616"/>
      <c r="R26" s="1725"/>
      <c r="S26" s="1726"/>
      <c r="T26" s="1725"/>
      <c r="U26" s="1726"/>
      <c r="V26" s="1725"/>
      <c r="W26" s="1726"/>
      <c r="X26" s="1666"/>
      <c r="Y26" s="3474"/>
      <c r="Z26" s="1727"/>
      <c r="AA26" s="1728">
        <v>1</v>
      </c>
      <c r="AB26" s="1728">
        <v>1</v>
      </c>
      <c r="AC26" s="1728">
        <v>1</v>
      </c>
    </row>
    <row r="27" spans="1:29" ht="41.4">
      <c r="A27" s="1668"/>
      <c r="B27" s="1981" t="s">
        <v>2363</v>
      </c>
      <c r="C27" s="1980" t="str">
        <f>估价对象房地状况!C21</f>
        <v>估价对象所在区域公共配套设施较齐备</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4"/>
      <c r="M27" s="3000"/>
      <c r="N27" s="3000"/>
      <c r="O27" s="3048"/>
      <c r="P27" s="3474"/>
      <c r="Q27" s="1635" t="str">
        <f t="shared" ref="Q27" si="9">B27</f>
        <v>公共配套设施</v>
      </c>
      <c r="R27" s="1681" t="s">
        <v>25</v>
      </c>
      <c r="S27" s="1682">
        <f>F27</f>
        <v>100</v>
      </c>
      <c r="T27" s="1681" t="s">
        <v>25</v>
      </c>
      <c r="U27" s="1682">
        <f>H27</f>
        <v>100</v>
      </c>
      <c r="V27" s="1681" t="s">
        <v>25</v>
      </c>
      <c r="W27" s="1682">
        <f>J27</f>
        <v>100</v>
      </c>
      <c r="X27" s="1666"/>
      <c r="Y27" s="3474"/>
      <c r="Z27" s="1693" t="str">
        <f>Q27</f>
        <v>公共配套设施</v>
      </c>
      <c r="AA27" s="1728">
        <f>D27/F27</f>
        <v>1</v>
      </c>
      <c r="AB27" s="1728">
        <f>D27/H27</f>
        <v>1</v>
      </c>
      <c r="AC27" s="1728">
        <f>D27/J27</f>
        <v>1</v>
      </c>
    </row>
    <row r="28" spans="1:29" ht="15">
      <c r="A28" s="1668"/>
      <c r="B28" s="1978"/>
      <c r="C28" s="1986"/>
      <c r="D28" s="1731"/>
      <c r="E28" s="1986"/>
      <c r="F28" s="1731"/>
      <c r="G28" s="1986"/>
      <c r="H28" s="1731"/>
      <c r="I28" s="1986"/>
      <c r="J28" s="1731"/>
      <c r="K28" s="1969"/>
      <c r="L28" s="3004"/>
      <c r="M28" s="3000"/>
      <c r="N28" s="3000"/>
      <c r="O28" s="3048"/>
      <c r="P28" s="3474"/>
      <c r="Q28" s="1616"/>
      <c r="R28" s="1725"/>
      <c r="S28" s="1726"/>
      <c r="T28" s="1725"/>
      <c r="U28" s="1726"/>
      <c r="V28" s="1725"/>
      <c r="W28" s="1726"/>
      <c r="X28" s="1666"/>
      <c r="Y28" s="3474"/>
      <c r="Z28" s="1693"/>
      <c r="AA28" s="1728">
        <v>1</v>
      </c>
      <c r="AB28" s="1728">
        <v>1</v>
      </c>
      <c r="AC28" s="1728">
        <v>1</v>
      </c>
    </row>
    <row r="29" spans="1:29" s="1685" customFormat="1" ht="15">
      <c r="A29" s="1987"/>
      <c r="B29" s="1981" t="s">
        <v>2364</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9"/>
      <c r="M29" s="2972"/>
      <c r="N29" s="2972"/>
      <c r="O29" s="3046"/>
      <c r="P29" s="3474"/>
      <c r="Q29" s="1635" t="str">
        <f t="shared" si="8"/>
        <v>基础设施水平</v>
      </c>
      <c r="R29" s="1681" t="s">
        <v>25</v>
      </c>
      <c r="S29" s="1682">
        <f>F29</f>
        <v>100</v>
      </c>
      <c r="T29" s="1681" t="s">
        <v>25</v>
      </c>
      <c r="U29" s="1682">
        <f>H29</f>
        <v>100</v>
      </c>
      <c r="V29" s="1681" t="s">
        <v>25</v>
      </c>
      <c r="W29" s="1682">
        <f>J29</f>
        <v>100</v>
      </c>
      <c r="X29" s="1683"/>
      <c r="Y29" s="3474"/>
      <c r="Z29" s="1693" t="str">
        <f>Q29</f>
        <v>基础设施水平</v>
      </c>
      <c r="AA29" s="1728">
        <f>D29/F29</f>
        <v>1</v>
      </c>
      <c r="AB29" s="1728">
        <f>D29/H29</f>
        <v>1</v>
      </c>
      <c r="AC29" s="1728">
        <f>D29/J29</f>
        <v>1</v>
      </c>
    </row>
    <row r="30" spans="1:29" s="1685" customFormat="1" ht="15">
      <c r="A30" s="1987"/>
      <c r="B30" s="1978"/>
      <c r="C30" s="1986"/>
      <c r="D30" s="1731"/>
      <c r="E30" s="1986"/>
      <c r="F30" s="1731"/>
      <c r="G30" s="1986"/>
      <c r="H30" s="1731"/>
      <c r="I30" s="1986"/>
      <c r="J30" s="1731"/>
      <c r="K30" s="1969"/>
      <c r="L30" s="2999"/>
      <c r="M30" s="2972"/>
      <c r="N30" s="2972"/>
      <c r="O30" s="3046"/>
      <c r="P30" s="3474"/>
      <c r="Q30" s="1635"/>
      <c r="R30" s="1681"/>
      <c r="S30" s="1682"/>
      <c r="T30" s="1681"/>
      <c r="U30" s="1682"/>
      <c r="V30" s="1681"/>
      <c r="W30" s="1682"/>
      <c r="X30" s="1683"/>
      <c r="Y30" s="3474"/>
      <c r="Z30" s="1693"/>
      <c r="AA30" s="1728">
        <v>1</v>
      </c>
      <c r="AB30" s="1728">
        <v>1</v>
      </c>
      <c r="AC30" s="1728">
        <v>1</v>
      </c>
    </row>
    <row r="31" spans="1:29" ht="15">
      <c r="A31" s="1668"/>
      <c r="B31" s="1978" t="s">
        <v>2365</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4"/>
      <c r="M31" s="3000"/>
      <c r="N31" s="3000"/>
      <c r="O31" s="3048"/>
      <c r="P31" s="3474"/>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74"/>
      <c r="Z31" s="1727" t="str">
        <f t="shared" ref="Z31:Z45" si="13">Q31</f>
        <v>临街状况</v>
      </c>
      <c r="AA31" s="1728">
        <f t="shared" si="3"/>
        <v>1</v>
      </c>
      <c r="AB31" s="1728">
        <f t="shared" si="4"/>
        <v>1</v>
      </c>
      <c r="AC31" s="1728">
        <f t="shared" si="5"/>
        <v>1</v>
      </c>
    </row>
    <row r="32" spans="1:29" ht="28.8">
      <c r="A32" s="1668"/>
      <c r="B32" s="1981" t="s">
        <v>2395</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4"/>
      <c r="M32" s="3000"/>
      <c r="N32" s="3000"/>
      <c r="O32" s="3048"/>
      <c r="P32" s="3474"/>
      <c r="Q32" s="1616" t="str">
        <f t="shared" si="8"/>
        <v>毗邻道路的类型与等级</v>
      </c>
      <c r="R32" s="1725" t="s">
        <v>25</v>
      </c>
      <c r="S32" s="1726">
        <f t="shared" si="10"/>
        <v>100</v>
      </c>
      <c r="T32" s="1725" t="s">
        <v>25</v>
      </c>
      <c r="U32" s="1726">
        <f t="shared" si="11"/>
        <v>100</v>
      </c>
      <c r="V32" s="1725" t="s">
        <v>25</v>
      </c>
      <c r="W32" s="1726">
        <f t="shared" si="12"/>
        <v>100</v>
      </c>
      <c r="X32" s="1666"/>
      <c r="Y32" s="3474"/>
      <c r="Z32" s="1727" t="str">
        <f t="shared" si="13"/>
        <v>毗邻道路的类型与等级</v>
      </c>
      <c r="AA32" s="1728">
        <f t="shared" si="3"/>
        <v>1</v>
      </c>
      <c r="AB32" s="1728">
        <f t="shared" si="4"/>
        <v>1</v>
      </c>
      <c r="AC32" s="1728">
        <f t="shared" si="5"/>
        <v>1</v>
      </c>
    </row>
    <row r="33" spans="1:29" ht="15">
      <c r="A33" s="1668"/>
      <c r="B33" s="1978"/>
      <c r="C33" s="1975"/>
      <c r="D33" s="1731"/>
      <c r="E33" s="1975"/>
      <c r="F33" s="1731"/>
      <c r="G33" s="1975"/>
      <c r="H33" s="1731"/>
      <c r="I33" s="1730"/>
      <c r="J33" s="1731"/>
      <c r="K33" s="1989"/>
      <c r="L33" s="3004"/>
      <c r="M33" s="3000"/>
      <c r="N33" s="3000"/>
      <c r="O33" s="3048"/>
      <c r="P33" s="3474"/>
      <c r="Q33" s="1616"/>
      <c r="R33" s="1725"/>
      <c r="S33" s="1726"/>
      <c r="T33" s="1725"/>
      <c r="U33" s="1726"/>
      <c r="V33" s="1725"/>
      <c r="W33" s="1726"/>
      <c r="X33" s="1666"/>
      <c r="Y33" s="3474"/>
      <c r="Z33" s="1727"/>
      <c r="AA33" s="1728">
        <v>1</v>
      </c>
      <c r="AB33" s="1728">
        <v>1</v>
      </c>
      <c r="AC33" s="1728">
        <v>1</v>
      </c>
    </row>
    <row r="34" spans="1:29" ht="15">
      <c r="A34" s="1668"/>
      <c r="B34" s="1990" t="s">
        <v>2456</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4"/>
      <c r="M34" s="3000"/>
      <c r="N34" s="3000"/>
      <c r="O34" s="3048"/>
      <c r="P34" s="3474"/>
      <c r="Q34" s="1616" t="str">
        <f t="shared" si="8"/>
        <v>土地级别</v>
      </c>
      <c r="R34" s="1725" t="s">
        <v>25</v>
      </c>
      <c r="S34" s="1726">
        <f t="shared" si="10"/>
        <v>100</v>
      </c>
      <c r="T34" s="1725" t="s">
        <v>25</v>
      </c>
      <c r="U34" s="1726">
        <f t="shared" si="11"/>
        <v>100</v>
      </c>
      <c r="V34" s="1725" t="s">
        <v>25</v>
      </c>
      <c r="W34" s="1726">
        <f t="shared" si="12"/>
        <v>100</v>
      </c>
      <c r="X34" s="1666"/>
      <c r="Y34" s="3474"/>
      <c r="Z34" s="1727" t="str">
        <f t="shared" si="13"/>
        <v>土地级别</v>
      </c>
      <c r="AA34" s="1728">
        <f t="shared" si="3"/>
        <v>1</v>
      </c>
      <c r="AB34" s="1728">
        <f t="shared" si="4"/>
        <v>1</v>
      </c>
      <c r="AC34" s="1728">
        <f t="shared" si="5"/>
        <v>1</v>
      </c>
    </row>
    <row r="35" spans="1:29" ht="15">
      <c r="A35" s="1668"/>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4"/>
      <c r="M35" s="3000"/>
      <c r="N35" s="3000"/>
      <c r="O35" s="3048"/>
      <c r="P35" s="3474"/>
      <c r="Q35" s="1616">
        <f t="shared" si="8"/>
        <v>111</v>
      </c>
      <c r="R35" s="1725" t="s">
        <v>25</v>
      </c>
      <c r="S35" s="1726">
        <f t="shared" si="10"/>
        <v>100</v>
      </c>
      <c r="T35" s="1725" t="s">
        <v>25</v>
      </c>
      <c r="U35" s="1726">
        <f t="shared" si="11"/>
        <v>100</v>
      </c>
      <c r="V35" s="1725" t="s">
        <v>25</v>
      </c>
      <c r="W35" s="1726">
        <f t="shared" si="12"/>
        <v>100</v>
      </c>
      <c r="X35" s="1666"/>
      <c r="Y35" s="3474"/>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4"/>
      <c r="M36" s="3000"/>
      <c r="N36" s="3000"/>
      <c r="O36" s="3048"/>
      <c r="P36" s="3514" t="s">
        <v>2284</v>
      </c>
      <c r="Q36" s="1616">
        <f t="shared" si="8"/>
        <v>111</v>
      </c>
      <c r="R36" s="1725" t="s">
        <v>25</v>
      </c>
      <c r="S36" s="1726">
        <f t="shared" si="10"/>
        <v>100</v>
      </c>
      <c r="T36" s="1725" t="s">
        <v>25</v>
      </c>
      <c r="U36" s="1726">
        <f t="shared" si="11"/>
        <v>100</v>
      </c>
      <c r="V36" s="1725" t="s">
        <v>25</v>
      </c>
      <c r="W36" s="1726">
        <f t="shared" si="12"/>
        <v>100</v>
      </c>
      <c r="X36" s="1666"/>
      <c r="Y36" s="3478" t="s">
        <v>2284</v>
      </c>
      <c r="Z36" s="1727">
        <f t="shared" si="13"/>
        <v>111</v>
      </c>
      <c r="AA36" s="1728">
        <f t="shared" si="3"/>
        <v>1</v>
      </c>
      <c r="AB36" s="1728">
        <f t="shared" si="4"/>
        <v>1</v>
      </c>
      <c r="AC36" s="1728">
        <f t="shared" si="5"/>
        <v>1</v>
      </c>
    </row>
    <row r="37" spans="1:29" s="1771" customFormat="1" ht="15.6"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3"/>
      <c r="M37" s="2059"/>
      <c r="N37" s="2059"/>
      <c r="O37" s="3049"/>
      <c r="P37" s="3478"/>
      <c r="Q37" s="1616">
        <f t="shared" si="8"/>
        <v>111</v>
      </c>
      <c r="R37" s="1767" t="s">
        <v>25</v>
      </c>
      <c r="S37" s="1768">
        <f t="shared" si="10"/>
        <v>100</v>
      </c>
      <c r="T37" s="1767" t="s">
        <v>25</v>
      </c>
      <c r="U37" s="1768">
        <f t="shared" si="11"/>
        <v>100</v>
      </c>
      <c r="V37" s="1767" t="s">
        <v>25</v>
      </c>
      <c r="W37" s="1768">
        <f t="shared" si="12"/>
        <v>100</v>
      </c>
      <c r="X37" s="1769"/>
      <c r="Y37" s="3478"/>
      <c r="Z37" s="1770">
        <f t="shared" si="13"/>
        <v>111</v>
      </c>
      <c r="AA37" s="1728">
        <f t="shared" si="3"/>
        <v>1</v>
      </c>
      <c r="AB37" s="1728">
        <f t="shared" si="4"/>
        <v>1</v>
      </c>
      <c r="AC37" s="1728">
        <f t="shared" si="5"/>
        <v>1</v>
      </c>
    </row>
    <row r="38" spans="1:29" ht="15">
      <c r="A38" s="1663" t="s">
        <v>2282</v>
      </c>
      <c r="B38" s="1743" t="s">
        <v>2457</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4"/>
      <c r="M38" s="3000"/>
      <c r="N38" s="3000"/>
      <c r="O38" s="3048"/>
      <c r="P38" s="3478"/>
      <c r="Q38" s="1616" t="str">
        <f>B38</f>
        <v>宗地面积</v>
      </c>
      <c r="R38" s="1725" t="s">
        <v>25</v>
      </c>
      <c r="S38" s="1726" t="e">
        <f t="shared" si="10"/>
        <v>#N/A</v>
      </c>
      <c r="T38" s="1725" t="s">
        <v>25</v>
      </c>
      <c r="U38" s="1726" t="e">
        <f t="shared" si="11"/>
        <v>#N/A</v>
      </c>
      <c r="V38" s="1725" t="s">
        <v>25</v>
      </c>
      <c r="W38" s="1726" t="e">
        <f t="shared" si="12"/>
        <v>#N/A</v>
      </c>
      <c r="X38" s="1666"/>
      <c r="Y38" s="3478"/>
      <c r="Z38" s="1727" t="str">
        <f t="shared" si="13"/>
        <v>宗地面积</v>
      </c>
      <c r="AA38" s="1728" t="e">
        <f t="shared" si="3"/>
        <v>#N/A</v>
      </c>
      <c r="AB38" s="1728" t="e">
        <f t="shared" si="4"/>
        <v>#N/A</v>
      </c>
      <c r="AC38" s="1728" t="e">
        <f t="shared" si="5"/>
        <v>#N/A</v>
      </c>
    </row>
    <row r="39" spans="1:29" ht="15">
      <c r="A39" s="1772"/>
      <c r="B39" s="1695" t="s">
        <v>2458</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4"/>
      <c r="M39" s="3000"/>
      <c r="N39" s="3000"/>
      <c r="O39" s="3048"/>
      <c r="P39" s="3478"/>
      <c r="Q39" s="1616" t="str">
        <f t="shared" ref="Q39:Q45" si="14">B39</f>
        <v>宗地形状</v>
      </c>
      <c r="R39" s="1725" t="s">
        <v>25</v>
      </c>
      <c r="S39" s="1726">
        <f t="shared" si="10"/>
        <v>100</v>
      </c>
      <c r="T39" s="1725" t="s">
        <v>25</v>
      </c>
      <c r="U39" s="1726">
        <f t="shared" si="11"/>
        <v>100</v>
      </c>
      <c r="V39" s="1725" t="s">
        <v>25</v>
      </c>
      <c r="W39" s="1726">
        <f t="shared" si="12"/>
        <v>100</v>
      </c>
      <c r="X39" s="1666"/>
      <c r="Y39" s="3478"/>
      <c r="Z39" s="1727" t="str">
        <f t="shared" si="13"/>
        <v>宗地形状</v>
      </c>
      <c r="AA39" s="1728">
        <f t="shared" si="3"/>
        <v>1</v>
      </c>
      <c r="AB39" s="1728">
        <f t="shared" si="4"/>
        <v>1</v>
      </c>
      <c r="AC39" s="1728">
        <f t="shared" si="5"/>
        <v>1</v>
      </c>
    </row>
    <row r="40" spans="1:29" ht="15">
      <c r="A40" s="1772"/>
      <c r="B40" s="1695" t="s">
        <v>2459</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4"/>
      <c r="M40" s="3000"/>
      <c r="N40" s="3000"/>
      <c r="O40" s="3048"/>
      <c r="P40" s="3478"/>
      <c r="Q40" s="1616" t="str">
        <f t="shared" si="14"/>
        <v>临街宽度及深度</v>
      </c>
      <c r="R40" s="1725" t="s">
        <v>25</v>
      </c>
      <c r="S40" s="1726">
        <f t="shared" si="10"/>
        <v>100</v>
      </c>
      <c r="T40" s="1725" t="s">
        <v>25</v>
      </c>
      <c r="U40" s="1726">
        <f t="shared" si="11"/>
        <v>100</v>
      </c>
      <c r="V40" s="1725" t="s">
        <v>25</v>
      </c>
      <c r="W40" s="1726">
        <f t="shared" si="12"/>
        <v>100</v>
      </c>
      <c r="X40" s="1666"/>
      <c r="Y40" s="3478"/>
      <c r="Z40" s="1727" t="str">
        <f t="shared" si="13"/>
        <v>临街宽度及深度</v>
      </c>
      <c r="AA40" s="1728">
        <f t="shared" si="3"/>
        <v>1</v>
      </c>
      <c r="AB40" s="1728">
        <f t="shared" si="4"/>
        <v>1</v>
      </c>
      <c r="AC40" s="1728">
        <f t="shared" si="5"/>
        <v>1</v>
      </c>
    </row>
    <row r="41" spans="1:29" s="1685" customFormat="1" ht="15">
      <c r="A41" s="1775"/>
      <c r="B41" s="1695" t="s">
        <v>2460</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9"/>
      <c r="M41" s="2972"/>
      <c r="N41" s="2972"/>
      <c r="O41" s="3046"/>
      <c r="P41" s="3478"/>
      <c r="Q41" s="1616" t="str">
        <f t="shared" si="14"/>
        <v>宗地开发程度</v>
      </c>
      <c r="R41" s="1681" t="s">
        <v>25</v>
      </c>
      <c r="S41" s="1682">
        <f t="shared" si="10"/>
        <v>100</v>
      </c>
      <c r="T41" s="1681" t="s">
        <v>25</v>
      </c>
      <c r="U41" s="1682">
        <f t="shared" si="11"/>
        <v>100</v>
      </c>
      <c r="V41" s="1681" t="s">
        <v>25</v>
      </c>
      <c r="W41" s="1682">
        <f t="shared" si="12"/>
        <v>100</v>
      </c>
      <c r="X41" s="1683"/>
      <c r="Y41" s="3478"/>
      <c r="Z41" s="1693" t="str">
        <f t="shared" si="13"/>
        <v>宗地开发程度</v>
      </c>
      <c r="AA41" s="1684">
        <f t="shared" si="3"/>
        <v>1</v>
      </c>
      <c r="AB41" s="1684">
        <f t="shared" si="4"/>
        <v>1</v>
      </c>
      <c r="AC41" s="1684">
        <f t="shared" si="5"/>
        <v>1</v>
      </c>
    </row>
    <row r="42" spans="1:29" ht="15">
      <c r="A42" s="1772"/>
      <c r="B42" s="1695" t="s">
        <v>2461</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4"/>
      <c r="M42" s="3000"/>
      <c r="N42" s="3000"/>
      <c r="O42" s="3048"/>
      <c r="P42" s="3478" t="s">
        <v>2284</v>
      </c>
      <c r="Q42" s="1616" t="str">
        <f t="shared" si="14"/>
        <v>工程地质条件</v>
      </c>
      <c r="R42" s="1725" t="s">
        <v>25</v>
      </c>
      <c r="S42" s="1726">
        <f t="shared" si="10"/>
        <v>100</v>
      </c>
      <c r="T42" s="1725" t="s">
        <v>25</v>
      </c>
      <c r="U42" s="1726">
        <f t="shared" si="11"/>
        <v>100</v>
      </c>
      <c r="V42" s="1725" t="s">
        <v>25</v>
      </c>
      <c r="W42" s="1726">
        <f t="shared" si="12"/>
        <v>100</v>
      </c>
      <c r="X42" s="1666"/>
      <c r="Y42" s="3478" t="s">
        <v>2284</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4"/>
      <c r="M43" s="3000"/>
      <c r="N43" s="3000"/>
      <c r="O43" s="3048"/>
      <c r="P43" s="3478"/>
      <c r="Q43" s="1616">
        <f t="shared" si="14"/>
        <v>111</v>
      </c>
      <c r="R43" s="1725" t="s">
        <v>25</v>
      </c>
      <c r="S43" s="1726">
        <f t="shared" si="10"/>
        <v>100</v>
      </c>
      <c r="T43" s="1725" t="s">
        <v>25</v>
      </c>
      <c r="U43" s="1726">
        <f t="shared" si="11"/>
        <v>100</v>
      </c>
      <c r="V43" s="1725" t="s">
        <v>25</v>
      </c>
      <c r="W43" s="1726">
        <f t="shared" si="12"/>
        <v>100</v>
      </c>
      <c r="X43" s="1666"/>
      <c r="Y43" s="3478"/>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4"/>
      <c r="M44" s="3000"/>
      <c r="N44" s="3000"/>
      <c r="O44" s="3048"/>
      <c r="P44" s="3478"/>
      <c r="Q44" s="1616">
        <f t="shared" si="14"/>
        <v>111</v>
      </c>
      <c r="R44" s="1725" t="s">
        <v>25</v>
      </c>
      <c r="S44" s="1726">
        <f t="shared" si="10"/>
        <v>100</v>
      </c>
      <c r="T44" s="1725" t="s">
        <v>25</v>
      </c>
      <c r="U44" s="1726">
        <f t="shared" si="11"/>
        <v>100</v>
      </c>
      <c r="V44" s="1725" t="s">
        <v>25</v>
      </c>
      <c r="W44" s="1726">
        <f t="shared" si="12"/>
        <v>100</v>
      </c>
      <c r="X44" s="1666"/>
      <c r="Y44" s="3478"/>
      <c r="Z44" s="1727">
        <f t="shared" si="13"/>
        <v>111</v>
      </c>
      <c r="AA44" s="1728">
        <f t="shared" si="3"/>
        <v>1</v>
      </c>
      <c r="AB44" s="1728">
        <f t="shared" si="4"/>
        <v>1</v>
      </c>
      <c r="AC44" s="1728">
        <f t="shared" si="5"/>
        <v>1</v>
      </c>
    </row>
    <row r="45" spans="1:29" s="1771" customFormat="1" ht="15.6" thickBot="1">
      <c r="A45" s="1764"/>
      <c r="B45" s="2003">
        <v>111</v>
      </c>
      <c r="C45" s="2004"/>
      <c r="D45" s="3148">
        <v>100</v>
      </c>
      <c r="E45" s="1971"/>
      <c r="F45" s="1715">
        <f>SUMIF(131:131,E45,132:132)-SUMIF(131:131,C45,132:132)+100</f>
        <v>100</v>
      </c>
      <c r="G45" s="1971"/>
      <c r="H45" s="1715">
        <f>SUMIF(131:131,G45,132:132)-SUMIF(131:131,C45,132:132)+100</f>
        <v>100</v>
      </c>
      <c r="I45" s="1971"/>
      <c r="J45" s="1715">
        <f>SUMIF(131:131,I45,132:132)-SUMIF(131:131,C45,132:132)+100</f>
        <v>100</v>
      </c>
      <c r="K45" s="2005"/>
      <c r="L45" s="3003"/>
      <c r="M45" s="2059"/>
      <c r="N45" s="2059"/>
      <c r="O45" s="3049"/>
      <c r="P45" s="3478"/>
      <c r="Q45" s="1616">
        <f t="shared" si="14"/>
        <v>111</v>
      </c>
      <c r="R45" s="1767" t="s">
        <v>25</v>
      </c>
      <c r="S45" s="1768">
        <f t="shared" si="10"/>
        <v>100</v>
      </c>
      <c r="T45" s="1767" t="s">
        <v>25</v>
      </c>
      <c r="U45" s="1768">
        <f t="shared" si="11"/>
        <v>100</v>
      </c>
      <c r="V45" s="1767" t="s">
        <v>25</v>
      </c>
      <c r="W45" s="1768">
        <f t="shared" si="12"/>
        <v>100</v>
      </c>
      <c r="X45" s="1769"/>
      <c r="Y45" s="3478"/>
      <c r="Z45" s="1770">
        <f t="shared" si="13"/>
        <v>111</v>
      </c>
      <c r="AA45" s="1728">
        <f t="shared" si="3"/>
        <v>1</v>
      </c>
      <c r="AB45" s="1728">
        <f t="shared" si="4"/>
        <v>1</v>
      </c>
      <c r="AC45" s="1728">
        <f t="shared" si="5"/>
        <v>1</v>
      </c>
    </row>
    <row r="46" spans="1:29" ht="14.4">
      <c r="A46" s="1781" t="s">
        <v>2425</v>
      </c>
      <c r="B46" s="2006" t="s">
        <v>2462</v>
      </c>
      <c r="C46" s="2007" t="s">
        <v>1</v>
      </c>
      <c r="D46" s="2008"/>
      <c r="E46" s="2009"/>
      <c r="F46" s="2010"/>
      <c r="G46" s="2011"/>
      <c r="H46" s="2012"/>
      <c r="I46" s="2009"/>
      <c r="J46" s="2012"/>
      <c r="K46" s="2013"/>
      <c r="L46" s="3005"/>
      <c r="N46" s="3000"/>
      <c r="P46" s="3470" t="str">
        <f>A46</f>
        <v>成交单价</v>
      </c>
      <c r="Q46" s="3470"/>
      <c r="R46" s="3508">
        <f>E46</f>
        <v>0</v>
      </c>
      <c r="S46" s="3508"/>
      <c r="T46" s="3508">
        <f>G46</f>
        <v>0</v>
      </c>
      <c r="U46" s="3508"/>
      <c r="V46" s="3508">
        <f>I46</f>
        <v>0</v>
      </c>
      <c r="W46" s="3508"/>
      <c r="X46" s="1791"/>
      <c r="Y46" s="1792"/>
      <c r="Z46" s="1791"/>
      <c r="AA46" s="1791"/>
      <c r="AB46" s="1791"/>
      <c r="AC46" s="1791"/>
    </row>
    <row r="47" spans="1:29" ht="15" thickBot="1">
      <c r="A47" s="1793" t="s">
        <v>2378</v>
      </c>
      <c r="B47" s="2014"/>
      <c r="C47" s="2015" t="e">
        <f>R48</f>
        <v>#DIV/0!</v>
      </c>
      <c r="D47" s="1796" t="s">
        <v>2753</v>
      </c>
      <c r="E47" s="2015" t="e">
        <f>R47</f>
        <v>#DIV/0!</v>
      </c>
      <c r="F47" s="1798"/>
      <c r="G47" s="2016" t="e">
        <f>T47</f>
        <v>#DIV/0!</v>
      </c>
      <c r="H47" s="1798"/>
      <c r="I47" s="2015" t="e">
        <f>V47</f>
        <v>#DIV/0!</v>
      </c>
      <c r="J47" s="1798"/>
      <c r="K47" s="2513">
        <f>F47+H47+J47</f>
        <v>0</v>
      </c>
      <c r="L47" s="3005"/>
      <c r="P47" s="3470" t="str">
        <f>A47</f>
        <v>比较价值（元/平方米）</v>
      </c>
      <c r="Q47" s="3470"/>
      <c r="R47" s="3562" t="e">
        <f>ROUND(PRODUCT(R46,AA7:AA45),0)</f>
        <v>#DIV/0!</v>
      </c>
      <c r="S47" s="3562"/>
      <c r="T47" s="3562" t="e">
        <f>ROUND(PRODUCT(T46,AB7:AB45),0)</f>
        <v>#DIV/0!</v>
      </c>
      <c r="U47" s="3562"/>
      <c r="V47" s="3562" t="e">
        <f>ROUND(PRODUCT(V46,AC7:AC45),0)</f>
        <v>#DIV/0!</v>
      </c>
      <c r="W47" s="3562"/>
      <c r="X47" s="1791"/>
      <c r="Y47" s="1791"/>
      <c r="Z47" s="1791"/>
      <c r="AA47" s="1791"/>
      <c r="AB47" s="1791"/>
      <c r="AC47" s="1791"/>
    </row>
    <row r="48" spans="1:29" ht="15" thickBot="1">
      <c r="A48" s="1799" t="s">
        <v>2401</v>
      </c>
      <c r="B48" s="1800"/>
      <c r="C48" s="2017" t="e">
        <f>R48</f>
        <v>#DIV/0!</v>
      </c>
      <c r="D48" s="2017"/>
      <c r="E48" s="2017"/>
      <c r="F48" s="2017"/>
      <c r="G48" s="2017"/>
      <c r="H48" s="2017"/>
      <c r="I48" s="2017"/>
      <c r="J48" s="2017"/>
      <c r="K48" s="2018"/>
      <c r="L48" s="3005"/>
      <c r="P48" s="3467" t="str">
        <f>A48</f>
        <v>估价对象XX用房的比较价值（楼面单价，元/平方米）</v>
      </c>
      <c r="Q48" s="3468"/>
      <c r="R48" s="3563" t="e">
        <f>ROUND(IF(D47="简单平均",AVERAGE(R47:W47),R47*F47+T47*H47+V47*J47),0)</f>
        <v>#DIV/0!</v>
      </c>
      <c r="S48" s="3563"/>
      <c r="T48" s="3563"/>
      <c r="U48" s="3563"/>
      <c r="V48" s="3563"/>
      <c r="W48" s="3563"/>
      <c r="X48" s="1791"/>
      <c r="Y48" s="1791"/>
      <c r="Z48" s="1791"/>
      <c r="AA48" s="1791"/>
      <c r="AB48" s="1791"/>
      <c r="AC48" s="1791"/>
    </row>
    <row r="49" spans="1:14">
      <c r="G49" s="3009"/>
    </row>
    <row r="51" spans="1:14" ht="13.5" customHeight="1">
      <c r="C51" s="383" t="s">
        <v>2380</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2381</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2382</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12"/>
      <c r="L53" s="3006"/>
    </row>
    <row r="54" spans="1:14" s="1813" customFormat="1" ht="14.4" thickBot="1">
      <c r="B54" s="3010"/>
      <c r="C54" s="3011"/>
      <c r="K54" s="3012"/>
      <c r="L54" s="3006"/>
    </row>
    <row r="55" spans="1:14" ht="28.8">
      <c r="A55" s="564" t="s">
        <v>2463</v>
      </c>
      <c r="B55" s="2019" t="s">
        <v>2464</v>
      </c>
      <c r="C55" s="2020" t="s">
        <v>2465</v>
      </c>
      <c r="D55" s="2021" t="s">
        <v>2466</v>
      </c>
      <c r="E55" s="2022" t="s">
        <v>2467</v>
      </c>
      <c r="F55" s="2023" t="s">
        <v>2468</v>
      </c>
      <c r="G55" s="1918" t="s">
        <v>2469</v>
      </c>
      <c r="H55" s="1918" t="str">
        <f>项目基本情况!G8</f>
        <v>XX</v>
      </c>
      <c r="I55" s="1594" t="s">
        <v>2470</v>
      </c>
      <c r="J55" s="2024"/>
      <c r="K55" s="1805"/>
    </row>
    <row r="56" spans="1:14" s="2031" customFormat="1">
      <c r="A56" s="2025" t="s">
        <v>2471</v>
      </c>
      <c r="B56" s="2026" t="e">
        <f>C48</f>
        <v>#DIV/0!</v>
      </c>
      <c r="C56" s="280">
        <v>1</v>
      </c>
      <c r="D56" s="2027">
        <v>1</v>
      </c>
      <c r="E56" s="2028">
        <v>120</v>
      </c>
      <c r="F56" s="2029" t="e">
        <f t="shared" ref="F56:F65" si="15">ROUND(B56*E56,0)</f>
        <v>#DIV/0!</v>
      </c>
      <c r="G56" s="2030">
        <v>1</v>
      </c>
      <c r="H56" s="2030">
        <v>1</v>
      </c>
      <c r="I56" s="1813"/>
      <c r="J56" s="1813"/>
      <c r="K56" s="3012"/>
      <c r="L56" s="3006"/>
      <c r="M56" s="1813"/>
      <c r="N56" s="1813"/>
    </row>
    <row r="57" spans="1:14" s="2031" customFormat="1">
      <c r="A57" s="2032" t="s">
        <v>2472</v>
      </c>
      <c r="B57" s="2033" t="e">
        <f>ROUND($C$48*C57*D57,0)</f>
        <v>#DIV/0!</v>
      </c>
      <c r="C57" s="50">
        <f>IF($C$55="北京市系数",G57,H57)</f>
        <v>0</v>
      </c>
      <c r="D57" s="2034">
        <v>0.25</v>
      </c>
      <c r="E57" s="2028">
        <v>0</v>
      </c>
      <c r="F57" s="2029" t="e">
        <f t="shared" si="15"/>
        <v>#DIV/0!</v>
      </c>
      <c r="G57" s="2030">
        <f>SUMIF(修正!$A$45:$A$56,项目基本情况!$F$9,修正!B45:B56)</f>
        <v>0</v>
      </c>
      <c r="H57" s="2035"/>
      <c r="I57" s="1667"/>
      <c r="J57" s="1909"/>
      <c r="K57" s="1910"/>
      <c r="L57" s="1910"/>
      <c r="M57" s="1667"/>
      <c r="N57" s="1667"/>
    </row>
    <row r="58" spans="1:14" s="2031" customFormat="1">
      <c r="A58" s="2032" t="s">
        <v>2473</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12"/>
      <c r="L58" s="3006"/>
      <c r="M58" s="1813"/>
      <c r="N58" s="1813"/>
    </row>
    <row r="59" spans="1:14" s="2031" customFormat="1">
      <c r="A59" s="2032" t="s">
        <v>2474</v>
      </c>
      <c r="B59" s="2033" t="e">
        <f t="shared" si="16"/>
        <v>#DIV/0!</v>
      </c>
      <c r="C59" s="50">
        <f t="shared" si="17"/>
        <v>0</v>
      </c>
      <c r="D59" s="2034">
        <v>0.25</v>
      </c>
      <c r="E59" s="2028">
        <v>0</v>
      </c>
      <c r="F59" s="2029" t="e">
        <f t="shared" si="15"/>
        <v>#DIV/0!</v>
      </c>
      <c r="G59" s="2030">
        <f>SUMIF(修正!$A$45:$A$56,项目基本情况!$F$9,修正!D45:D56)</f>
        <v>0</v>
      </c>
      <c r="H59" s="2035"/>
      <c r="I59" s="1667"/>
      <c r="J59" s="1909"/>
      <c r="K59" s="1910"/>
      <c r="L59" s="1910"/>
      <c r="M59" s="1667"/>
      <c r="N59" s="1667"/>
    </row>
    <row r="60" spans="1:14" s="2031" customFormat="1">
      <c r="A60" s="2032" t="s">
        <v>2475</v>
      </c>
      <c r="B60" s="2033" t="e">
        <f t="shared" si="16"/>
        <v>#DIV/0!</v>
      </c>
      <c r="C60" s="50">
        <f t="shared" si="17"/>
        <v>0</v>
      </c>
      <c r="D60" s="2034">
        <v>0.25</v>
      </c>
      <c r="E60" s="2028">
        <v>0</v>
      </c>
      <c r="F60" s="2029" t="e">
        <f t="shared" si="15"/>
        <v>#DIV/0!</v>
      </c>
      <c r="G60" s="2030">
        <f>SUMIF(修正!$A$45:$A$56,项目基本情况!$F$9,修正!E45:E56)</f>
        <v>0</v>
      </c>
      <c r="H60" s="2035"/>
      <c r="I60" s="1813"/>
      <c r="J60" s="1813"/>
      <c r="K60" s="3012"/>
      <c r="L60" s="3006"/>
      <c r="M60" s="1813"/>
      <c r="N60" s="1813"/>
    </row>
    <row r="61" spans="1:14" s="2031" customFormat="1">
      <c r="A61" s="2032" t="s">
        <v>2476</v>
      </c>
      <c r="B61" s="2033" t="e">
        <f t="shared" si="16"/>
        <v>#DIV/0!</v>
      </c>
      <c r="C61" s="50">
        <f t="shared" si="17"/>
        <v>0</v>
      </c>
      <c r="D61" s="2034">
        <v>0.25</v>
      </c>
      <c r="E61" s="2028">
        <v>0</v>
      </c>
      <c r="F61" s="2029" t="e">
        <f t="shared" si="15"/>
        <v>#DIV/0!</v>
      </c>
      <c r="G61" s="2030">
        <f>SUMIF(修正!A45:A56,项目基本情况!F9,修正!F45:F56)</f>
        <v>0</v>
      </c>
      <c r="H61" s="2035"/>
      <c r="I61" s="1667"/>
      <c r="J61" s="1909"/>
      <c r="K61" s="1910"/>
      <c r="L61" s="1910"/>
      <c r="M61" s="1667"/>
      <c r="N61" s="1667"/>
    </row>
    <row r="62" spans="1:14" s="2031" customFormat="1">
      <c r="A62" s="2032" t="s">
        <v>2477</v>
      </c>
      <c r="B62" s="2033" t="e">
        <f t="shared" si="16"/>
        <v>#DIV/0!</v>
      </c>
      <c r="C62" s="50">
        <f t="shared" si="17"/>
        <v>0</v>
      </c>
      <c r="D62" s="2034">
        <v>0.25</v>
      </c>
      <c r="E62" s="2028">
        <v>0</v>
      </c>
      <c r="F62" s="2029" t="e">
        <f t="shared" si="15"/>
        <v>#DIV/0!</v>
      </c>
      <c r="G62" s="2030">
        <f>SUMIF(修正!A45:A56,项目基本情况!F9,修正!G45:G56)</f>
        <v>0</v>
      </c>
      <c r="H62" s="2035"/>
      <c r="I62" s="1813"/>
      <c r="J62" s="1813"/>
      <c r="K62" s="3012"/>
      <c r="L62" s="3006"/>
      <c r="M62" s="1813"/>
      <c r="N62" s="1813"/>
    </row>
    <row r="63" spans="1:14" s="2031" customFormat="1">
      <c r="A63" s="2032" t="s">
        <v>2478</v>
      </c>
      <c r="B63" s="2033" t="e">
        <f t="shared" si="16"/>
        <v>#DIV/0!</v>
      </c>
      <c r="C63" s="50">
        <f>IF($C$55="北京市系数",G63,H63)</f>
        <v>0</v>
      </c>
      <c r="D63" s="2034">
        <v>0.25</v>
      </c>
      <c r="E63" s="2028">
        <v>0</v>
      </c>
      <c r="F63" s="2029" t="e">
        <f t="shared" si="15"/>
        <v>#DIV/0!</v>
      </c>
      <c r="G63" s="2030">
        <f>SUMIF(修正!A45:A56,项目基本情况!F9,修正!H45:H56)</f>
        <v>0</v>
      </c>
      <c r="H63" s="2035"/>
      <c r="I63" s="1667"/>
      <c r="J63" s="1909"/>
      <c r="K63" s="1910"/>
      <c r="L63" s="1910"/>
      <c r="M63" s="1667"/>
      <c r="N63" s="1667"/>
    </row>
    <row r="64" spans="1:14" s="2031" customFormat="1">
      <c r="A64" s="2032" t="s">
        <v>2479</v>
      </c>
      <c r="B64" s="2033" t="e">
        <f t="shared" si="16"/>
        <v>#DIV/0!</v>
      </c>
      <c r="C64" s="50">
        <f t="shared" si="17"/>
        <v>0</v>
      </c>
      <c r="D64" s="2034">
        <v>0.25</v>
      </c>
      <c r="E64" s="2028">
        <v>0</v>
      </c>
      <c r="F64" s="2029" t="e">
        <f t="shared" si="15"/>
        <v>#DIV/0!</v>
      </c>
      <c r="G64" s="2030">
        <f>G63</f>
        <v>0</v>
      </c>
      <c r="H64" s="2035"/>
      <c r="I64" s="1813"/>
      <c r="J64" s="1813"/>
      <c r="K64" s="3012"/>
      <c r="L64" s="3006"/>
      <c r="M64" s="1813"/>
      <c r="N64" s="1813"/>
    </row>
    <row r="65" spans="1:17" s="2031" customFormat="1">
      <c r="A65" s="2032" t="s">
        <v>2480</v>
      </c>
      <c r="B65" s="2033" t="e">
        <f t="shared" si="16"/>
        <v>#DIV/0!</v>
      </c>
      <c r="C65" s="50">
        <f t="shared" si="17"/>
        <v>0</v>
      </c>
      <c r="D65" s="2034">
        <v>0.25</v>
      </c>
      <c r="E65" s="2028">
        <v>0</v>
      </c>
      <c r="F65" s="2029" t="e">
        <f t="shared" si="15"/>
        <v>#DIV/0!</v>
      </c>
      <c r="G65" s="2030">
        <f>G63</f>
        <v>0</v>
      </c>
      <c r="H65" s="2035"/>
      <c r="I65" s="1667"/>
      <c r="J65" s="1909"/>
      <c r="K65" s="1910"/>
      <c r="L65" s="1910"/>
      <c r="M65" s="1667"/>
      <c r="N65" s="1667"/>
    </row>
    <row r="66" spans="1:17" s="2031" customFormat="1" thickBot="1">
      <c r="A66" s="2036" t="s">
        <v>2481</v>
      </c>
      <c r="B66" s="2037" t="s">
        <v>39</v>
      </c>
      <c r="C66" s="2037" t="s">
        <v>40</v>
      </c>
      <c r="D66" s="2037" t="s">
        <v>36</v>
      </c>
      <c r="E66" s="2037">
        <f>SUM(E56:E65)</f>
        <v>120</v>
      </c>
      <c r="F66" s="2038" t="e">
        <f>SUM(F56:F65)</f>
        <v>#DIV/0!</v>
      </c>
      <c r="G66" s="2039"/>
      <c r="H66" s="2039"/>
      <c r="I66" s="3050"/>
      <c r="J66" s="3050"/>
      <c r="K66" s="3050"/>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2024-9-1</v>
      </c>
      <c r="D68" s="2040">
        <f>EDATE(C68,-3)</f>
        <v>45444</v>
      </c>
      <c r="E68" s="2040">
        <f t="shared" ref="E68:O68" si="18">EDATE(D68,-3)</f>
        <v>45352</v>
      </c>
      <c r="F68" s="2040">
        <f t="shared" si="18"/>
        <v>45261</v>
      </c>
      <c r="G68" s="2040">
        <f t="shared" si="18"/>
        <v>45170</v>
      </c>
      <c r="H68" s="2040">
        <f t="shared" si="18"/>
        <v>45078</v>
      </c>
      <c r="I68" s="2040">
        <f t="shared" si="18"/>
        <v>44986</v>
      </c>
      <c r="J68" s="2040">
        <f t="shared" si="18"/>
        <v>44896</v>
      </c>
      <c r="K68" s="2040">
        <f t="shared" si="18"/>
        <v>44805</v>
      </c>
      <c r="L68" s="2040">
        <f t="shared" si="18"/>
        <v>44713</v>
      </c>
      <c r="M68" s="2040">
        <f t="shared" si="18"/>
        <v>44621</v>
      </c>
      <c r="N68" s="2040">
        <f t="shared" si="18"/>
        <v>44531</v>
      </c>
      <c r="O68" s="2040">
        <f t="shared" si="18"/>
        <v>44440</v>
      </c>
    </row>
    <row r="69" spans="1:17" ht="22.2" thickBot="1">
      <c r="A69" s="1816" t="s">
        <v>2383</v>
      </c>
      <c r="B69" s="1791"/>
      <c r="C69" s="1817"/>
      <c r="D69" s="1817"/>
      <c r="E69" s="1817"/>
      <c r="F69" s="1817"/>
      <c r="G69" s="1817"/>
      <c r="H69" s="1817"/>
      <c r="I69" s="2042"/>
      <c r="J69" s="2042"/>
      <c r="K69" s="2043"/>
      <c r="L69" s="2044"/>
      <c r="M69" s="2042"/>
      <c r="N69" s="2042"/>
      <c r="O69" s="2042"/>
      <c r="P69" s="2045"/>
      <c r="Q69" s="1821"/>
    </row>
    <row r="70" spans="1:17" s="2050" customFormat="1" ht="14.4">
      <c r="A70" s="2046" t="s">
        <v>2482</v>
      </c>
      <c r="B70" s="2047"/>
      <c r="C70" s="2048" t="str">
        <f>YEAR(C68)&amp;"-"&amp;ROUNDUP(MONTH(C68)/3,0)</f>
        <v>2024-3</v>
      </c>
      <c r="D70" s="2048" t="str">
        <f>YEAR(D68)&amp;"-"&amp;ROUNDUP(MONTH(D68)/3,0)</f>
        <v>2024-2</v>
      </c>
      <c r="E70" s="2048" t="str">
        <f t="shared" ref="E70:O70" si="19">YEAR(E68)&amp;"-"&amp;ROUNDUP(MONTH(E68)/3,0)</f>
        <v>2024-1</v>
      </c>
      <c r="F70" s="2048" t="str">
        <f t="shared" si="19"/>
        <v>2023-4</v>
      </c>
      <c r="G70" s="2048" t="str">
        <f t="shared" si="19"/>
        <v>2023-3</v>
      </c>
      <c r="H70" s="2048" t="str">
        <f t="shared" si="19"/>
        <v>2023-2</v>
      </c>
      <c r="I70" s="2048" t="str">
        <f t="shared" si="19"/>
        <v>2023-1</v>
      </c>
      <c r="J70" s="2048" t="str">
        <f t="shared" si="19"/>
        <v>2022-4</v>
      </c>
      <c r="K70" s="2048" t="str">
        <f t="shared" si="19"/>
        <v>2022-3</v>
      </c>
      <c r="L70" s="2048" t="str">
        <f t="shared" si="19"/>
        <v>2022-2</v>
      </c>
      <c r="M70" s="2048" t="str">
        <f t="shared" si="19"/>
        <v>2022-1</v>
      </c>
      <c r="N70" s="2048" t="str">
        <f t="shared" si="19"/>
        <v>2021-4</v>
      </c>
      <c r="O70" s="2048" t="str">
        <f t="shared" si="19"/>
        <v>2021-3</v>
      </c>
      <c r="P70" s="2049"/>
    </row>
    <row r="71" spans="1:17" s="1685" customFormat="1" ht="29.25" customHeight="1">
      <c r="A71" s="2051" t="s">
        <v>2483</v>
      </c>
      <c r="B71" s="2052" t="str">
        <f>"北京市平均增长率"&amp;TEXT(SUMIF(基准地价修正!N21:N25,A71,基准地价修正!P21:P25),"0.00%")</f>
        <v>北京市平均增长率0.00%</v>
      </c>
      <c r="C71" s="1905">
        <v>100</v>
      </c>
      <c r="D71" s="1901"/>
      <c r="E71" s="1901"/>
      <c r="F71" s="1901"/>
      <c r="G71" s="1901"/>
      <c r="H71" s="1901"/>
      <c r="I71" s="1901"/>
      <c r="J71" s="1901"/>
      <c r="K71" s="1901"/>
      <c r="L71" s="1901"/>
      <c r="M71" s="2053"/>
      <c r="N71" s="1901"/>
      <c r="O71" s="2054"/>
      <c r="P71" s="1821"/>
    </row>
    <row r="72" spans="1:17" s="1685" customFormat="1" ht="15" thickBot="1">
      <c r="A72" s="1834" t="s">
        <v>2303</v>
      </c>
      <c r="B72" s="1835"/>
      <c r="C72" s="1836"/>
      <c r="D72" s="1837"/>
      <c r="E72" s="1837"/>
      <c r="F72" s="1837"/>
      <c r="G72" s="1837"/>
      <c r="H72" s="1837"/>
      <c r="I72" s="1837"/>
      <c r="J72" s="1837"/>
      <c r="K72" s="1837"/>
      <c r="L72" s="1837"/>
      <c r="M72" s="1838"/>
      <c r="N72" s="1837"/>
      <c r="O72" s="2055"/>
      <c r="P72" s="1821"/>
      <c r="Q72" s="1821"/>
    </row>
    <row r="73" spans="1:17" s="1685" customFormat="1" ht="14.4">
      <c r="A73" s="1839" t="s">
        <v>2268</v>
      </c>
      <c r="B73" s="1829"/>
      <c r="C73" s="1840" t="s">
        <v>2269</v>
      </c>
      <c r="D73" s="409"/>
      <c r="E73" s="409"/>
      <c r="F73" s="409"/>
      <c r="G73" s="409"/>
      <c r="H73" s="409"/>
      <c r="I73" s="409"/>
      <c r="J73" s="409"/>
      <c r="K73" s="409"/>
      <c r="L73" s="409"/>
      <c r="M73" s="1841"/>
      <c r="N73" s="3017"/>
      <c r="O73" s="3017"/>
      <c r="P73" s="2056"/>
      <c r="Q73" s="1821"/>
    </row>
    <row r="74" spans="1:17" s="1685" customFormat="1" ht="14.4" thickBot="1">
      <c r="A74" s="1839"/>
      <c r="B74" s="1829"/>
      <c r="C74" s="1830">
        <v>100</v>
      </c>
      <c r="D74" s="1831"/>
      <c r="E74" s="1831"/>
      <c r="F74" s="1831"/>
      <c r="G74" s="1831"/>
      <c r="H74" s="1831"/>
      <c r="I74" s="1831"/>
      <c r="J74" s="1831"/>
      <c r="K74" s="1831"/>
      <c r="L74" s="1831"/>
      <c r="M74" s="1845"/>
      <c r="N74" s="3017"/>
      <c r="O74" s="3017"/>
      <c r="P74" s="1821"/>
      <c r="Q74" s="1821"/>
    </row>
    <row r="75" spans="1:17" ht="14.4">
      <c r="A75" s="1846" t="s">
        <v>2306</v>
      </c>
      <c r="B75" s="1847" t="s">
        <v>2272</v>
      </c>
      <c r="C75" s="1849"/>
      <c r="D75" s="1849"/>
      <c r="E75" s="1849"/>
      <c r="F75" s="1849"/>
      <c r="G75" s="1849"/>
      <c r="H75" s="1849"/>
      <c r="I75" s="1849"/>
      <c r="J75" s="1849"/>
      <c r="K75" s="417"/>
      <c r="L75" s="417"/>
      <c r="M75" s="1850"/>
      <c r="N75" s="3018"/>
      <c r="O75" s="3018"/>
      <c r="P75" s="2057"/>
      <c r="Q75" s="1821"/>
    </row>
    <row r="76" spans="1:17" ht="14.4" thickBot="1">
      <c r="A76" s="1853"/>
      <c r="B76" s="1854"/>
      <c r="C76" s="1855"/>
      <c r="D76" s="1855"/>
      <c r="E76" s="1855"/>
      <c r="F76" s="1855"/>
      <c r="G76" s="1855"/>
      <c r="H76" s="1855"/>
      <c r="I76" s="1855"/>
      <c r="J76" s="1855"/>
      <c r="K76" s="1855"/>
      <c r="L76" s="1855"/>
      <c r="M76" s="1856"/>
      <c r="N76" s="3019"/>
      <c r="O76" s="3019"/>
      <c r="P76" s="2057"/>
      <c r="Q76" s="1821"/>
    </row>
    <row r="77" spans="1:17" ht="29.4" thickTop="1">
      <c r="A77" s="1853"/>
      <c r="B77" s="1858" t="s">
        <v>2275</v>
      </c>
      <c r="C77" s="1859"/>
      <c r="D77" s="1859"/>
      <c r="E77" s="1859"/>
      <c r="F77" s="1859"/>
      <c r="G77" s="1859"/>
      <c r="H77" s="1859"/>
      <c r="I77" s="1859"/>
      <c r="J77" s="1859"/>
      <c r="K77" s="428"/>
      <c r="L77" s="428"/>
      <c r="M77" s="1860"/>
      <c r="N77" s="3018"/>
      <c r="O77" s="3018"/>
      <c r="P77" s="2057"/>
      <c r="Q77" s="1821"/>
    </row>
    <row r="78" spans="1:17" ht="14.4" thickBot="1">
      <c r="A78" s="1853"/>
      <c r="B78" s="1861"/>
      <c r="C78" s="1862"/>
      <c r="D78" s="1862"/>
      <c r="E78" s="1862"/>
      <c r="F78" s="1862"/>
      <c r="G78" s="1862"/>
      <c r="H78" s="1862"/>
      <c r="I78" s="1862"/>
      <c r="J78" s="1862"/>
      <c r="K78" s="1862"/>
      <c r="L78" s="1862"/>
      <c r="M78" s="1863"/>
      <c r="N78" s="3019"/>
      <c r="O78" s="3019"/>
      <c r="P78" s="2057"/>
      <c r="Q78" s="1821"/>
    </row>
    <row r="79" spans="1:17" ht="15" thickTop="1">
      <c r="A79" s="1853"/>
      <c r="B79" s="1864" t="s">
        <v>2276</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9"/>
      <c r="O79" s="3019"/>
      <c r="P79" s="2057"/>
      <c r="Q79" s="1821"/>
    </row>
    <row r="80" spans="1:17">
      <c r="A80" s="1853"/>
      <c r="B80" s="1866"/>
      <c r="C80" s="1867"/>
      <c r="D80" s="1867"/>
      <c r="E80" s="1867"/>
      <c r="F80" s="1867"/>
      <c r="G80" s="1867"/>
      <c r="H80" s="1867"/>
      <c r="I80" s="1867"/>
      <c r="J80" s="1867"/>
      <c r="K80" s="438"/>
      <c r="L80" s="438"/>
      <c r="M80" s="1868"/>
      <c r="N80" s="3018"/>
      <c r="O80" s="3018"/>
      <c r="P80" s="2057"/>
      <c r="Q80" s="1821"/>
    </row>
    <row r="81" spans="1:17" ht="14.4"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9"/>
      <c r="O81" s="3019"/>
      <c r="P81" s="2057"/>
      <c r="Q81" s="1821"/>
    </row>
    <row r="82" spans="1:17" s="1771" customFormat="1" ht="14.4" thickTop="1">
      <c r="A82" s="1869"/>
      <c r="B82" s="1858" t="str">
        <f>B12</f>
        <v>配建</v>
      </c>
      <c r="C82" s="468"/>
      <c r="D82" s="468"/>
      <c r="E82" s="468"/>
      <c r="F82" s="468"/>
      <c r="G82" s="468"/>
      <c r="H82" s="443"/>
      <c r="I82" s="443"/>
      <c r="J82" s="443"/>
      <c r="K82" s="443"/>
      <c r="L82" s="443"/>
      <c r="M82" s="1870"/>
      <c r="N82" s="3020"/>
      <c r="O82" s="3020"/>
      <c r="P82" s="2058"/>
      <c r="Q82" s="1873"/>
    </row>
    <row r="83" spans="1:17" s="1771" customFormat="1" ht="14.4" thickBot="1">
      <c r="A83" s="1869"/>
      <c r="B83" s="1861"/>
      <c r="C83" s="1874"/>
      <c r="D83" s="1855"/>
      <c r="E83" s="1855"/>
      <c r="F83" s="1855"/>
      <c r="G83" s="1855"/>
      <c r="H83" s="1855"/>
      <c r="I83" s="1855"/>
      <c r="J83" s="1855"/>
      <c r="K83" s="1855"/>
      <c r="L83" s="1855"/>
      <c r="M83" s="1856"/>
      <c r="N83" s="3019"/>
      <c r="O83" s="3019"/>
      <c r="P83" s="2058"/>
      <c r="Q83" s="1873"/>
    </row>
    <row r="84" spans="1:17" s="1771" customFormat="1" ht="14.4" thickTop="1">
      <c r="A84" s="1869"/>
      <c r="B84" s="1858">
        <f>B13</f>
        <v>111</v>
      </c>
      <c r="C84" s="468"/>
      <c r="D84" s="468"/>
      <c r="E84" s="468"/>
      <c r="F84" s="468"/>
      <c r="G84" s="468"/>
      <c r="H84" s="443"/>
      <c r="I84" s="443"/>
      <c r="J84" s="443"/>
      <c r="K84" s="443"/>
      <c r="L84" s="443"/>
      <c r="M84" s="1870"/>
      <c r="N84" s="3020"/>
      <c r="O84" s="3020"/>
      <c r="P84" s="2059"/>
      <c r="Q84" s="1876"/>
    </row>
    <row r="85" spans="1:17" s="1771" customFormat="1" ht="14.4" thickBot="1">
      <c r="A85" s="1869"/>
      <c r="B85" s="1861"/>
      <c r="C85" s="1874"/>
      <c r="D85" s="1874"/>
      <c r="E85" s="1874"/>
      <c r="F85" s="1874"/>
      <c r="G85" s="1874"/>
      <c r="H85" s="1877"/>
      <c r="I85" s="1877"/>
      <c r="J85" s="1877"/>
      <c r="K85" s="1877"/>
      <c r="L85" s="1877"/>
      <c r="M85" s="1878"/>
      <c r="N85" s="3020"/>
      <c r="O85" s="3020"/>
      <c r="P85" s="2058"/>
      <c r="Q85" s="1873"/>
    </row>
    <row r="86" spans="1:17" s="1771" customFormat="1" ht="14.4" thickTop="1">
      <c r="A86" s="1869"/>
      <c r="B86" s="1864">
        <f>B14</f>
        <v>111</v>
      </c>
      <c r="C86" s="409"/>
      <c r="D86" s="409"/>
      <c r="E86" s="409"/>
      <c r="F86" s="409"/>
      <c r="G86" s="409"/>
      <c r="H86" s="453"/>
      <c r="I86" s="453"/>
      <c r="J86" s="453"/>
      <c r="K86" s="453"/>
      <c r="L86" s="453"/>
      <c r="M86" s="1879"/>
      <c r="N86" s="3020"/>
      <c r="O86" s="3020"/>
      <c r="P86" s="2058"/>
      <c r="Q86" s="1873"/>
    </row>
    <row r="87" spans="1:17" s="1771" customFormat="1" ht="14.4" thickBot="1">
      <c r="A87" s="1880"/>
      <c r="B87" s="1881"/>
      <c r="C87" s="1882"/>
      <c r="D87" s="1882"/>
      <c r="E87" s="1882"/>
      <c r="F87" s="1882"/>
      <c r="G87" s="1882"/>
      <c r="H87" s="1883"/>
      <c r="I87" s="1883"/>
      <c r="J87" s="1883"/>
      <c r="K87" s="1883"/>
      <c r="L87" s="1883"/>
      <c r="M87" s="1884"/>
      <c r="N87" s="3020"/>
      <c r="O87" s="3020"/>
      <c r="P87" s="2058"/>
      <c r="Q87" s="1873"/>
    </row>
    <row r="88" spans="1:17" ht="14.4">
      <c r="A88" s="1846" t="s">
        <v>2277</v>
      </c>
      <c r="B88" s="1847" t="s">
        <v>2314</v>
      </c>
      <c r="C88" s="1885" t="s">
        <v>2315</v>
      </c>
      <c r="D88" s="1885" t="s">
        <v>2316</v>
      </c>
      <c r="E88" s="1885" t="s">
        <v>2317</v>
      </c>
      <c r="F88" s="1885" t="s">
        <v>2318</v>
      </c>
      <c r="G88" s="1885" t="s">
        <v>2319</v>
      </c>
      <c r="H88" s="1848"/>
      <c r="I88" s="1848"/>
      <c r="J88" s="1848"/>
      <c r="K88" s="463"/>
      <c r="L88" s="463"/>
      <c r="M88" s="1886"/>
      <c r="N88" s="3018"/>
      <c r="O88" s="3018"/>
      <c r="P88" s="2057"/>
      <c r="Q88" s="1821"/>
    </row>
    <row r="89" spans="1:17" ht="14.4" thickBot="1">
      <c r="A89" s="1853"/>
      <c r="B89" s="1861"/>
      <c r="C89" s="1862">
        <v>100</v>
      </c>
      <c r="D89" s="1862">
        <f>C89-$K15</f>
        <v>100</v>
      </c>
      <c r="E89" s="1862">
        <f>D89-$K15</f>
        <v>100</v>
      </c>
      <c r="F89" s="1862">
        <f>E89-$K15</f>
        <v>100</v>
      </c>
      <c r="G89" s="1862">
        <f>F89-$K15</f>
        <v>100</v>
      </c>
      <c r="H89" s="1862"/>
      <c r="I89" s="1862"/>
      <c r="J89" s="1862"/>
      <c r="K89" s="1862"/>
      <c r="L89" s="1862"/>
      <c r="M89" s="1863"/>
      <c r="N89" s="3019"/>
      <c r="O89" s="3019"/>
      <c r="P89" s="2057"/>
      <c r="Q89" s="1821"/>
    </row>
    <row r="90" spans="1:17" ht="15" thickTop="1">
      <c r="A90" s="1853"/>
      <c r="B90" s="1858" t="s">
        <v>2484</v>
      </c>
      <c r="C90" s="579" t="s">
        <v>2315</v>
      </c>
      <c r="D90" s="579" t="s">
        <v>2316</v>
      </c>
      <c r="E90" s="579" t="s">
        <v>2317</v>
      </c>
      <c r="F90" s="579" t="s">
        <v>2318</v>
      </c>
      <c r="G90" s="579" t="s">
        <v>2319</v>
      </c>
      <c r="H90" s="1859"/>
      <c r="I90" s="1859"/>
      <c r="J90" s="1859"/>
      <c r="K90" s="428"/>
      <c r="L90" s="428"/>
      <c r="M90" s="1860"/>
      <c r="N90" s="3018"/>
      <c r="O90" s="3018"/>
      <c r="P90" s="2057"/>
      <c r="Q90" s="1821"/>
    </row>
    <row r="91" spans="1:17" ht="14.4" thickBot="1">
      <c r="A91" s="1853"/>
      <c r="B91" s="1861"/>
      <c r="C91" s="1862">
        <v>100</v>
      </c>
      <c r="D91" s="1862">
        <f>C91-$K17</f>
        <v>100</v>
      </c>
      <c r="E91" s="1862">
        <f>D91-$K17</f>
        <v>100</v>
      </c>
      <c r="F91" s="1862">
        <f>E91-$K17</f>
        <v>100</v>
      </c>
      <c r="G91" s="1862">
        <f>F91-$K17</f>
        <v>100</v>
      </c>
      <c r="H91" s="1862"/>
      <c r="I91" s="1862"/>
      <c r="J91" s="1862"/>
      <c r="K91" s="1862"/>
      <c r="L91" s="1862"/>
      <c r="M91" s="1863"/>
      <c r="N91" s="3019"/>
      <c r="O91" s="3019"/>
      <c r="P91" s="2057"/>
      <c r="Q91" s="1821"/>
    </row>
    <row r="92" spans="1:17" ht="15" thickTop="1">
      <c r="A92" s="1853"/>
      <c r="B92" s="1858" t="s">
        <v>2402</v>
      </c>
      <c r="C92" s="579" t="s">
        <v>2315</v>
      </c>
      <c r="D92" s="579" t="s">
        <v>2316</v>
      </c>
      <c r="E92" s="579" t="s">
        <v>2317</v>
      </c>
      <c r="F92" s="579" t="s">
        <v>2318</v>
      </c>
      <c r="G92" s="579" t="s">
        <v>2319</v>
      </c>
      <c r="H92" s="1859"/>
      <c r="I92" s="1859"/>
      <c r="J92" s="1859"/>
      <c r="K92" s="428"/>
      <c r="L92" s="428"/>
      <c r="M92" s="1860"/>
      <c r="N92" s="3018"/>
      <c r="O92" s="3018"/>
      <c r="P92" s="2057"/>
      <c r="Q92" s="1821"/>
    </row>
    <row r="93" spans="1:17" ht="14.4" thickBot="1">
      <c r="A93" s="1853"/>
      <c r="B93" s="1861"/>
      <c r="C93" s="1862">
        <v>100</v>
      </c>
      <c r="D93" s="1862">
        <f>C93-$K19</f>
        <v>100</v>
      </c>
      <c r="E93" s="1862">
        <f>D93-$K19</f>
        <v>100</v>
      </c>
      <c r="F93" s="1862">
        <f>E93-$K19</f>
        <v>100</v>
      </c>
      <c r="G93" s="1862">
        <f>F93-$K19</f>
        <v>100</v>
      </c>
      <c r="H93" s="1862"/>
      <c r="I93" s="1862"/>
      <c r="J93" s="1862"/>
      <c r="K93" s="1862"/>
      <c r="L93" s="1862"/>
      <c r="M93" s="1863"/>
      <c r="N93" s="3019"/>
      <c r="O93" s="3019"/>
      <c r="P93" s="2057"/>
      <c r="Q93" s="1821"/>
    </row>
    <row r="94" spans="1:17" ht="15" thickTop="1">
      <c r="A94" s="1853"/>
      <c r="B94" s="1858" t="s">
        <v>2320</v>
      </c>
      <c r="C94" s="579" t="s">
        <v>2315</v>
      </c>
      <c r="D94" s="579" t="s">
        <v>2316</v>
      </c>
      <c r="E94" s="579" t="s">
        <v>2317</v>
      </c>
      <c r="F94" s="579" t="s">
        <v>2318</v>
      </c>
      <c r="G94" s="579" t="s">
        <v>2319</v>
      </c>
      <c r="H94" s="1859"/>
      <c r="I94" s="1859"/>
      <c r="J94" s="1859"/>
      <c r="K94" s="428"/>
      <c r="L94" s="428"/>
      <c r="M94" s="1860"/>
      <c r="N94" s="3018"/>
      <c r="O94" s="3018"/>
      <c r="P94" s="2057"/>
      <c r="Q94" s="1821"/>
    </row>
    <row r="95" spans="1:17" ht="14.4" thickBot="1">
      <c r="A95" s="1853"/>
      <c r="B95" s="1861"/>
      <c r="C95" s="1862">
        <v>100</v>
      </c>
      <c r="D95" s="1862">
        <f>C95-$K21</f>
        <v>100</v>
      </c>
      <c r="E95" s="1862">
        <f>D95-$K21</f>
        <v>100</v>
      </c>
      <c r="F95" s="1862">
        <f>E95-$K21</f>
        <v>100</v>
      </c>
      <c r="G95" s="1862">
        <f>F95-$K21</f>
        <v>100</v>
      </c>
      <c r="H95" s="1862"/>
      <c r="I95" s="1862"/>
      <c r="J95" s="1862"/>
      <c r="K95" s="1862"/>
      <c r="L95" s="1862"/>
      <c r="M95" s="1863"/>
      <c r="N95" s="3019"/>
      <c r="O95" s="3019"/>
      <c r="P95" s="2057"/>
      <c r="Q95" s="1821"/>
    </row>
    <row r="96" spans="1:17" s="1685" customFormat="1" ht="29.4" thickTop="1">
      <c r="A96" s="1889"/>
      <c r="B96" s="1858" t="s">
        <v>2485</v>
      </c>
      <c r="C96" s="579" t="s">
        <v>2315</v>
      </c>
      <c r="D96" s="579" t="s">
        <v>2316</v>
      </c>
      <c r="E96" s="579" t="s">
        <v>2317</v>
      </c>
      <c r="F96" s="579" t="s">
        <v>2318</v>
      </c>
      <c r="G96" s="579" t="s">
        <v>2319</v>
      </c>
      <c r="H96" s="579"/>
      <c r="I96" s="579"/>
      <c r="J96" s="579"/>
      <c r="K96" s="579"/>
      <c r="L96" s="579"/>
      <c r="M96" s="2060"/>
      <c r="N96" s="3017"/>
      <c r="O96" s="3017"/>
      <c r="P96" s="2057"/>
      <c r="Q96" s="1821"/>
    </row>
    <row r="97" spans="1:17" s="1685" customFormat="1" ht="14.4" thickBot="1">
      <c r="A97" s="1889"/>
      <c r="B97" s="1861"/>
      <c r="C97" s="1891">
        <v>100</v>
      </c>
      <c r="D97" s="1862">
        <f>C97-$K23</f>
        <v>100</v>
      </c>
      <c r="E97" s="1862">
        <f>D97-$K23</f>
        <v>100</v>
      </c>
      <c r="F97" s="1862">
        <f>E97-$K23</f>
        <v>100</v>
      </c>
      <c r="G97" s="1862">
        <f>F97-$K23</f>
        <v>100</v>
      </c>
      <c r="H97" s="1862"/>
      <c r="I97" s="1862"/>
      <c r="J97" s="1862"/>
      <c r="K97" s="1862"/>
      <c r="L97" s="1862"/>
      <c r="M97" s="1863"/>
      <c r="N97" s="3019"/>
      <c r="O97" s="3019"/>
      <c r="P97" s="2057"/>
      <c r="Q97" s="1821"/>
    </row>
    <row r="98" spans="1:17" s="1685" customFormat="1" ht="29.4" thickTop="1">
      <c r="A98" s="1889"/>
      <c r="B98" s="1858" t="s">
        <v>2486</v>
      </c>
      <c r="C98" s="1885" t="s">
        <v>2315</v>
      </c>
      <c r="D98" s="1885" t="s">
        <v>2316</v>
      </c>
      <c r="E98" s="1885" t="s">
        <v>2317</v>
      </c>
      <c r="F98" s="1885" t="s">
        <v>2318</v>
      </c>
      <c r="G98" s="1885" t="s">
        <v>2319</v>
      </c>
      <c r="H98" s="579"/>
      <c r="I98" s="579"/>
      <c r="J98" s="579"/>
      <c r="K98" s="579"/>
      <c r="L98" s="579"/>
      <c r="M98" s="2060"/>
      <c r="N98" s="3017"/>
      <c r="O98" s="3017"/>
      <c r="P98" s="2057"/>
      <c r="Q98" s="1821"/>
    </row>
    <row r="99" spans="1:17" s="1685" customFormat="1" ht="14.4" thickBot="1">
      <c r="A99" s="1889"/>
      <c r="B99" s="1861"/>
      <c r="C99" s="1862">
        <v>100</v>
      </c>
      <c r="D99" s="1862">
        <f>C99-$K25</f>
        <v>100</v>
      </c>
      <c r="E99" s="1862">
        <f>D99-$K25</f>
        <v>100</v>
      </c>
      <c r="F99" s="1862">
        <f>E99-$K25</f>
        <v>100</v>
      </c>
      <c r="G99" s="1862">
        <f>F99-$K25</f>
        <v>100</v>
      </c>
      <c r="H99" s="1862"/>
      <c r="I99" s="1862"/>
      <c r="J99" s="1862"/>
      <c r="K99" s="1862"/>
      <c r="L99" s="1862"/>
      <c r="M99" s="1863"/>
      <c r="N99" s="3019"/>
      <c r="O99" s="3019"/>
      <c r="P99" s="2057"/>
      <c r="Q99" s="1821"/>
    </row>
    <row r="100" spans="1:17" s="1685" customFormat="1" ht="15" thickTop="1">
      <c r="A100" s="1889"/>
      <c r="B100" s="1864" t="s">
        <v>2363</v>
      </c>
      <c r="C100" s="1885" t="s">
        <v>2315</v>
      </c>
      <c r="D100" s="1885" t="s">
        <v>2316</v>
      </c>
      <c r="E100" s="1885" t="s">
        <v>2317</v>
      </c>
      <c r="F100" s="1885" t="s">
        <v>2318</v>
      </c>
      <c r="G100" s="1885" t="s">
        <v>2319</v>
      </c>
      <c r="H100" s="1859"/>
      <c r="I100" s="1859"/>
      <c r="J100" s="1859"/>
      <c r="K100" s="1859"/>
      <c r="L100" s="1859"/>
      <c r="M100" s="1887"/>
      <c r="N100" s="3019"/>
      <c r="O100" s="3019"/>
      <c r="P100" s="2057"/>
      <c r="Q100" s="1821"/>
    </row>
    <row r="101" spans="1:17" s="1685" customFormat="1" ht="14.4"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9"/>
      <c r="O101" s="3019"/>
      <c r="P101" s="2057"/>
      <c r="Q101" s="1821"/>
    </row>
    <row r="102" spans="1:17" s="1771" customFormat="1" ht="15" thickTop="1">
      <c r="A102" s="1869"/>
      <c r="B102" s="1858" t="s">
        <v>2364</v>
      </c>
      <c r="C102" s="1859" t="s">
        <v>2322</v>
      </c>
      <c r="D102" s="1859" t="s">
        <v>2323</v>
      </c>
      <c r="E102" s="1859" t="s">
        <v>2324</v>
      </c>
      <c r="F102" s="1859" t="s">
        <v>2325</v>
      </c>
      <c r="G102" s="1859" t="s">
        <v>2326</v>
      </c>
      <c r="H102" s="489"/>
      <c r="I102" s="489"/>
      <c r="J102" s="489"/>
      <c r="K102" s="489"/>
      <c r="L102" s="489"/>
      <c r="M102" s="1904"/>
      <c r="N102" s="3020"/>
      <c r="O102" s="3020"/>
      <c r="P102" s="2058"/>
      <c r="Q102" s="1873"/>
    </row>
    <row r="103" spans="1:17" s="1771" customFormat="1" ht="14.4"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20"/>
      <c r="O103" s="3020"/>
      <c r="P103" s="2058"/>
      <c r="Q103" s="1873"/>
    </row>
    <row r="104" spans="1:17" ht="15" thickTop="1">
      <c r="A104" s="1853"/>
      <c r="B104" s="1858" t="str">
        <f>B31</f>
        <v>临街状况</v>
      </c>
      <c r="C104" s="1859" t="s">
        <v>2487</v>
      </c>
      <c r="D104" s="1859" t="s">
        <v>2488</v>
      </c>
      <c r="E104" s="1859" t="s">
        <v>2489</v>
      </c>
      <c r="F104" s="1859" t="s">
        <v>2490</v>
      </c>
      <c r="G104" s="1859"/>
      <c r="H104" s="1859"/>
      <c r="I104" s="1859"/>
      <c r="J104" s="1859"/>
      <c r="K104" s="428"/>
      <c r="L104" s="428"/>
      <c r="M104" s="1860"/>
      <c r="N104" s="3018"/>
      <c r="O104" s="3018"/>
      <c r="P104" s="2057"/>
      <c r="Q104" s="1821"/>
    </row>
    <row r="105" spans="1:17" ht="14.4"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9"/>
      <c r="O105" s="3019"/>
      <c r="P105" s="2057"/>
      <c r="Q105" s="1821"/>
    </row>
    <row r="106" spans="1:17" ht="29.4" thickTop="1">
      <c r="A106" s="1853"/>
      <c r="B106" s="1858" t="s">
        <v>2395</v>
      </c>
      <c r="C106" s="468"/>
      <c r="D106" s="468"/>
      <c r="E106" s="468"/>
      <c r="F106" s="468"/>
      <c r="G106" s="468"/>
      <c r="H106" s="1578"/>
      <c r="I106" s="1578"/>
      <c r="J106" s="1578"/>
      <c r="K106" s="473"/>
      <c r="L106" s="473"/>
      <c r="M106" s="1893"/>
      <c r="N106" s="3018"/>
      <c r="O106" s="3018"/>
      <c r="P106" s="2057"/>
      <c r="Q106" s="1821"/>
    </row>
    <row r="107" spans="1:17" ht="14.4"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9"/>
      <c r="O107" s="3019"/>
      <c r="P107" s="2057"/>
      <c r="Q107" s="1821"/>
    </row>
    <row r="108" spans="1:17" ht="15" thickTop="1">
      <c r="A108" s="1853"/>
      <c r="B108" s="1858" t="s">
        <v>2456</v>
      </c>
      <c r="C108" s="1578"/>
      <c r="D108" s="1578"/>
      <c r="E108" s="1578"/>
      <c r="F108" s="1578"/>
      <c r="G108" s="1578"/>
      <c r="H108" s="1578"/>
      <c r="I108" s="1578"/>
      <c r="J108" s="1578"/>
      <c r="K108" s="473"/>
      <c r="L108" s="473"/>
      <c r="M108" s="1893"/>
      <c r="N108" s="3018"/>
      <c r="O108" s="3018"/>
      <c r="P108" s="2057"/>
      <c r="Q108" s="1821"/>
    </row>
    <row r="109" spans="1:17" ht="14.4"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9"/>
      <c r="O109" s="3019"/>
      <c r="P109" s="2057"/>
      <c r="Q109" s="1821"/>
    </row>
    <row r="110" spans="1:17" ht="14.4" thickTop="1">
      <c r="A110" s="1853"/>
      <c r="B110" s="1864">
        <f>B35</f>
        <v>111</v>
      </c>
      <c r="C110" s="468"/>
      <c r="D110" s="468"/>
      <c r="E110" s="468"/>
      <c r="F110" s="468"/>
      <c r="G110" s="1894"/>
      <c r="H110" s="1894"/>
      <c r="I110" s="1894"/>
      <c r="J110" s="1894"/>
      <c r="K110" s="477"/>
      <c r="L110" s="477"/>
      <c r="M110" s="1895"/>
      <c r="N110" s="3018"/>
      <c r="O110" s="3018"/>
      <c r="P110" s="2057"/>
      <c r="Q110" s="1821"/>
    </row>
    <row r="111" spans="1:17" ht="14.4" thickBot="1">
      <c r="A111" s="1853"/>
      <c r="B111" s="1881"/>
      <c r="C111" s="1874"/>
      <c r="D111" s="1874"/>
      <c r="E111" s="1874"/>
      <c r="F111" s="1874"/>
      <c r="G111" s="1897"/>
      <c r="H111" s="1897"/>
      <c r="I111" s="1897"/>
      <c r="J111" s="1897"/>
      <c r="K111" s="1897"/>
      <c r="L111" s="1897"/>
      <c r="M111" s="1898"/>
      <c r="N111" s="3019"/>
      <c r="O111" s="3019"/>
      <c r="P111" s="2057"/>
      <c r="Q111" s="1821"/>
    </row>
    <row r="112" spans="1:17" ht="14.4" thickTop="1">
      <c r="A112" s="1994"/>
      <c r="B112" s="1858">
        <f>B36</f>
        <v>111</v>
      </c>
      <c r="C112" s="409"/>
      <c r="D112" s="409"/>
      <c r="E112" s="409"/>
      <c r="F112" s="409"/>
      <c r="G112" s="1578"/>
      <c r="H112" s="1578"/>
      <c r="I112" s="1578"/>
      <c r="J112" s="1578"/>
      <c r="K112" s="473"/>
      <c r="L112" s="473"/>
      <c r="M112" s="1893"/>
      <c r="N112" s="3018"/>
      <c r="O112" s="3018"/>
      <c r="P112" s="2057"/>
      <c r="Q112" s="1821"/>
    </row>
    <row r="113" spans="1:17" ht="14.4" thickBot="1">
      <c r="A113" s="1853"/>
      <c r="B113" s="1861"/>
      <c r="C113" s="1882"/>
      <c r="D113" s="1882"/>
      <c r="E113" s="1882"/>
      <c r="F113" s="1882"/>
      <c r="G113" s="1855"/>
      <c r="H113" s="1855"/>
      <c r="I113" s="1855"/>
      <c r="J113" s="1855"/>
      <c r="K113" s="1855"/>
      <c r="L113" s="1855"/>
      <c r="M113" s="1856"/>
      <c r="N113" s="3019"/>
      <c r="O113" s="3019"/>
      <c r="P113" s="2057"/>
      <c r="Q113" s="1821"/>
    </row>
    <row r="114" spans="1:17" s="1771" customFormat="1" ht="14.4" thickTop="1">
      <c r="A114" s="1899"/>
      <c r="B114" s="1900">
        <f>B37</f>
        <v>111</v>
      </c>
      <c r="C114" s="1901"/>
      <c r="D114" s="1901"/>
      <c r="E114" s="1901"/>
      <c r="F114" s="1901"/>
      <c r="G114" s="1901"/>
      <c r="H114" s="1901"/>
      <c r="I114" s="1901"/>
      <c r="J114" s="485"/>
      <c r="K114" s="485"/>
      <c r="L114" s="485"/>
      <c r="M114" s="1902"/>
      <c r="N114" s="3020"/>
      <c r="O114" s="3020"/>
      <c r="P114" s="2058"/>
      <c r="Q114" s="1873"/>
    </row>
    <row r="115" spans="1:17" s="1771" customFormat="1" ht="14.4" thickBot="1">
      <c r="A115" s="1869"/>
      <c r="B115" s="1864"/>
      <c r="C115" s="1831"/>
      <c r="D115" s="2061"/>
      <c r="E115" s="2061"/>
      <c r="F115" s="2061"/>
      <c r="G115" s="2061"/>
      <c r="H115" s="2061"/>
      <c r="I115" s="2061"/>
      <c r="J115" s="2061"/>
      <c r="K115" s="2061"/>
      <c r="L115" s="2061"/>
      <c r="M115" s="2062"/>
      <c r="N115" s="3019"/>
      <c r="O115" s="3019"/>
      <c r="P115" s="2058"/>
      <c r="Q115" s="1873"/>
    </row>
    <row r="116" spans="1:17" ht="14.4">
      <c r="A116" s="1846" t="s">
        <v>2282</v>
      </c>
      <c r="B116" s="1847" t="s">
        <v>2491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8"/>
      <c r="O116" s="3018"/>
      <c r="P116" s="2057"/>
      <c r="Q116" s="1821"/>
    </row>
    <row r="117" spans="1:17">
      <c r="A117" s="1853"/>
      <c r="B117" s="1864"/>
      <c r="C117" s="1901"/>
      <c r="D117" s="1901"/>
      <c r="E117" s="1901"/>
      <c r="F117" s="1901"/>
      <c r="G117" s="1901"/>
      <c r="H117" s="1901"/>
      <c r="I117" s="1901"/>
      <c r="J117" s="485"/>
      <c r="K117" s="485"/>
      <c r="L117" s="485"/>
      <c r="M117" s="1902"/>
      <c r="N117" s="3018"/>
      <c r="O117" s="3018"/>
      <c r="P117" s="2057"/>
      <c r="Q117" s="1821"/>
    </row>
    <row r="118" spans="1:17" ht="14.4" thickBot="1">
      <c r="A118" s="1853"/>
      <c r="B118" s="1861"/>
      <c r="C118" s="1882"/>
      <c r="D118" s="1897"/>
      <c r="E118" s="1897"/>
      <c r="F118" s="1897"/>
      <c r="G118" s="1897"/>
      <c r="H118" s="1897"/>
      <c r="I118" s="1897"/>
      <c r="J118" s="1897"/>
      <c r="K118" s="1897"/>
      <c r="L118" s="1897"/>
      <c r="M118" s="1898"/>
      <c r="N118" s="3019"/>
      <c r="O118" s="3019"/>
      <c r="P118" s="2057"/>
      <c r="Q118" s="1821"/>
    </row>
    <row r="119" spans="1:17" ht="15" thickTop="1">
      <c r="A119" s="1903"/>
      <c r="B119" s="1858" t="s">
        <v>2492</v>
      </c>
      <c r="C119" s="1578"/>
      <c r="D119" s="1578"/>
      <c r="E119" s="1578"/>
      <c r="F119" s="1578"/>
      <c r="G119" s="1578"/>
      <c r="H119" s="1578"/>
      <c r="I119" s="1578"/>
      <c r="J119" s="1578"/>
      <c r="K119" s="473"/>
      <c r="L119" s="473"/>
      <c r="M119" s="1893"/>
      <c r="N119" s="3018"/>
      <c r="O119" s="3018"/>
      <c r="P119" s="2057"/>
      <c r="Q119" s="1821"/>
    </row>
    <row r="120" spans="1:17" ht="14.4"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9"/>
      <c r="O120" s="3019"/>
      <c r="P120" s="2057"/>
      <c r="Q120" s="1821"/>
    </row>
    <row r="121" spans="1:17" ht="15" thickTop="1">
      <c r="A121" s="1903"/>
      <c r="B121" s="1858" t="s">
        <v>2493</v>
      </c>
      <c r="C121" s="468"/>
      <c r="D121" s="468"/>
      <c r="E121" s="468"/>
      <c r="F121" s="1578"/>
      <c r="G121" s="1578"/>
      <c r="H121" s="1578"/>
      <c r="I121" s="1578"/>
      <c r="J121" s="1578"/>
      <c r="K121" s="473"/>
      <c r="L121" s="473"/>
      <c r="M121" s="1893"/>
      <c r="N121" s="3018"/>
      <c r="O121" s="3018"/>
      <c r="P121" s="2057"/>
      <c r="Q121" s="1821"/>
    </row>
    <row r="122" spans="1:17" ht="14.4"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9"/>
      <c r="O122" s="3019"/>
      <c r="P122" s="2057"/>
      <c r="Q122" s="1821"/>
    </row>
    <row r="123" spans="1:17" s="1771" customFormat="1" ht="15" thickTop="1">
      <c r="A123" s="1899"/>
      <c r="B123" s="1858" t="s">
        <v>2494</v>
      </c>
      <c r="C123" s="468"/>
      <c r="D123" s="468"/>
      <c r="E123" s="468"/>
      <c r="F123" s="468"/>
      <c r="G123" s="468"/>
      <c r="H123" s="1578"/>
      <c r="I123" s="1578"/>
      <c r="J123" s="1578"/>
      <c r="K123" s="473"/>
      <c r="L123" s="473"/>
      <c r="M123" s="1893"/>
      <c r="N123" s="3020"/>
      <c r="O123" s="3020"/>
      <c r="P123" s="2058"/>
      <c r="Q123" s="1873"/>
    </row>
    <row r="124" spans="1:17" s="1771" customFormat="1" ht="14.4"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20"/>
      <c r="O124" s="3020"/>
      <c r="P124" s="2058"/>
      <c r="Q124" s="1873"/>
    </row>
    <row r="125" spans="1:17" ht="15" thickTop="1">
      <c r="A125" s="1903"/>
      <c r="B125" s="1858" t="s">
        <v>2495</v>
      </c>
      <c r="C125" s="468"/>
      <c r="D125" s="468"/>
      <c r="E125" s="1578"/>
      <c r="F125" s="1578"/>
      <c r="G125" s="1578"/>
      <c r="H125" s="1578"/>
      <c r="I125" s="1578"/>
      <c r="J125" s="1578"/>
      <c r="K125" s="473"/>
      <c r="L125" s="473"/>
      <c r="M125" s="1893"/>
      <c r="N125" s="3018"/>
      <c r="O125" s="3018"/>
      <c r="P125" s="2057"/>
      <c r="Q125" s="1821"/>
    </row>
    <row r="126" spans="1:17" ht="14.4"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9"/>
      <c r="O126" s="3019"/>
      <c r="P126" s="2057"/>
      <c r="Q126" s="1821"/>
    </row>
    <row r="127" spans="1:17" ht="14.4" thickTop="1">
      <c r="A127" s="1903"/>
      <c r="B127" s="1858">
        <f>B43</f>
        <v>111</v>
      </c>
      <c r="C127" s="468"/>
      <c r="D127" s="468"/>
      <c r="E127" s="468"/>
      <c r="F127" s="468"/>
      <c r="G127" s="468"/>
      <c r="H127" s="1578"/>
      <c r="I127" s="1578"/>
      <c r="J127" s="1578"/>
      <c r="K127" s="473"/>
      <c r="L127" s="473"/>
      <c r="M127" s="1893"/>
      <c r="N127" s="3018"/>
      <c r="O127" s="3018"/>
      <c r="P127" s="2057"/>
      <c r="Q127" s="1821"/>
    </row>
    <row r="128" spans="1:17" ht="14.4" thickBot="1">
      <c r="A128" s="1853"/>
      <c r="B128" s="1861"/>
      <c r="C128" s="1874"/>
      <c r="D128" s="1874"/>
      <c r="E128" s="1874"/>
      <c r="F128" s="1874"/>
      <c r="G128" s="1855"/>
      <c r="H128" s="1855"/>
      <c r="I128" s="1855"/>
      <c r="J128" s="1855"/>
      <c r="K128" s="1855"/>
      <c r="L128" s="1855"/>
      <c r="M128" s="1856"/>
      <c r="N128" s="3019"/>
      <c r="O128" s="3019"/>
      <c r="P128" s="2057"/>
      <c r="Q128" s="1821"/>
    </row>
    <row r="129" spans="1:17" ht="14.4" thickTop="1">
      <c r="A129" s="1903"/>
      <c r="B129" s="1858">
        <f>B44</f>
        <v>111</v>
      </c>
      <c r="C129" s="409"/>
      <c r="D129" s="409"/>
      <c r="E129" s="409"/>
      <c r="F129" s="409"/>
      <c r="G129" s="1578"/>
      <c r="H129" s="1578"/>
      <c r="I129" s="1578"/>
      <c r="J129" s="1578"/>
      <c r="K129" s="473"/>
      <c r="L129" s="473"/>
      <c r="M129" s="1893"/>
      <c r="N129" s="3018"/>
      <c r="O129" s="3018"/>
      <c r="P129" s="2057"/>
      <c r="Q129" s="1821"/>
    </row>
    <row r="130" spans="1:17" ht="14.4" thickBot="1">
      <c r="A130" s="1853"/>
      <c r="B130" s="1861"/>
      <c r="C130" s="1882"/>
      <c r="D130" s="1882"/>
      <c r="E130" s="1882"/>
      <c r="F130" s="1882"/>
      <c r="G130" s="1855"/>
      <c r="H130" s="1855"/>
      <c r="I130" s="1855"/>
      <c r="J130" s="1855"/>
      <c r="K130" s="1855"/>
      <c r="L130" s="1855"/>
      <c r="M130" s="1856"/>
      <c r="N130" s="3019"/>
      <c r="O130" s="3019"/>
      <c r="P130" s="2057"/>
      <c r="Q130" s="1821"/>
    </row>
    <row r="131" spans="1:17" s="1771" customFormat="1" ht="14.4" thickTop="1">
      <c r="A131" s="1899"/>
      <c r="B131" s="1858">
        <f>B45</f>
        <v>111</v>
      </c>
      <c r="C131" s="409"/>
      <c r="D131" s="409"/>
      <c r="E131" s="409"/>
      <c r="F131" s="409"/>
      <c r="G131" s="443"/>
      <c r="H131" s="443"/>
      <c r="I131" s="443"/>
      <c r="J131" s="443"/>
      <c r="K131" s="443"/>
      <c r="L131" s="443"/>
      <c r="M131" s="1870"/>
      <c r="N131" s="3020"/>
      <c r="O131" s="3020"/>
      <c r="P131" s="2058"/>
      <c r="Q131" s="1873"/>
    </row>
    <row r="132" spans="1:17" s="1771" customFormat="1" ht="14.4" thickBot="1">
      <c r="A132" s="1880"/>
      <c r="B132" s="2064"/>
      <c r="C132" s="1882"/>
      <c r="D132" s="1882"/>
      <c r="E132" s="1882"/>
      <c r="F132" s="1882"/>
      <c r="G132" s="1897"/>
      <c r="H132" s="1897"/>
      <c r="I132" s="1897"/>
      <c r="J132" s="1897"/>
      <c r="K132" s="1897"/>
      <c r="L132" s="1897"/>
      <c r="M132" s="1898"/>
      <c r="N132" s="3020"/>
      <c r="O132" s="3020"/>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3.8"/>
  <cols>
    <col min="1" max="1" width="11.8867187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291" customFormat="1" ht="28.5" customHeight="1">
      <c r="A1" s="288" t="s">
        <v>2448</v>
      </c>
      <c r="B1" s="289"/>
      <c r="C1" s="290" t="s">
        <v>2496</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2450</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2451</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41" t="s">
        <v>2254</v>
      </c>
      <c r="D4" s="3542"/>
      <c r="E4" s="3543" t="s">
        <v>2255</v>
      </c>
      <c r="F4" s="3544"/>
      <c r="G4" s="3541" t="s">
        <v>2256</v>
      </c>
      <c r="H4" s="3542"/>
      <c r="I4" s="3541" t="s">
        <v>2257</v>
      </c>
      <c r="J4" s="3542"/>
      <c r="K4" s="496" t="s">
        <v>2258</v>
      </c>
      <c r="L4" s="3027"/>
      <c r="M4" s="3028"/>
      <c r="N4" s="3028"/>
      <c r="O4" s="3028"/>
      <c r="P4" s="3545" t="s">
        <v>2259</v>
      </c>
      <c r="Q4" s="3546"/>
      <c r="R4" s="3528" t="s">
        <v>2255</v>
      </c>
      <c r="S4" s="3529"/>
      <c r="T4" s="3528" t="s">
        <v>2256</v>
      </c>
      <c r="U4" s="3529"/>
      <c r="V4" s="3551" t="s">
        <v>2257</v>
      </c>
      <c r="W4" s="3551"/>
      <c r="X4" s="1335"/>
      <c r="Y4" s="3528" t="s">
        <v>2259</v>
      </c>
      <c r="Z4" s="3529"/>
      <c r="AA4" s="3538" t="s">
        <v>2255</v>
      </c>
      <c r="AB4" s="3539" t="s">
        <v>2256</v>
      </c>
      <c r="AC4" s="3538" t="s">
        <v>2257</v>
      </c>
    </row>
    <row r="5" spans="1:29">
      <c r="A5" s="297"/>
      <c r="B5" s="298"/>
      <c r="C5" s="3554" t="s">
        <v>2260</v>
      </c>
      <c r="D5" s="3555"/>
      <c r="E5" s="3552" t="s">
        <v>2261</v>
      </c>
      <c r="F5" s="3553"/>
      <c r="G5" s="3554" t="s">
        <v>2262</v>
      </c>
      <c r="H5" s="3555"/>
      <c r="I5" s="3554" t="s">
        <v>2263</v>
      </c>
      <c r="J5" s="3555"/>
      <c r="K5" s="496"/>
      <c r="L5" s="3027"/>
      <c r="M5" s="3028"/>
      <c r="N5" s="3028"/>
      <c r="O5" s="3028"/>
      <c r="P5" s="3547"/>
      <c r="Q5" s="3548"/>
      <c r="R5" s="3530"/>
      <c r="S5" s="3531"/>
      <c r="T5" s="3530"/>
      <c r="U5" s="3531"/>
      <c r="V5" s="3551"/>
      <c r="W5" s="3551"/>
      <c r="X5" s="1335"/>
      <c r="Y5" s="3530"/>
      <c r="Z5" s="3531"/>
      <c r="AA5" s="3539"/>
      <c r="AB5" s="3539"/>
      <c r="AC5" s="3539"/>
    </row>
    <row r="6" spans="1:29" ht="15" thickBot="1">
      <c r="A6" s="299"/>
      <c r="B6" s="300"/>
      <c r="C6" s="3556" t="s">
        <v>2264</v>
      </c>
      <c r="D6" s="3557"/>
      <c r="E6" s="3558" t="s">
        <v>2264</v>
      </c>
      <c r="F6" s="3559"/>
      <c r="G6" s="3556" t="s">
        <v>2264</v>
      </c>
      <c r="H6" s="3557"/>
      <c r="I6" s="3556" t="s">
        <v>2264</v>
      </c>
      <c r="J6" s="3557"/>
      <c r="K6" s="496" t="s">
        <v>2265</v>
      </c>
      <c r="L6" s="3027"/>
      <c r="M6" s="3028"/>
      <c r="N6" s="3028"/>
      <c r="O6" s="3028"/>
      <c r="P6" s="3549"/>
      <c r="Q6" s="3550"/>
      <c r="R6" s="3530"/>
      <c r="S6" s="3531"/>
      <c r="T6" s="3532"/>
      <c r="U6" s="3533"/>
      <c r="V6" s="3551"/>
      <c r="W6" s="3551"/>
      <c r="X6" s="1335"/>
      <c r="Y6" s="3532"/>
      <c r="Z6" s="3533"/>
      <c r="AA6" s="3540"/>
      <c r="AB6" s="3540"/>
      <c r="AC6" s="3540"/>
    </row>
    <row r="7" spans="1:29" s="25" customFormat="1" ht="15" thickBot="1">
      <c r="A7" s="301" t="s">
        <v>2266</v>
      </c>
      <c r="B7" s="302"/>
      <c r="C7" s="303">
        <f>'数据-取费表'!B2</f>
        <v>45558</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526" t="s">
        <v>2267</v>
      </c>
      <c r="Q7" s="3534"/>
      <c r="R7" s="627" t="s">
        <v>25</v>
      </c>
      <c r="S7" s="628">
        <f t="shared" ref="S7:S15" si="0">F7</f>
        <v>0</v>
      </c>
      <c r="T7" s="627" t="s">
        <v>25</v>
      </c>
      <c r="U7" s="628">
        <f t="shared" ref="U7:U15" si="1">H7</f>
        <v>0</v>
      </c>
      <c r="V7" s="627" t="s">
        <v>25</v>
      </c>
      <c r="W7" s="628">
        <f t="shared" ref="W7:W15" si="2">J7</f>
        <v>0</v>
      </c>
      <c r="X7" s="629"/>
      <c r="Y7" s="3526" t="s">
        <v>2267</v>
      </c>
      <c r="Z7" s="3527"/>
      <c r="AA7" s="630" t="e">
        <f>D7/F7</f>
        <v>#DIV/0!</v>
      </c>
      <c r="AB7" s="630" t="e">
        <f>D7/H7</f>
        <v>#DIV/0!</v>
      </c>
      <c r="AC7" s="630" t="e">
        <f>D7/J7</f>
        <v>#DIV/0!</v>
      </c>
    </row>
    <row r="8" spans="1:29" s="25" customFormat="1" ht="15" thickBot="1">
      <c r="A8" s="301" t="s">
        <v>2268</v>
      </c>
      <c r="B8" s="302"/>
      <c r="C8" s="307" t="s">
        <v>2452</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526" t="s">
        <v>2270</v>
      </c>
      <c r="Q8" s="3527"/>
      <c r="R8" s="627" t="s">
        <v>25</v>
      </c>
      <c r="S8" s="628">
        <f t="shared" si="0"/>
        <v>0</v>
      </c>
      <c r="T8" s="627" t="s">
        <v>25</v>
      </c>
      <c r="U8" s="628">
        <f t="shared" si="1"/>
        <v>0</v>
      </c>
      <c r="V8" s="627" t="s">
        <v>25</v>
      </c>
      <c r="W8" s="628">
        <f t="shared" si="2"/>
        <v>0</v>
      </c>
      <c r="X8" s="629"/>
      <c r="Y8" s="3526" t="s">
        <v>2270</v>
      </c>
      <c r="Z8" s="3527"/>
      <c r="AA8" s="630" t="e">
        <f t="shared" ref="AA8:AA40" si="3">D8/F8</f>
        <v>#DIV/0!</v>
      </c>
      <c r="AB8" s="630" t="e">
        <f t="shared" ref="AB8:AB40" si="4">D8/H8</f>
        <v>#DIV/0!</v>
      </c>
      <c r="AC8" s="630" t="e">
        <f t="shared" ref="AC8:AC40" si="5">D8/J8</f>
        <v>#DIV/0!</v>
      </c>
    </row>
    <row r="9" spans="1:29" s="25" customFormat="1" ht="14.4">
      <c r="A9" s="308" t="s">
        <v>2271</v>
      </c>
      <c r="B9" s="24" t="s">
        <v>2272</v>
      </c>
      <c r="C9" s="1586" t="s">
        <v>2497</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518" t="s">
        <v>2273</v>
      </c>
      <c r="Q9" s="1327" t="str">
        <f t="shared" ref="Q9:Q15" si="6">B9</f>
        <v>用途</v>
      </c>
      <c r="R9" s="627" t="s">
        <v>25</v>
      </c>
      <c r="S9" s="628">
        <f t="shared" si="0"/>
        <v>100</v>
      </c>
      <c r="T9" s="627" t="s">
        <v>25</v>
      </c>
      <c r="U9" s="628">
        <f t="shared" si="1"/>
        <v>100</v>
      </c>
      <c r="V9" s="627" t="s">
        <v>25</v>
      </c>
      <c r="W9" s="628">
        <f t="shared" si="2"/>
        <v>100</v>
      </c>
      <c r="X9" s="629"/>
      <c r="Y9" s="3537" t="s">
        <v>2274</v>
      </c>
      <c r="Z9" s="19" t="str">
        <f t="shared" ref="Z9:Z15" si="7">Q9</f>
        <v>用途</v>
      </c>
      <c r="AA9" s="630">
        <f t="shared" si="3"/>
        <v>1</v>
      </c>
      <c r="AB9" s="630">
        <f t="shared" si="4"/>
        <v>1</v>
      </c>
      <c r="AC9" s="630">
        <f t="shared" si="5"/>
        <v>1</v>
      </c>
    </row>
    <row r="10" spans="1:29" s="317" customFormat="1" ht="28.8">
      <c r="A10" s="312"/>
      <c r="B10" s="313" t="s">
        <v>2275</v>
      </c>
      <c r="C10" s="322"/>
      <c r="D10" s="29">
        <v>100</v>
      </c>
      <c r="E10" s="322"/>
      <c r="F10" s="29" t="e">
        <f>ROUND(100/'数据-取费表'!B14,0)</f>
        <v>#DIV/0!</v>
      </c>
      <c r="G10" s="322"/>
      <c r="H10" s="29" t="e">
        <f>ROUND(100/'数据-取费表'!B14,0)</f>
        <v>#DIV/0!</v>
      </c>
      <c r="I10" s="322"/>
      <c r="J10" s="29" t="e">
        <f>ROUND(100/'数据-取费表'!B14,0)</f>
        <v>#DIV/0!</v>
      </c>
      <c r="K10" s="553"/>
      <c r="L10" s="3032"/>
      <c r="M10" s="3033"/>
      <c r="N10" s="3033"/>
      <c r="O10" s="3034"/>
      <c r="P10" s="3518"/>
      <c r="Q10" s="1327" t="str">
        <f t="shared" si="6"/>
        <v>土地使用年限（年）</v>
      </c>
      <c r="R10" s="627" t="s">
        <v>25</v>
      </c>
      <c r="S10" s="628" t="e">
        <f t="shared" si="0"/>
        <v>#DIV/0!</v>
      </c>
      <c r="T10" s="627" t="s">
        <v>25</v>
      </c>
      <c r="U10" s="628" t="e">
        <f t="shared" si="1"/>
        <v>#DIV/0!</v>
      </c>
      <c r="V10" s="627" t="s">
        <v>25</v>
      </c>
      <c r="W10" s="628" t="e">
        <f t="shared" si="2"/>
        <v>#DIV/0!</v>
      </c>
      <c r="X10" s="629"/>
      <c r="Y10" s="3537"/>
      <c r="Z10" s="19" t="str">
        <f t="shared" si="7"/>
        <v>土地使用年限（年）</v>
      </c>
      <c r="AA10" s="630" t="e">
        <f t="shared" si="3"/>
        <v>#DIV/0!</v>
      </c>
      <c r="AB10" s="630" t="e">
        <f t="shared" si="4"/>
        <v>#DIV/0!</v>
      </c>
      <c r="AC10" s="630" t="e">
        <f t="shared" si="5"/>
        <v>#DIV/0!</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518"/>
      <c r="Q11" s="1327" t="str">
        <f t="shared" si="6"/>
        <v>容积率</v>
      </c>
      <c r="R11" s="627" t="s">
        <v>25</v>
      </c>
      <c r="S11" s="628" t="e">
        <f t="shared" si="0"/>
        <v>#N/A</v>
      </c>
      <c r="T11" s="627" t="s">
        <v>25</v>
      </c>
      <c r="U11" s="628" t="e">
        <f t="shared" si="1"/>
        <v>#N/A</v>
      </c>
      <c r="V11" s="627" t="s">
        <v>25</v>
      </c>
      <c r="W11" s="628" t="e">
        <f t="shared" si="2"/>
        <v>#N/A</v>
      </c>
      <c r="X11" s="629"/>
      <c r="Y11" s="353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518"/>
      <c r="Q12" s="1327">
        <f t="shared" si="6"/>
        <v>111</v>
      </c>
      <c r="R12" s="627" t="s">
        <v>25</v>
      </c>
      <c r="S12" s="628">
        <f t="shared" si="0"/>
        <v>100</v>
      </c>
      <c r="T12" s="627" t="s">
        <v>25</v>
      </c>
      <c r="U12" s="628">
        <f t="shared" si="1"/>
        <v>100</v>
      </c>
      <c r="V12" s="627" t="s">
        <v>25</v>
      </c>
      <c r="W12" s="628">
        <f t="shared" si="2"/>
        <v>100</v>
      </c>
      <c r="X12" s="629"/>
      <c r="Y12" s="353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518"/>
      <c r="Q13" s="1327">
        <f t="shared" si="6"/>
        <v>111</v>
      </c>
      <c r="R13" s="627" t="s">
        <v>25</v>
      </c>
      <c r="S13" s="628">
        <f t="shared" si="0"/>
        <v>100</v>
      </c>
      <c r="T13" s="627" t="s">
        <v>25</v>
      </c>
      <c r="U13" s="628">
        <f t="shared" si="1"/>
        <v>100</v>
      </c>
      <c r="V13" s="627" t="s">
        <v>25</v>
      </c>
      <c r="W13" s="628">
        <f t="shared" si="2"/>
        <v>100</v>
      </c>
      <c r="X13" s="629"/>
      <c r="Y13" s="3537"/>
      <c r="Z13" s="19">
        <f t="shared" si="7"/>
        <v>111</v>
      </c>
      <c r="AA13" s="630">
        <f t="shared" si="3"/>
        <v>1</v>
      </c>
      <c r="AB13" s="630">
        <f t="shared" si="4"/>
        <v>1</v>
      </c>
      <c r="AC13" s="630">
        <f t="shared" si="5"/>
        <v>1</v>
      </c>
    </row>
    <row r="14" spans="1:29" ht="15.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518"/>
      <c r="Q14" s="1327">
        <f t="shared" si="6"/>
        <v>111</v>
      </c>
      <c r="R14" s="627" t="s">
        <v>25</v>
      </c>
      <c r="S14" s="628">
        <f t="shared" si="0"/>
        <v>100</v>
      </c>
      <c r="T14" s="627" t="s">
        <v>25</v>
      </c>
      <c r="U14" s="628">
        <f t="shared" si="1"/>
        <v>100</v>
      </c>
      <c r="V14" s="627" t="s">
        <v>25</v>
      </c>
      <c r="W14" s="628">
        <f t="shared" si="2"/>
        <v>100</v>
      </c>
      <c r="X14" s="629"/>
      <c r="Y14" s="3537"/>
      <c r="Z14" s="19">
        <f t="shared" si="7"/>
        <v>111</v>
      </c>
      <c r="AA14" s="630">
        <f t="shared" si="3"/>
        <v>1</v>
      </c>
      <c r="AB14" s="630">
        <f t="shared" si="4"/>
        <v>1</v>
      </c>
      <c r="AC14" s="630">
        <f t="shared" si="5"/>
        <v>1</v>
      </c>
    </row>
    <row r="15" spans="1:29" ht="69">
      <c r="A15" s="329" t="s">
        <v>2277</v>
      </c>
      <c r="B15" s="511" t="s">
        <v>2498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35" t="s">
        <v>2278</v>
      </c>
      <c r="Q15" s="1334" t="str">
        <f t="shared" si="6"/>
        <v>产业集聚程度</v>
      </c>
      <c r="R15" s="631" t="s">
        <v>25</v>
      </c>
      <c r="S15" s="632">
        <f t="shared" si="0"/>
        <v>100</v>
      </c>
      <c r="T15" s="631" t="s">
        <v>25</v>
      </c>
      <c r="U15" s="632">
        <f t="shared" si="1"/>
        <v>100</v>
      </c>
      <c r="V15" s="631" t="s">
        <v>25</v>
      </c>
      <c r="W15" s="632">
        <f t="shared" si="2"/>
        <v>100</v>
      </c>
      <c r="X15" s="1335"/>
      <c r="Y15" s="3535"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36"/>
      <c r="Q16" s="1334"/>
      <c r="R16" s="631"/>
      <c r="S16" s="632"/>
      <c r="T16" s="631"/>
      <c r="U16" s="632"/>
      <c r="V16" s="631"/>
      <c r="W16" s="632"/>
      <c r="X16" s="1335"/>
      <c r="Y16" s="3536"/>
      <c r="Z16" s="1336"/>
      <c r="AA16" s="1337">
        <v>1</v>
      </c>
      <c r="AB16" s="1337">
        <v>1</v>
      </c>
      <c r="AC16" s="1337">
        <v>1</v>
      </c>
    </row>
    <row r="17" spans="1:29" ht="96.6">
      <c r="A17" s="318"/>
      <c r="B17" s="513" t="s">
        <v>2414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36"/>
      <c r="Q17" s="1334" t="str">
        <f>B17</f>
        <v>交通便捷度</v>
      </c>
      <c r="R17" s="631" t="s">
        <v>25</v>
      </c>
      <c r="S17" s="632">
        <f>F17</f>
        <v>100</v>
      </c>
      <c r="T17" s="631" t="s">
        <v>25</v>
      </c>
      <c r="U17" s="632">
        <f>H17</f>
        <v>100</v>
      </c>
      <c r="V17" s="631" t="s">
        <v>25</v>
      </c>
      <c r="W17" s="632">
        <f>J17</f>
        <v>100</v>
      </c>
      <c r="X17" s="1335"/>
      <c r="Y17" s="353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36"/>
      <c r="Q18" s="1334"/>
      <c r="R18" s="631"/>
      <c r="S18" s="632"/>
      <c r="T18" s="631"/>
      <c r="U18" s="632"/>
      <c r="V18" s="631"/>
      <c r="W18" s="632"/>
      <c r="X18" s="1335"/>
      <c r="Y18" s="3536"/>
      <c r="Z18" s="1336"/>
      <c r="AA18" s="1337">
        <v>1</v>
      </c>
      <c r="AB18" s="1337">
        <v>1</v>
      </c>
      <c r="AC18" s="1337">
        <v>1</v>
      </c>
    </row>
    <row r="19" spans="1:29" ht="28.8">
      <c r="A19" s="318"/>
      <c r="B19" s="513" t="s">
        <v>2454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36"/>
      <c r="Q19" s="1334" t="str">
        <f t="shared" ref="Q19:Q33" si="8">B19</f>
        <v>区域土地利用方向</v>
      </c>
      <c r="R19" s="631" t="s">
        <v>25</v>
      </c>
      <c r="S19" s="632">
        <f>F19</f>
        <v>100</v>
      </c>
      <c r="T19" s="631" t="s">
        <v>25</v>
      </c>
      <c r="U19" s="632">
        <f>H19</f>
        <v>100</v>
      </c>
      <c r="V19" s="631" t="s">
        <v>25</v>
      </c>
      <c r="W19" s="632">
        <f>J19</f>
        <v>100</v>
      </c>
      <c r="X19" s="1335"/>
      <c r="Y19" s="353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36"/>
      <c r="Q20" s="1334"/>
      <c r="R20" s="631"/>
      <c r="S20" s="632"/>
      <c r="T20" s="631"/>
      <c r="U20" s="632"/>
      <c r="V20" s="631"/>
      <c r="W20" s="632"/>
      <c r="X20" s="1335"/>
      <c r="Y20" s="3536"/>
      <c r="Z20" s="1336"/>
      <c r="AA20" s="1337"/>
      <c r="AB20" s="1337"/>
      <c r="AC20" s="1337"/>
    </row>
    <row r="21" spans="1:29" ht="82.8">
      <c r="A21" s="297"/>
      <c r="B21" s="513" t="s">
        <v>2499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36"/>
      <c r="Q21" s="1334" t="str">
        <f t="shared" si="8"/>
        <v>环境状况</v>
      </c>
      <c r="R21" s="631" t="s">
        <v>25</v>
      </c>
      <c r="S21" s="632">
        <f>F21</f>
        <v>100</v>
      </c>
      <c r="T21" s="631" t="s">
        <v>25</v>
      </c>
      <c r="U21" s="632">
        <f>H21</f>
        <v>100</v>
      </c>
      <c r="V21" s="631" t="s">
        <v>25</v>
      </c>
      <c r="W21" s="632">
        <f>J21</f>
        <v>100</v>
      </c>
      <c r="X21" s="1335"/>
      <c r="Y21" s="353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36"/>
      <c r="Q22" s="1334"/>
      <c r="R22" s="631"/>
      <c r="S22" s="632"/>
      <c r="T22" s="631"/>
      <c r="U22" s="632"/>
      <c r="V22" s="631"/>
      <c r="W22" s="632"/>
      <c r="X22" s="1335"/>
      <c r="Y22" s="3536"/>
      <c r="Z22" s="1336"/>
      <c r="AA22" s="1337">
        <v>1</v>
      </c>
      <c r="AB22" s="1337">
        <v>1</v>
      </c>
      <c r="AC22" s="1337">
        <v>1</v>
      </c>
    </row>
    <row r="23" spans="1:29" s="25" customFormat="1" ht="41.4">
      <c r="A23" s="531"/>
      <c r="B23" s="513" t="s">
        <v>2363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36"/>
      <c r="Q23" s="1327" t="str">
        <f t="shared" si="8"/>
        <v>公共配套设施</v>
      </c>
      <c r="R23" s="627" t="s">
        <v>25</v>
      </c>
      <c r="S23" s="628">
        <f>F23</f>
        <v>100</v>
      </c>
      <c r="T23" s="627" t="s">
        <v>25</v>
      </c>
      <c r="U23" s="628">
        <f>H23</f>
        <v>100</v>
      </c>
      <c r="V23" s="627" t="s">
        <v>25</v>
      </c>
      <c r="W23" s="628">
        <f>J23</f>
        <v>100</v>
      </c>
      <c r="X23" s="629"/>
      <c r="Y23" s="3536"/>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36"/>
      <c r="Q24" s="1327"/>
      <c r="R24" s="627"/>
      <c r="S24" s="628"/>
      <c r="T24" s="627"/>
      <c r="U24" s="628"/>
      <c r="V24" s="627"/>
      <c r="W24" s="628"/>
      <c r="X24" s="629"/>
      <c r="Y24" s="3536"/>
      <c r="Z24" s="19"/>
      <c r="AA24" s="630">
        <v>1</v>
      </c>
      <c r="AB24" s="630">
        <v>1</v>
      </c>
      <c r="AC24" s="630">
        <v>1</v>
      </c>
    </row>
    <row r="25" spans="1:29" s="25" customFormat="1" ht="41.4">
      <c r="A25" s="531"/>
      <c r="B25" s="515" t="s">
        <v>2364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36"/>
      <c r="Q25" s="1327" t="str">
        <f t="shared" ref="Q25" si="9">B25</f>
        <v>基础设施水平</v>
      </c>
      <c r="R25" s="627" t="s">
        <v>25</v>
      </c>
      <c r="S25" s="628">
        <f>F25</f>
        <v>100</v>
      </c>
      <c r="T25" s="627" t="s">
        <v>25</v>
      </c>
      <c r="U25" s="628">
        <f>H25</f>
        <v>100</v>
      </c>
      <c r="V25" s="627" t="s">
        <v>25</v>
      </c>
      <c r="W25" s="628">
        <f>J25</f>
        <v>100</v>
      </c>
      <c r="X25" s="629"/>
      <c r="Y25" s="3536"/>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36"/>
      <c r="Q26" s="1327"/>
      <c r="R26" s="627"/>
      <c r="S26" s="628"/>
      <c r="T26" s="627"/>
      <c r="U26" s="628"/>
      <c r="V26" s="627"/>
      <c r="W26" s="628"/>
      <c r="X26" s="629"/>
      <c r="Y26" s="3536"/>
      <c r="Z26" s="19"/>
      <c r="AA26" s="630">
        <v>1</v>
      </c>
      <c r="AB26" s="630">
        <v>1</v>
      </c>
      <c r="AC26" s="630">
        <v>1</v>
      </c>
    </row>
    <row r="27" spans="1:29" ht="15">
      <c r="A27" s="318"/>
      <c r="B27" s="514" t="s">
        <v>2365</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3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36"/>
      <c r="Z27" s="1336" t="str">
        <f t="shared" ref="Z27:Z40" si="13">Q27</f>
        <v>临街状况</v>
      </c>
      <c r="AA27" s="1337">
        <f t="shared" si="3"/>
        <v>1</v>
      </c>
      <c r="AB27" s="1337">
        <f t="shared" si="4"/>
        <v>1</v>
      </c>
      <c r="AC27" s="1337">
        <f t="shared" si="5"/>
        <v>1</v>
      </c>
    </row>
    <row r="28" spans="1:29" ht="28.8">
      <c r="A28" s="318"/>
      <c r="B28" s="515" t="s">
        <v>2395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36"/>
      <c r="Q28" s="1334" t="str">
        <f t="shared" si="8"/>
        <v>毗邻道路的类型与等级</v>
      </c>
      <c r="R28" s="631" t="s">
        <v>25</v>
      </c>
      <c r="S28" s="632">
        <f t="shared" si="10"/>
        <v>100</v>
      </c>
      <c r="T28" s="631" t="s">
        <v>25</v>
      </c>
      <c r="U28" s="632">
        <f t="shared" si="11"/>
        <v>100</v>
      </c>
      <c r="V28" s="631" t="s">
        <v>25</v>
      </c>
      <c r="W28" s="632">
        <f t="shared" si="12"/>
        <v>100</v>
      </c>
      <c r="X28" s="1335"/>
      <c r="Y28" s="353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36"/>
      <c r="Q29" s="1334"/>
      <c r="R29" s="631"/>
      <c r="S29" s="632"/>
      <c r="T29" s="631"/>
      <c r="U29" s="632"/>
      <c r="V29" s="631"/>
      <c r="W29" s="632"/>
      <c r="X29" s="1335"/>
      <c r="Y29" s="3536"/>
      <c r="Z29" s="1336"/>
      <c r="AA29" s="1337">
        <v>1</v>
      </c>
      <c r="AB29" s="1337">
        <v>1</v>
      </c>
      <c r="AC29" s="1337">
        <v>1</v>
      </c>
    </row>
    <row r="30" spans="1:29" ht="15">
      <c r="A30" s="318"/>
      <c r="B30" s="535" t="s">
        <v>2456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36"/>
      <c r="Q30" s="1334" t="str">
        <f t="shared" si="8"/>
        <v>土地级别</v>
      </c>
      <c r="R30" s="631" t="s">
        <v>25</v>
      </c>
      <c r="S30" s="632">
        <f t="shared" si="10"/>
        <v>100</v>
      </c>
      <c r="T30" s="631" t="s">
        <v>25</v>
      </c>
      <c r="U30" s="632">
        <f t="shared" si="11"/>
        <v>100</v>
      </c>
      <c r="V30" s="631" t="s">
        <v>25</v>
      </c>
      <c r="W30" s="632">
        <f t="shared" si="12"/>
        <v>100</v>
      </c>
      <c r="X30" s="1335"/>
      <c r="Y30" s="353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36"/>
      <c r="Q31" s="1334">
        <f t="shared" si="8"/>
        <v>111</v>
      </c>
      <c r="R31" s="631" t="s">
        <v>25</v>
      </c>
      <c r="S31" s="632">
        <f t="shared" si="10"/>
        <v>100</v>
      </c>
      <c r="T31" s="631" t="s">
        <v>25</v>
      </c>
      <c r="U31" s="632">
        <f t="shared" si="11"/>
        <v>100</v>
      </c>
      <c r="V31" s="631" t="s">
        <v>25</v>
      </c>
      <c r="W31" s="632">
        <f t="shared" si="12"/>
        <v>100</v>
      </c>
      <c r="X31" s="1335"/>
      <c r="Y31" s="3536"/>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523" t="s">
        <v>2284</v>
      </c>
      <c r="Q32" s="1334">
        <f t="shared" si="8"/>
        <v>111</v>
      </c>
      <c r="R32" s="631" t="s">
        <v>25</v>
      </c>
      <c r="S32" s="632">
        <f t="shared" si="10"/>
        <v>100</v>
      </c>
      <c r="T32" s="631" t="s">
        <v>25</v>
      </c>
      <c r="U32" s="632">
        <f t="shared" si="11"/>
        <v>100</v>
      </c>
      <c r="V32" s="631" t="s">
        <v>25</v>
      </c>
      <c r="W32" s="632">
        <f t="shared" si="12"/>
        <v>100</v>
      </c>
      <c r="X32" s="1335"/>
      <c r="Y32" s="3524" t="s">
        <v>2284</v>
      </c>
      <c r="Z32" s="1336">
        <f t="shared" si="13"/>
        <v>111</v>
      </c>
      <c r="AA32" s="1337">
        <f t="shared" si="3"/>
        <v>1</v>
      </c>
      <c r="AB32" s="1337">
        <f t="shared" si="4"/>
        <v>1</v>
      </c>
      <c r="AC32" s="1337">
        <f t="shared" si="5"/>
        <v>1</v>
      </c>
    </row>
    <row r="33" spans="1:29" s="359" customFormat="1" ht="15.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24"/>
      <c r="Q33" s="1334">
        <f t="shared" si="8"/>
        <v>111</v>
      </c>
      <c r="R33" s="634" t="s">
        <v>25</v>
      </c>
      <c r="S33" s="635">
        <f t="shared" si="10"/>
        <v>100</v>
      </c>
      <c r="T33" s="634" t="s">
        <v>25</v>
      </c>
      <c r="U33" s="635">
        <f t="shared" si="11"/>
        <v>100</v>
      </c>
      <c r="V33" s="634" t="s">
        <v>25</v>
      </c>
      <c r="W33" s="635">
        <f t="shared" si="12"/>
        <v>100</v>
      </c>
      <c r="X33" s="636"/>
      <c r="Y33" s="3524"/>
      <c r="Z33" s="637">
        <f t="shared" si="13"/>
        <v>111</v>
      </c>
      <c r="AA33" s="1337">
        <f t="shared" si="3"/>
        <v>1</v>
      </c>
      <c r="AB33" s="1337">
        <f t="shared" si="4"/>
        <v>1</v>
      </c>
      <c r="AC33" s="1337">
        <f t="shared" si="5"/>
        <v>1</v>
      </c>
    </row>
    <row r="34" spans="1:29" ht="15.6">
      <c r="A34" s="360" t="s">
        <v>2282</v>
      </c>
      <c r="B34" s="345" t="s">
        <v>2457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24"/>
      <c r="Q34" s="1334" t="str">
        <f>B34</f>
        <v>宗地面积</v>
      </c>
      <c r="R34" s="631" t="s">
        <v>25</v>
      </c>
      <c r="S34" s="632" t="e">
        <f t="shared" si="10"/>
        <v>#N/A</v>
      </c>
      <c r="T34" s="631" t="s">
        <v>25</v>
      </c>
      <c r="U34" s="632" t="e">
        <f t="shared" si="11"/>
        <v>#N/A</v>
      </c>
      <c r="V34" s="631" t="s">
        <v>25</v>
      </c>
      <c r="W34" s="632" t="e">
        <f t="shared" si="12"/>
        <v>#N/A</v>
      </c>
      <c r="X34" s="1335"/>
      <c r="Y34" s="3524"/>
      <c r="Z34" s="1336" t="str">
        <f t="shared" si="13"/>
        <v>宗地面积</v>
      </c>
      <c r="AA34" s="1337" t="e">
        <f t="shared" si="3"/>
        <v>#N/A</v>
      </c>
      <c r="AB34" s="1337" t="e">
        <f t="shared" si="4"/>
        <v>#N/A</v>
      </c>
      <c r="AC34" s="1337" t="e">
        <f t="shared" si="5"/>
        <v>#N/A</v>
      </c>
    </row>
    <row r="35" spans="1:29" ht="15">
      <c r="A35" s="360"/>
      <c r="B35" s="313" t="s">
        <v>2458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24"/>
      <c r="Q35" s="1334" t="str">
        <f t="shared" ref="Q35:Q40" si="14">B35</f>
        <v>宗地形状</v>
      </c>
      <c r="R35" s="631" t="s">
        <v>25</v>
      </c>
      <c r="S35" s="632">
        <f t="shared" si="10"/>
        <v>100</v>
      </c>
      <c r="T35" s="631" t="s">
        <v>25</v>
      </c>
      <c r="U35" s="632">
        <f t="shared" si="11"/>
        <v>100</v>
      </c>
      <c r="V35" s="631" t="s">
        <v>25</v>
      </c>
      <c r="W35" s="632">
        <f t="shared" si="12"/>
        <v>100</v>
      </c>
      <c r="X35" s="1335"/>
      <c r="Y35" s="3524"/>
      <c r="Z35" s="1336" t="str">
        <f t="shared" si="13"/>
        <v>宗地形状</v>
      </c>
      <c r="AA35" s="1337">
        <f t="shared" si="3"/>
        <v>1</v>
      </c>
      <c r="AB35" s="1337">
        <f t="shared" si="4"/>
        <v>1</v>
      </c>
      <c r="AC35" s="1337">
        <f t="shared" si="5"/>
        <v>1</v>
      </c>
    </row>
    <row r="36" spans="1:29" s="25" customFormat="1" ht="15">
      <c r="A36" s="361"/>
      <c r="B36" s="313" t="s">
        <v>2460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24"/>
      <c r="Q36" s="1334" t="str">
        <f t="shared" si="14"/>
        <v>宗地开发程度</v>
      </c>
      <c r="R36" s="627" t="s">
        <v>25</v>
      </c>
      <c r="S36" s="628">
        <f t="shared" si="10"/>
        <v>100</v>
      </c>
      <c r="T36" s="627" t="s">
        <v>25</v>
      </c>
      <c r="U36" s="628">
        <f t="shared" si="11"/>
        <v>100</v>
      </c>
      <c r="V36" s="627" t="s">
        <v>25</v>
      </c>
      <c r="W36" s="628">
        <f t="shared" si="12"/>
        <v>100</v>
      </c>
      <c r="X36" s="629"/>
      <c r="Y36" s="3524"/>
      <c r="Z36" s="19" t="str">
        <f t="shared" si="13"/>
        <v>宗地开发程度</v>
      </c>
      <c r="AA36" s="630">
        <f t="shared" si="3"/>
        <v>1</v>
      </c>
      <c r="AB36" s="630">
        <f t="shared" si="4"/>
        <v>1</v>
      </c>
      <c r="AC36" s="630">
        <f t="shared" si="5"/>
        <v>1</v>
      </c>
    </row>
    <row r="37" spans="1:29" ht="15">
      <c r="A37" s="360"/>
      <c r="B37" s="313" t="s">
        <v>2461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24" t="s">
        <v>2284</v>
      </c>
      <c r="Q37" s="1334" t="str">
        <f t="shared" si="14"/>
        <v>工程地质条件</v>
      </c>
      <c r="R37" s="631" t="s">
        <v>25</v>
      </c>
      <c r="S37" s="632">
        <f t="shared" si="10"/>
        <v>100</v>
      </c>
      <c r="T37" s="631" t="s">
        <v>25</v>
      </c>
      <c r="U37" s="632">
        <f t="shared" si="11"/>
        <v>100</v>
      </c>
      <c r="V37" s="631" t="s">
        <v>25</v>
      </c>
      <c r="W37" s="632">
        <f t="shared" si="12"/>
        <v>100</v>
      </c>
      <c r="X37" s="1335"/>
      <c r="Y37" s="3524"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24"/>
      <c r="Q38" s="1334">
        <f t="shared" si="14"/>
        <v>111</v>
      </c>
      <c r="R38" s="631" t="s">
        <v>25</v>
      </c>
      <c r="S38" s="632">
        <f t="shared" si="10"/>
        <v>100</v>
      </c>
      <c r="T38" s="631" t="s">
        <v>25</v>
      </c>
      <c r="U38" s="632">
        <f t="shared" si="11"/>
        <v>100</v>
      </c>
      <c r="V38" s="631" t="s">
        <v>25</v>
      </c>
      <c r="W38" s="632">
        <f t="shared" si="12"/>
        <v>100</v>
      </c>
      <c r="X38" s="1335"/>
      <c r="Y38" s="3524"/>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24"/>
      <c r="Q39" s="1334">
        <f t="shared" si="14"/>
        <v>111</v>
      </c>
      <c r="R39" s="631" t="s">
        <v>25</v>
      </c>
      <c r="S39" s="632">
        <f t="shared" si="10"/>
        <v>100</v>
      </c>
      <c r="T39" s="631" t="s">
        <v>25</v>
      </c>
      <c r="U39" s="632">
        <f t="shared" si="11"/>
        <v>100</v>
      </c>
      <c r="V39" s="631" t="s">
        <v>25</v>
      </c>
      <c r="W39" s="632">
        <f t="shared" si="12"/>
        <v>100</v>
      </c>
      <c r="X39" s="1335"/>
      <c r="Y39" s="3524"/>
      <c r="Z39" s="1336">
        <f t="shared" si="13"/>
        <v>111</v>
      </c>
      <c r="AA39" s="1337">
        <f t="shared" si="3"/>
        <v>1</v>
      </c>
      <c r="AB39" s="1337">
        <f t="shared" si="4"/>
        <v>1</v>
      </c>
      <c r="AC39" s="1337">
        <f t="shared" si="5"/>
        <v>1</v>
      </c>
    </row>
    <row r="40" spans="1:29" s="359" customFormat="1" ht="15.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24"/>
      <c r="Q40" s="1334">
        <f t="shared" si="14"/>
        <v>111</v>
      </c>
      <c r="R40" s="634" t="s">
        <v>25</v>
      </c>
      <c r="S40" s="635">
        <f t="shared" si="10"/>
        <v>100</v>
      </c>
      <c r="T40" s="634" t="s">
        <v>25</v>
      </c>
      <c r="U40" s="635">
        <f t="shared" si="11"/>
        <v>100</v>
      </c>
      <c r="V40" s="634" t="s">
        <v>25</v>
      </c>
      <c r="W40" s="635">
        <f t="shared" si="12"/>
        <v>100</v>
      </c>
      <c r="X40" s="636"/>
      <c r="Y40" s="3524"/>
      <c r="Z40" s="637">
        <f t="shared" si="13"/>
        <v>111</v>
      </c>
      <c r="AA40" s="1337">
        <f t="shared" si="3"/>
        <v>1</v>
      </c>
      <c r="AB40" s="1337">
        <f t="shared" si="4"/>
        <v>1</v>
      </c>
      <c r="AC40" s="1337">
        <f t="shared" si="5"/>
        <v>1</v>
      </c>
    </row>
    <row r="41" spans="1:29" ht="14.4">
      <c r="A41" s="367" t="s">
        <v>2425</v>
      </c>
      <c r="B41" s="1591" t="s">
        <v>2500</v>
      </c>
      <c r="C41" s="562" t="s">
        <v>1</v>
      </c>
      <c r="D41" s="369"/>
      <c r="E41" s="370"/>
      <c r="F41" s="371"/>
      <c r="G41" s="372"/>
      <c r="H41" s="373"/>
      <c r="I41" s="370"/>
      <c r="J41" s="373"/>
      <c r="K41" s="640"/>
      <c r="L41" s="3039"/>
      <c r="M41" s="3028"/>
      <c r="N41" s="3028"/>
      <c r="P41" s="3518" t="str">
        <f>A41</f>
        <v>成交单价</v>
      </c>
      <c r="Q41" s="3518"/>
      <c r="R41" s="3551">
        <f>E41</f>
        <v>0</v>
      </c>
      <c r="S41" s="3551"/>
      <c r="T41" s="3551">
        <f>G41</f>
        <v>0</v>
      </c>
      <c r="U41" s="3551"/>
      <c r="V41" s="3551">
        <f>I41</f>
        <v>0</v>
      </c>
      <c r="W41" s="3551"/>
      <c r="X41" s="618"/>
      <c r="Y41" s="638"/>
      <c r="Z41" s="618"/>
      <c r="AA41" s="618"/>
      <c r="AB41" s="618"/>
      <c r="AC41" s="618"/>
    </row>
    <row r="42" spans="1:29" ht="15" thickBot="1">
      <c r="A42" s="374" t="s">
        <v>2378</v>
      </c>
      <c r="B42" s="563"/>
      <c r="C42" s="377" t="e">
        <f>R43</f>
        <v>#DIV/0!</v>
      </c>
      <c r="D42" s="1796" t="s">
        <v>2753</v>
      </c>
      <c r="E42" s="377" t="e">
        <f>R42</f>
        <v>#DIV/0!</v>
      </c>
      <c r="F42" s="1798"/>
      <c r="G42" s="376" t="e">
        <f>T42</f>
        <v>#DIV/0!</v>
      </c>
      <c r="H42" s="1798"/>
      <c r="I42" s="377" t="e">
        <f>V42</f>
        <v>#DIV/0!</v>
      </c>
      <c r="J42" s="1798"/>
      <c r="K42" s="2513">
        <f>F42+H42+J42</f>
        <v>0</v>
      </c>
      <c r="L42" s="3039"/>
      <c r="M42" s="3028"/>
      <c r="N42" s="3028"/>
      <c r="P42" s="3518" t="str">
        <f>A42</f>
        <v>比较价值（元/平方米）</v>
      </c>
      <c r="Q42" s="3518"/>
      <c r="R42" s="3566" t="e">
        <f>ROUND(PRODUCT(R41,AA7:AA40),0)</f>
        <v>#DIV/0!</v>
      </c>
      <c r="S42" s="3566"/>
      <c r="T42" s="3566" t="e">
        <f>ROUND(PRODUCT(T41,AB7:AB40),0)</f>
        <v>#DIV/0!</v>
      </c>
      <c r="U42" s="3566"/>
      <c r="V42" s="3566" t="e">
        <f>ROUND(PRODUCT(V41,AC7:AC40),0)</f>
        <v>#DIV/0!</v>
      </c>
      <c r="W42" s="3566"/>
      <c r="X42" s="618"/>
      <c r="Y42" s="618"/>
      <c r="Z42" s="618"/>
      <c r="AA42" s="618"/>
      <c r="AB42" s="618"/>
      <c r="AC42" s="618"/>
    </row>
    <row r="43" spans="1:29" ht="15" thickBot="1">
      <c r="A43" s="378" t="s">
        <v>2401</v>
      </c>
      <c r="B43" s="379"/>
      <c r="C43" s="380" t="e">
        <f>R43</f>
        <v>#DIV/0!</v>
      </c>
      <c r="D43" s="380"/>
      <c r="E43" s="380"/>
      <c r="F43" s="380"/>
      <c r="G43" s="380"/>
      <c r="H43" s="380"/>
      <c r="I43" s="380"/>
      <c r="J43" s="380"/>
      <c r="K43" s="641"/>
      <c r="L43" s="3039"/>
      <c r="M43" s="3028"/>
      <c r="N43" s="3028"/>
      <c r="P43" s="3520" t="str">
        <f>A43</f>
        <v>估价对象XX用房的比较价值（楼面单价，元/平方米）</v>
      </c>
      <c r="Q43" s="3521"/>
      <c r="R43" s="3565" t="e">
        <f>ROUND(IF(D42="简单平均",AVERAGE(R42:W42),R42*F42+T42*H42+V42*J42),0)</f>
        <v>#DIV/0!</v>
      </c>
      <c r="S43" s="3565"/>
      <c r="T43" s="3565"/>
      <c r="U43" s="3565"/>
      <c r="V43" s="3565"/>
      <c r="W43" s="3565"/>
      <c r="X43" s="618"/>
      <c r="Y43" s="618"/>
      <c r="Z43" s="618"/>
      <c r="AA43" s="618"/>
      <c r="AB43" s="618"/>
      <c r="AC43" s="618"/>
    </row>
    <row r="44" spans="1:29">
      <c r="G44" s="3042"/>
      <c r="M44" s="3028"/>
      <c r="N44" s="3028"/>
    </row>
    <row r="45" spans="1:29">
      <c r="M45" s="3028"/>
      <c r="N45" s="3028"/>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4.4" thickBot="1">
      <c r="B49" s="3041"/>
      <c r="C49" s="3044"/>
      <c r="K49" s="3043"/>
      <c r="L49" s="3040"/>
    </row>
    <row r="50" spans="1:17" ht="28.8">
      <c r="A50" s="564" t="s">
        <v>2463</v>
      </c>
      <c r="B50" s="565" t="s">
        <v>2464</v>
      </c>
      <c r="C50" s="1592" t="s">
        <v>2465</v>
      </c>
      <c r="D50" s="1593" t="s">
        <v>2466</v>
      </c>
      <c r="E50" s="566" t="s">
        <v>2467</v>
      </c>
      <c r="F50" s="567" t="s">
        <v>2468</v>
      </c>
      <c r="G50" s="1336" t="s">
        <v>2501</v>
      </c>
      <c r="H50" s="1336" t="str">
        <f>项目基本情况!G8</f>
        <v>XX</v>
      </c>
      <c r="I50" s="1310" t="s">
        <v>2470</v>
      </c>
      <c r="J50" s="958"/>
      <c r="K50" s="956"/>
    </row>
    <row r="51" spans="1:17" s="572" customFormat="1">
      <c r="A51" s="568" t="s">
        <v>2471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2472</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2473</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2474</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2475</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2476</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2477</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2478</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2479</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2480</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2481</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2024-9-1</v>
      </c>
      <c r="D63" s="1182">
        <f>EDATE(C63,-3)</f>
        <v>45444</v>
      </c>
      <c r="E63" s="1182">
        <f t="shared" ref="E63:O63" si="18">EDATE(D63,-3)</f>
        <v>45352</v>
      </c>
      <c r="F63" s="1182">
        <f t="shared" si="18"/>
        <v>45261</v>
      </c>
      <c r="G63" s="1182">
        <f t="shared" si="18"/>
        <v>45170</v>
      </c>
      <c r="H63" s="1182">
        <f t="shared" si="18"/>
        <v>45078</v>
      </c>
      <c r="I63" s="1182">
        <f t="shared" si="18"/>
        <v>44986</v>
      </c>
      <c r="J63" s="1182">
        <f t="shared" si="18"/>
        <v>44896</v>
      </c>
      <c r="K63" s="1182">
        <f t="shared" si="18"/>
        <v>44805</v>
      </c>
      <c r="L63" s="1182">
        <f t="shared" si="18"/>
        <v>44713</v>
      </c>
      <c r="M63" s="1182">
        <f t="shared" si="18"/>
        <v>44621</v>
      </c>
      <c r="N63" s="1182">
        <f t="shared" si="18"/>
        <v>44531</v>
      </c>
      <c r="O63" s="1182">
        <f t="shared" si="18"/>
        <v>44440</v>
      </c>
    </row>
    <row r="64" spans="1:17" ht="22.2" thickBot="1">
      <c r="A64" s="620" t="s">
        <v>2383</v>
      </c>
      <c r="B64" s="618"/>
      <c r="C64" s="621"/>
      <c r="D64" s="621"/>
      <c r="E64" s="621"/>
      <c r="F64" s="622"/>
      <c r="G64" s="622"/>
      <c r="H64" s="621"/>
      <c r="I64" s="963"/>
      <c r="J64" s="963"/>
      <c r="K64" s="961"/>
      <c r="L64" s="962"/>
      <c r="M64" s="963"/>
      <c r="N64" s="963"/>
      <c r="O64" s="963"/>
      <c r="P64" s="389"/>
      <c r="Q64" s="390"/>
    </row>
    <row r="65" spans="1:17" s="394" customFormat="1" ht="14.4">
      <c r="A65" s="1595" t="s">
        <v>2482</v>
      </c>
      <c r="B65" s="1126"/>
      <c r="C65" s="1183" t="str">
        <f>YEAR(C63)&amp;"-"&amp;ROUNDUP(MONTH(C63)/3,0)</f>
        <v>2024-3</v>
      </c>
      <c r="D65" s="1183" t="str">
        <f t="shared" ref="D65:O65" si="19">YEAR(D63)&amp;"-"&amp;ROUNDUP(MONTH(D63)/3,0)</f>
        <v>2024-2</v>
      </c>
      <c r="E65" s="1183" t="str">
        <f t="shared" si="19"/>
        <v>2024-1</v>
      </c>
      <c r="F65" s="1183" t="str">
        <f t="shared" si="19"/>
        <v>2023-4</v>
      </c>
      <c r="G65" s="1183" t="str">
        <f t="shared" si="19"/>
        <v>2023-3</v>
      </c>
      <c r="H65" s="1183" t="str">
        <f t="shared" si="19"/>
        <v>2023-2</v>
      </c>
      <c r="I65" s="1183" t="str">
        <f t="shared" si="19"/>
        <v>2023-1</v>
      </c>
      <c r="J65" s="1183" t="str">
        <f t="shared" si="19"/>
        <v>2022-4</v>
      </c>
      <c r="K65" s="1183" t="str">
        <f t="shared" si="19"/>
        <v>2022-3</v>
      </c>
      <c r="L65" s="1183" t="str">
        <f t="shared" si="19"/>
        <v>2022-2</v>
      </c>
      <c r="M65" s="1183" t="str">
        <f t="shared" si="19"/>
        <v>2022-1</v>
      </c>
      <c r="N65" s="1183" t="str">
        <f t="shared" si="19"/>
        <v>2021-4</v>
      </c>
      <c r="O65" s="1183" t="str">
        <f t="shared" si="19"/>
        <v>2021-3</v>
      </c>
      <c r="P65" s="393"/>
    </row>
    <row r="66" spans="1:17" s="25" customFormat="1" ht="33.75" customHeight="1">
      <c r="A66" s="1600" t="s">
        <v>2502</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 thickBot="1">
      <c r="A67" s="400" t="s">
        <v>2303</v>
      </c>
      <c r="B67" s="401"/>
      <c r="C67" s="402"/>
      <c r="D67" s="403"/>
      <c r="E67" s="403"/>
      <c r="F67" s="403"/>
      <c r="G67" s="403"/>
      <c r="H67" s="403"/>
      <c r="I67" s="403"/>
      <c r="J67" s="403"/>
      <c r="K67" s="403"/>
      <c r="L67" s="403"/>
      <c r="M67" s="404"/>
      <c r="N67" s="403"/>
      <c r="O67" s="1185"/>
      <c r="P67" s="390"/>
      <c r="Q67" s="390"/>
    </row>
    <row r="68" spans="1:17" s="25" customFormat="1" ht="14.4">
      <c r="A68" s="406" t="s">
        <v>2268</v>
      </c>
      <c r="B68" s="396"/>
      <c r="C68" s="407" t="s">
        <v>2269</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2306</v>
      </c>
      <c r="B70" s="413" t="s">
        <v>2272</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2275</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2277</v>
      </c>
      <c r="B83" s="413" t="s">
        <v>2410</v>
      </c>
      <c r="C83" s="461" t="s">
        <v>2315</v>
      </c>
      <c r="D83" s="461" t="s">
        <v>2316</v>
      </c>
      <c r="E83" s="461" t="s">
        <v>2317</v>
      </c>
      <c r="F83" s="461" t="s">
        <v>2318</v>
      </c>
      <c r="G83" s="461" t="s">
        <v>2319</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2320</v>
      </c>
      <c r="C85" s="466" t="s">
        <v>2315</v>
      </c>
      <c r="D85" s="466" t="s">
        <v>2316</v>
      </c>
      <c r="E85" s="466" t="s">
        <v>2317</v>
      </c>
      <c r="F85" s="466" t="s">
        <v>2318</v>
      </c>
      <c r="G85" s="466" t="s">
        <v>2319</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2485</v>
      </c>
      <c r="C87" s="461" t="s">
        <v>2315</v>
      </c>
      <c r="D87" s="461" t="s">
        <v>2316</v>
      </c>
      <c r="E87" s="461" t="s">
        <v>2317</v>
      </c>
      <c r="F87" s="461" t="s">
        <v>2318</v>
      </c>
      <c r="G87" s="461" t="s">
        <v>2319</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2486</v>
      </c>
      <c r="C89" s="461" t="s">
        <v>2315</v>
      </c>
      <c r="D89" s="461" t="s">
        <v>2316</v>
      </c>
      <c r="E89" s="461" t="s">
        <v>2317</v>
      </c>
      <c r="F89" s="461" t="s">
        <v>2318</v>
      </c>
      <c r="G89" s="461" t="s">
        <v>2319</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2363</v>
      </c>
      <c r="C91" s="461" t="s">
        <v>2315</v>
      </c>
      <c r="D91" s="461" t="s">
        <v>2316</v>
      </c>
      <c r="E91" s="461" t="s">
        <v>2317</v>
      </c>
      <c r="F91" s="461" t="s">
        <v>2318</v>
      </c>
      <c r="G91" s="461" t="s">
        <v>2319</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2364</v>
      </c>
      <c r="C93" s="426" t="s">
        <v>2322</v>
      </c>
      <c r="D93" s="426" t="s">
        <v>2323</v>
      </c>
      <c r="E93" s="426" t="s">
        <v>2324</v>
      </c>
      <c r="F93" s="426" t="s">
        <v>2325</v>
      </c>
      <c r="G93" s="426" t="s">
        <v>2326</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2487</v>
      </c>
      <c r="D95" s="426" t="s">
        <v>2488</v>
      </c>
      <c r="E95" s="426" t="s">
        <v>2489</v>
      </c>
      <c r="F95" s="426" t="s">
        <v>2490</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2395</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2456</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2282</v>
      </c>
      <c r="B107" s="413" t="s">
        <v>2491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2492</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2494</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2495</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zoomScaleSheetLayoutView="70" workbookViewId="0">
      <selection activeCell="O29" sqref="O29"/>
    </sheetView>
  </sheetViews>
  <sheetFormatPr defaultColWidth="9" defaultRowHeight="13.2"/>
  <cols>
    <col min="1" max="1" width="9.6640625" style="1624" customWidth="1"/>
    <col min="2" max="2" width="19.109375" style="1624" customWidth="1"/>
    <col min="3" max="3" width="12.44140625" style="1624" customWidth="1"/>
    <col min="4" max="4" width="12" style="1624" customWidth="1"/>
    <col min="5" max="5" width="14.6640625" style="1624" customWidth="1"/>
    <col min="6" max="8" width="12" style="1624" customWidth="1"/>
    <col min="9" max="9" width="12.109375" style="1624" bestFit="1" customWidth="1"/>
    <col min="10" max="10" width="12" style="1624" customWidth="1"/>
    <col min="11" max="11" width="9.44140625" style="1623" customWidth="1"/>
    <col min="12" max="12" width="12" style="1624" customWidth="1"/>
    <col min="13" max="13" width="8.44140625" style="1624" customWidth="1"/>
    <col min="14" max="14" width="9.6640625" style="1624" customWidth="1"/>
    <col min="15" max="25" width="12" style="1624" customWidth="1"/>
    <col min="26" max="26" width="9.33203125" style="1624" customWidth="1"/>
    <col min="27" max="32" width="9.33203125" style="2266" customWidth="1"/>
    <col min="33" max="38" width="9.33203125" style="1624" customWidth="1"/>
    <col min="39" max="16384" width="9" style="1624"/>
  </cols>
  <sheetData>
    <row r="1" spans="1:36" ht="31.2">
      <c r="A1" s="2096" t="s">
        <v>2503</v>
      </c>
      <c r="B1" s="2097"/>
      <c r="C1" s="2098" t="s">
        <v>2504</v>
      </c>
      <c r="D1" s="2099">
        <f>SUM(D29:D30,D33:D39)</f>
        <v>0</v>
      </c>
      <c r="E1" s="2099"/>
      <c r="F1" s="2099"/>
      <c r="G1" s="2099"/>
      <c r="H1" s="2099"/>
      <c r="I1" s="2099"/>
      <c r="J1" s="2099"/>
      <c r="K1" s="3052"/>
      <c r="L1" s="2100" t="s">
        <v>2505</v>
      </c>
      <c r="M1" s="2101">
        <f>SUMPRODUCT((区片价!B5:B9=I2)*(区片价!C3:F3=E2)*(区片价!C5:F9))</f>
        <v>0</v>
      </c>
      <c r="N1" s="2102">
        <f>SUMPRODUCT((因素修正幅度!B5:B9=I2)*(因素修正幅度!C3:F3=E2)*(因素修正幅度!C5:F9))</f>
        <v>0</v>
      </c>
      <c r="O1" s="3052"/>
      <c r="P1" s="3052"/>
      <c r="Q1" s="3052"/>
      <c r="R1" s="2103" t="s">
        <v>2506</v>
      </c>
      <c r="S1" s="2103" t="s">
        <v>2507</v>
      </c>
      <c r="T1" s="2103" t="s">
        <v>2508</v>
      </c>
      <c r="U1" s="2103" t="s">
        <v>2509</v>
      </c>
      <c r="V1" s="2103" t="s">
        <v>2510</v>
      </c>
      <c r="W1" s="2104"/>
      <c r="X1" s="2104"/>
      <c r="Y1" s="2104"/>
      <c r="Z1" s="2104"/>
      <c r="AA1" s="2104"/>
      <c r="AB1" s="2104"/>
      <c r="AC1" s="2104"/>
      <c r="AD1" s="2105"/>
      <c r="AE1" s="2105"/>
      <c r="AF1" s="2105"/>
      <c r="AG1" s="2105"/>
      <c r="AH1" s="2105"/>
      <c r="AI1" s="2105"/>
      <c r="AJ1" s="2106"/>
    </row>
    <row r="2" spans="1:36" ht="25.2">
      <c r="A2" s="1960" t="s">
        <v>2511</v>
      </c>
      <c r="B2" s="1659" t="e">
        <f>C26</f>
        <v>#DIV/0!</v>
      </c>
      <c r="C2" s="2107" t="s">
        <v>2512</v>
      </c>
      <c r="D2" s="1602" t="s">
        <v>2513</v>
      </c>
      <c r="E2" s="2108"/>
      <c r="F2" s="1602" t="s">
        <v>2514</v>
      </c>
      <c r="G2" s="2109">
        <f>项目基本情况!F9</f>
        <v>0</v>
      </c>
      <c r="H2" s="1603" t="s">
        <v>2515</v>
      </c>
      <c r="I2" s="2109">
        <f>项目基本情况!F10</f>
        <v>0</v>
      </c>
      <c r="J2" s="2110"/>
      <c r="K2" s="3052"/>
      <c r="L2" s="2111" t="s">
        <v>2516</v>
      </c>
      <c r="M2" s="2112">
        <f>SUMPRODUCT((区片价!B10:B28=I2)*(区片价!C3:F3=E2)*(区片价!C10:F28))</f>
        <v>0</v>
      </c>
      <c r="N2" s="2113">
        <f>SUMPRODUCT((因素修正幅度!B10:B28=I2)*(因素修正幅度!C3:F3=E2)*(因素修正幅度!C10:F28))</f>
        <v>0</v>
      </c>
      <c r="O2" s="3052"/>
      <c r="P2" s="3052"/>
      <c r="Q2" s="3052"/>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15.6">
      <c r="A3" s="1659" t="s">
        <v>2517</v>
      </c>
      <c r="B3" s="1659" t="e">
        <f>ROUND(B2/D1,0)</f>
        <v>#DIV/0!</v>
      </c>
      <c r="C3" s="2107" t="s">
        <v>2518</v>
      </c>
      <c r="D3" s="1602" t="s">
        <v>2519</v>
      </c>
      <c r="E3" s="2108"/>
      <c r="F3" s="1604" t="s">
        <v>2520</v>
      </c>
      <c r="G3" s="2115">
        <f>项目基本情况!C15</f>
        <v>0</v>
      </c>
      <c r="H3" s="50" t="s">
        <v>2521</v>
      </c>
      <c r="I3" s="2116"/>
      <c r="J3" s="2110" t="s">
        <v>2522</v>
      </c>
      <c r="K3" s="3052"/>
      <c r="L3" s="2111" t="s">
        <v>2523</v>
      </c>
      <c r="M3" s="2112">
        <f>SUMPRODUCT((区片价!B29:B48=I2)*(区片价!C3:F3=E2)*(区片价!C29:F48))</f>
        <v>0</v>
      </c>
      <c r="N3" s="2113">
        <f>SUMPRODUCT((因素修正幅度!B29:B48=I2)*(因素修正幅度!C3:F3=E2)*(因素修正幅度!C29:F48))</f>
        <v>0</v>
      </c>
      <c r="O3" s="3052"/>
      <c r="P3" s="3052"/>
      <c r="Q3" s="3052"/>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6">
      <c r="A4" s="3569"/>
      <c r="B4" s="3570"/>
      <c r="C4" s="3570"/>
      <c r="D4" s="3571"/>
      <c r="E4" s="3571"/>
      <c r="F4" s="3571"/>
      <c r="G4" s="3571"/>
      <c r="H4" s="3571"/>
      <c r="I4" s="3571"/>
      <c r="J4" s="3572"/>
      <c r="K4" s="3052"/>
      <c r="L4" s="2111" t="s">
        <v>2524</v>
      </c>
      <c r="M4" s="2112">
        <f>SUMPRODUCT((区片价!B49:B75=I2)*(区片价!C3:F3=E2)*(区片价!C49:F75))</f>
        <v>0</v>
      </c>
      <c r="N4" s="2113">
        <f>SUMPRODUCT((因素修正幅度!B49:B75=I2)*(因素修正幅度!C3:F3=E2)*(因素修正幅度!C49:F75))</f>
        <v>0</v>
      </c>
      <c r="O4" s="3052"/>
      <c r="P4" s="3052"/>
      <c r="Q4" s="3052"/>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6" thickBot="1">
      <c r="A5" s="1605" t="s">
        <v>2525</v>
      </c>
      <c r="B5" s="1605" t="s">
        <v>2526</v>
      </c>
      <c r="C5" s="2117" t="e">
        <f>ROUND(IF(E2="商业",C6*C7+C16,(IF(E2="住宅",C6*C12+C16,C6+C16))),0)</f>
        <v>#DIV/0!</v>
      </c>
      <c r="D5" s="2118" t="e">
        <f>ROUND(C6+C16,0)</f>
        <v>#DIV/0!</v>
      </c>
      <c r="E5" s="2118"/>
      <c r="F5" s="2119"/>
      <c r="G5" s="2120"/>
      <c r="H5" s="2120"/>
      <c r="I5" s="2120"/>
      <c r="J5" s="2077"/>
      <c r="K5" s="1667"/>
      <c r="L5" s="2111" t="s">
        <v>2527</v>
      </c>
      <c r="M5" s="2112">
        <f>SUMPRODUCT((区片价!B76:B109=I2)*(区片价!C3:F3=E2)*(区片价!C76:F109))</f>
        <v>0</v>
      </c>
      <c r="N5" s="2113">
        <f>SUMPRODUCT((因素修正幅度!B76:B109=I2)*(因素修正幅度!C3:F3=E2)*(因素修正幅度!C76:F109))</f>
        <v>0</v>
      </c>
      <c r="O5" s="3052"/>
      <c r="P5" s="3052"/>
      <c r="Q5" s="3052"/>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6" thickBot="1">
      <c r="A6" s="2125">
        <v>1</v>
      </c>
      <c r="B6" s="1606" t="s">
        <v>2528</v>
      </c>
      <c r="C6" s="2126">
        <f>SUMIF(L1:L12,G2,M1:M12)</f>
        <v>0</v>
      </c>
      <c r="D6" s="2127" t="s">
        <v>2529</v>
      </c>
      <c r="E6" s="1606"/>
      <c r="F6" s="1606"/>
      <c r="G6" s="2128"/>
      <c r="H6" s="2128"/>
      <c r="I6" s="2128"/>
      <c r="J6" s="2129"/>
      <c r="K6" s="3053"/>
      <c r="L6" s="2111" t="s">
        <v>2530</v>
      </c>
      <c r="M6" s="2112">
        <f>SUMPRODUCT((区片价!B110:B157=I2)*(区片价!C3:F3=E2)*(区片价!C110:F157))</f>
        <v>0</v>
      </c>
      <c r="N6" s="2113">
        <f>SUMPRODUCT((因素修正幅度!B110:B157=I2)*(因素修正幅度!C3:F3=E2)*(因素修正幅度!C110:F157))</f>
        <v>0</v>
      </c>
      <c r="O6" s="3052"/>
      <c r="P6" s="3052"/>
      <c r="Q6" s="3052"/>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73" t="str">
        <f>IF(E2="商业",IF(C8="不临58条商业街","",2),"")</f>
        <v/>
      </c>
      <c r="B7" s="1607" t="s">
        <v>2531</v>
      </c>
      <c r="C7" s="2130" t="e">
        <f>IF(C8="不临58条商业街",1,ROUND(1+(1.6*E8+1.2*E9+0.8*E10+0.4*E11)*C9,4))</f>
        <v>#DIV/0!</v>
      </c>
      <c r="D7" s="2131" t="s">
        <v>2532</v>
      </c>
      <c r="E7" s="2132"/>
      <c r="F7" s="2133"/>
      <c r="G7" s="2133"/>
      <c r="H7" s="2133"/>
      <c r="I7" s="2133"/>
      <c r="J7" s="2134"/>
      <c r="K7" s="3053"/>
      <c r="L7" s="2111" t="s">
        <v>2533</v>
      </c>
      <c r="M7" s="2112">
        <f>SUMPRODUCT((区片价!B158:B205=I2)*(区片价!C3:F3=E2)*(区片价!C158:F205))</f>
        <v>0</v>
      </c>
      <c r="N7" s="2113">
        <f>SUMPRODUCT((因素修正幅度!B158:B205=I2)*(因素修正幅度!C3:F3=E2)*(因素修正幅度!C158:F205))</f>
        <v>0</v>
      </c>
      <c r="O7" s="3052"/>
      <c r="P7" s="3052"/>
      <c r="Q7" s="3052"/>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2534</v>
      </c>
      <c r="X7" s="2136">
        <f>G2</f>
        <v>0</v>
      </c>
      <c r="Y7" s="2136" t="s">
        <v>2535</v>
      </c>
      <c r="Z7" s="2137">
        <f>G3</f>
        <v>0</v>
      </c>
      <c r="AA7" s="2104"/>
      <c r="AB7" s="2104"/>
      <c r="AC7" s="2104"/>
      <c r="AD7" s="2105"/>
      <c r="AE7" s="2105"/>
      <c r="AF7" s="2105"/>
      <c r="AG7" s="2105"/>
      <c r="AH7" s="2105"/>
      <c r="AI7" s="2105"/>
      <c r="AJ7" s="2106"/>
    </row>
    <row r="8" spans="1:36" ht="15">
      <c r="A8" s="3574"/>
      <c r="B8" s="50" t="s">
        <v>2536</v>
      </c>
      <c r="C8" s="2138"/>
      <c r="D8" s="65" t="s">
        <v>89</v>
      </c>
      <c r="E8" s="2139" t="e">
        <f>ROUND(C11/E7,4)</f>
        <v>#DIV/0!</v>
      </c>
      <c r="F8" s="2140" t="s">
        <v>2537</v>
      </c>
      <c r="G8" s="2141"/>
      <c r="H8" s="2141"/>
      <c r="I8" s="2141"/>
      <c r="J8" s="2142"/>
      <c r="K8" s="3052"/>
      <c r="L8" s="2111" t="s">
        <v>2538</v>
      </c>
      <c r="M8" s="2112">
        <f>SUMPRODUCT((区片价!B206:B244=I2)*(区片价!C3:F3=E2)*(区片价!C206:F244))</f>
        <v>0</v>
      </c>
      <c r="N8" s="2113">
        <f>SUMPRODUCT((因素修正幅度!B206:B244=I2)*(因素修正幅度!C3:F3=E2)*(因素修正幅度!C206:F244))</f>
        <v>0</v>
      </c>
      <c r="O8" s="3052"/>
      <c r="P8" s="3052"/>
      <c r="Q8" s="3052"/>
      <c r="R8" s="2103">
        <v>7</v>
      </c>
      <c r="S8" s="2114"/>
      <c r="T8" s="2103" t="e">
        <f t="shared" si="0"/>
        <v>#DIV/0!</v>
      </c>
      <c r="U8" s="2114"/>
      <c r="V8" s="2103" t="e">
        <f t="shared" si="1"/>
        <v>#DIV/0!</v>
      </c>
      <c r="W8" s="3567" t="s">
        <v>2539</v>
      </c>
      <c r="X8" s="3568"/>
      <c r="Y8" s="2143" t="s">
        <v>2540</v>
      </c>
      <c r="Z8" s="2143" t="s">
        <v>2541</v>
      </c>
      <c r="AA8" s="2143" t="s">
        <v>2542</v>
      </c>
      <c r="AB8" s="2143" t="s">
        <v>2543</v>
      </c>
      <c r="AC8" s="2143" t="s">
        <v>2544</v>
      </c>
      <c r="AD8" s="2143" t="s">
        <v>2545</v>
      </c>
      <c r="AE8" s="2143" t="s">
        <v>2546</v>
      </c>
      <c r="AF8" s="2143" t="s">
        <v>2547</v>
      </c>
      <c r="AG8" s="2143" t="s">
        <v>2548</v>
      </c>
      <c r="AH8" s="2143" t="s">
        <v>2549</v>
      </c>
      <c r="AI8" s="2143" t="s">
        <v>2550</v>
      </c>
      <c r="AJ8" s="2143" t="s">
        <v>2551</v>
      </c>
    </row>
    <row r="9" spans="1:36" ht="15">
      <c r="A9" s="3574"/>
      <c r="B9" s="50" t="s">
        <v>2552</v>
      </c>
      <c r="C9" s="2144">
        <f>SUMIF(修正!C59:C119,C8,修正!E59:E119)</f>
        <v>0</v>
      </c>
      <c r="D9" s="50" t="s">
        <v>90</v>
      </c>
      <c r="E9" s="50" t="e">
        <f>ROUND(C11/E7,4)</f>
        <v>#DIV/0!</v>
      </c>
      <c r="F9" s="2140" t="s">
        <v>2553</v>
      </c>
      <c r="G9" s="2141"/>
      <c r="H9" s="2141"/>
      <c r="I9" s="2141"/>
      <c r="J9" s="2142"/>
      <c r="K9" s="3052"/>
      <c r="L9" s="2111" t="s">
        <v>2554</v>
      </c>
      <c r="M9" s="2112">
        <f>SUMPRODUCT((区片价!B245:B289=I2)*(区片价!C3:F3=E2)*(区片价!C245:F289))</f>
        <v>0</v>
      </c>
      <c r="N9" s="2113">
        <f>SUMPRODUCT((因素修正幅度!B245:B289=I2)*(因素修正幅度!C3:F3=E2)*(因素修正幅度!C245:F289))</f>
        <v>0</v>
      </c>
      <c r="O9" s="3052"/>
      <c r="P9" s="3052"/>
      <c r="Q9" s="3052"/>
      <c r="R9" s="2103">
        <v>8</v>
      </c>
      <c r="S9" s="2114"/>
      <c r="T9" s="2103" t="e">
        <f t="shared" si="0"/>
        <v>#DIV/0!</v>
      </c>
      <c r="U9" s="2114"/>
      <c r="V9" s="2103" t="e">
        <f t="shared" si="1"/>
        <v>#DIV/0!</v>
      </c>
      <c r="W9" s="3568" t="s">
        <v>2555</v>
      </c>
      <c r="X9" s="2145" t="s">
        <v>2556</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74"/>
      <c r="B10" s="50" t="s">
        <v>2557</v>
      </c>
      <c r="C10" s="50">
        <f>SUMIF(修正!C59:C119,C8,修正!F59:F119)</f>
        <v>0</v>
      </c>
      <c r="D10" s="50" t="s">
        <v>91</v>
      </c>
      <c r="E10" s="50" t="e">
        <f>ROUND(C11/E7,4)</f>
        <v>#DIV/0!</v>
      </c>
      <c r="F10" s="2140" t="s">
        <v>2558</v>
      </c>
      <c r="G10" s="2141"/>
      <c r="H10" s="2141"/>
      <c r="I10" s="2141"/>
      <c r="J10" s="2142"/>
      <c r="K10" s="3052"/>
      <c r="L10" s="2111" t="s">
        <v>2559</v>
      </c>
      <c r="M10" s="2112">
        <f>SUMPRODUCT((区片价!B290:B316=I2)*(区片价!C3:F3=E2)*(区片价!C290:F316))</f>
        <v>0</v>
      </c>
      <c r="N10" s="2113">
        <f>SUMPRODUCT((因素修正幅度!B290:B316=I2)*(因素修正幅度!C3:F3=E2)*(因素修正幅度!C290:F316))</f>
        <v>0</v>
      </c>
      <c r="O10" s="3052"/>
      <c r="P10" s="3052"/>
      <c r="Q10" s="3052"/>
      <c r="R10" s="2103">
        <v>9</v>
      </c>
      <c r="S10" s="2114"/>
      <c r="T10" s="2103" t="e">
        <f t="shared" si="0"/>
        <v>#DIV/0!</v>
      </c>
      <c r="U10" s="2114"/>
      <c r="V10" s="2103" t="e">
        <f t="shared" si="1"/>
        <v>#DIV/0!</v>
      </c>
      <c r="W10" s="3568"/>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6" thickBot="1">
      <c r="A11" s="3574"/>
      <c r="B11" s="1608" t="s">
        <v>2560</v>
      </c>
      <c r="C11" s="1608">
        <f>C10/4</f>
        <v>0</v>
      </c>
      <c r="D11" s="1608" t="s">
        <v>92</v>
      </c>
      <c r="E11" s="1608" t="e">
        <f>ROUND(C11/E7,4)</f>
        <v>#DIV/0!</v>
      </c>
      <c r="F11" s="2149" t="s">
        <v>2561</v>
      </c>
      <c r="G11" s="2150"/>
      <c r="H11" s="2150"/>
      <c r="I11" s="2150"/>
      <c r="J11" s="2151"/>
      <c r="K11" s="3052"/>
      <c r="L11" s="2111" t="s">
        <v>2562</v>
      </c>
      <c r="M11" s="2112">
        <f>SUMPRODUCT((区片价!B317:B337=I2)*(区片价!C3:F3=E2)*(区片价!C317:F337))</f>
        <v>0</v>
      </c>
      <c r="N11" s="2113">
        <f>SUMPRODUCT((因素修正幅度!B317:B337=I2)*(因素修正幅度!C3:F3=E2)*(因素修正幅度!C317:F337))</f>
        <v>0</v>
      </c>
      <c r="O11" s="3052"/>
      <c r="P11" s="3052"/>
      <c r="Q11" s="3052"/>
      <c r="R11" s="2103">
        <v>10</v>
      </c>
      <c r="S11" s="2114"/>
      <c r="T11" s="2103" t="e">
        <f t="shared" si="0"/>
        <v>#DIV/0!</v>
      </c>
      <c r="U11" s="2114"/>
      <c r="V11" s="2103" t="e">
        <f t="shared" si="1"/>
        <v>#DIV/0!</v>
      </c>
      <c r="W11" s="3568" t="s">
        <v>2563</v>
      </c>
      <c r="X11" s="2152" t="s">
        <v>2564</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8" thickBot="1">
      <c r="A12" s="3573" t="str">
        <f>IF(E2="住宅",2,"")</f>
        <v/>
      </c>
      <c r="B12" s="1609" t="s">
        <v>2565</v>
      </c>
      <c r="C12" s="2130">
        <f>ROUND(C15*D15*E15*F15*G15*H15*I15*J15,4)</f>
        <v>1.32</v>
      </c>
      <c r="D12" s="2154" t="s">
        <v>2566</v>
      </c>
      <c r="E12" s="2155"/>
      <c r="F12" s="2155"/>
      <c r="G12" s="2155"/>
      <c r="H12" s="2155"/>
      <c r="I12" s="2155"/>
      <c r="J12" s="2156"/>
      <c r="K12" s="3052"/>
      <c r="L12" s="2157" t="s">
        <v>2567</v>
      </c>
      <c r="M12" s="2158">
        <f>SUMPRODUCT((区片价!B338:B344=I2)*(区片价!C3:F3=E2)*(区片价!C338:F344))</f>
        <v>0</v>
      </c>
      <c r="N12" s="2159">
        <f>SUMPRODUCT((因素修正幅度!B338:B344=I2)*(因素修正幅度!C3:F3=E2)*(因素修正幅度!C338:F344))</f>
        <v>0</v>
      </c>
      <c r="O12" s="3052"/>
      <c r="P12" s="3052"/>
      <c r="Q12" s="3052"/>
      <c r="R12" s="2103">
        <v>11</v>
      </c>
      <c r="S12" s="2114"/>
      <c r="T12" s="2103" t="e">
        <f t="shared" si="0"/>
        <v>#DIV/0!</v>
      </c>
      <c r="U12" s="2114"/>
      <c r="V12" s="2103" t="e">
        <f t="shared" si="1"/>
        <v>#DIV/0!</v>
      </c>
      <c r="W12" s="3568"/>
      <c r="X12" s="2160" t="s">
        <v>2568</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75"/>
      <c r="B13" s="1610" t="s">
        <v>2569</v>
      </c>
      <c r="C13" s="2161" t="s">
        <v>2570</v>
      </c>
      <c r="D13" s="1611" t="s">
        <v>2571</v>
      </c>
      <c r="E13" s="1611" t="s">
        <v>2572</v>
      </c>
      <c r="F13" s="264" t="s">
        <v>2573</v>
      </c>
      <c r="G13" s="2162" t="s">
        <v>2574</v>
      </c>
      <c r="H13" s="2162" t="s">
        <v>2574</v>
      </c>
      <c r="I13" s="2162" t="s">
        <v>2574</v>
      </c>
      <c r="J13" s="2163" t="s">
        <v>2574</v>
      </c>
      <c r="K13" s="3052"/>
      <c r="L13" s="3052"/>
      <c r="M13" s="3052"/>
      <c r="N13" s="3052"/>
      <c r="O13" s="3052"/>
      <c r="P13" s="3052"/>
      <c r="Q13" s="3052"/>
      <c r="R13" s="2103">
        <v>12</v>
      </c>
      <c r="S13" s="2114"/>
      <c r="T13" s="2103" t="e">
        <f t="shared" si="0"/>
        <v>#DIV/0!</v>
      </c>
      <c r="U13" s="2114"/>
      <c r="V13" s="2103" t="e">
        <f t="shared" si="1"/>
        <v>#DIV/0!</v>
      </c>
      <c r="W13" s="3568"/>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75"/>
      <c r="B14" s="1611"/>
      <c r="C14" s="2164" t="s">
        <v>2575</v>
      </c>
      <c r="D14" s="2165" t="s">
        <v>2576</v>
      </c>
      <c r="E14" s="2165" t="s">
        <v>2576</v>
      </c>
      <c r="F14" s="2166" t="s">
        <v>2577</v>
      </c>
      <c r="G14" s="2167" t="s">
        <v>2578</v>
      </c>
      <c r="H14" s="2168"/>
      <c r="I14" s="2169"/>
      <c r="J14" s="2170"/>
      <c r="K14" s="3052"/>
      <c r="L14" s="3052"/>
      <c r="M14" s="3052"/>
      <c r="N14" s="3052"/>
      <c r="O14" s="3052"/>
      <c r="P14" s="3052"/>
      <c r="Q14" s="3052"/>
      <c r="R14" s="2103">
        <v>13</v>
      </c>
      <c r="S14" s="2114"/>
      <c r="T14" s="2103" t="e">
        <f t="shared" si="0"/>
        <v>#DIV/0!</v>
      </c>
      <c r="U14" s="2114"/>
      <c r="V14" s="2103" t="e">
        <f t="shared" si="1"/>
        <v>#DIV/0!</v>
      </c>
      <c r="W14" s="2104"/>
      <c r="X14" s="2104"/>
      <c r="Y14" s="2104"/>
      <c r="Z14" s="2104"/>
      <c r="AA14" s="2104"/>
      <c r="AB14" s="2104"/>
      <c r="AC14" s="2104"/>
      <c r="AD14" s="2105"/>
      <c r="AE14" s="2105"/>
      <c r="AF14" s="2105"/>
      <c r="AG14" s="2105"/>
      <c r="AH14" s="2105"/>
      <c r="AI14" s="2105"/>
      <c r="AJ14" s="2106"/>
    </row>
    <row r="15" spans="1:36" ht="15.6" thickBot="1">
      <c r="A15" s="3576"/>
      <c r="B15" s="1612" t="s">
        <v>2579</v>
      </c>
      <c r="C15" s="2171">
        <f>IF(C14="有",1.1,1)</f>
        <v>1.1000000000000001</v>
      </c>
      <c r="D15" s="2171">
        <f>IF(D14="有",1.1,1)</f>
        <v>1</v>
      </c>
      <c r="E15" s="2171">
        <f>IF(E14="有",1.1,1)</f>
        <v>1</v>
      </c>
      <c r="F15" s="2171">
        <f>IF(F14="500米范围内",1.2,IF(F14="500-1000米",1.1,1))</f>
        <v>1.2</v>
      </c>
      <c r="G15" s="2172">
        <v>1</v>
      </c>
      <c r="H15" s="2172">
        <v>1</v>
      </c>
      <c r="I15" s="2172">
        <v>1</v>
      </c>
      <c r="J15" s="2173">
        <v>1</v>
      </c>
      <c r="K15" s="3052"/>
      <c r="L15" s="3052"/>
      <c r="M15" s="3052"/>
      <c r="N15" s="3052"/>
      <c r="O15" s="3052"/>
      <c r="P15" s="3052"/>
      <c r="Q15" s="3052"/>
      <c r="R15" s="2103">
        <v>14</v>
      </c>
      <c r="S15" s="2114"/>
      <c r="T15" s="2103" t="e">
        <f t="shared" si="0"/>
        <v>#DIV/0!</v>
      </c>
      <c r="U15" s="2114"/>
      <c r="V15" s="2103" t="e">
        <f t="shared" si="1"/>
        <v>#DIV/0!</v>
      </c>
      <c r="W15" s="2104"/>
      <c r="X15" s="2104"/>
      <c r="Y15" s="2104"/>
      <c r="Z15" s="2104"/>
      <c r="AA15" s="2104"/>
      <c r="AB15" s="2104"/>
      <c r="AC15" s="2104"/>
      <c r="AD15" s="2105"/>
      <c r="AE15" s="2105"/>
      <c r="AF15" s="2105"/>
      <c r="AG15" s="2105"/>
      <c r="AH15" s="2105"/>
      <c r="AI15" s="2105"/>
      <c r="AJ15" s="2106"/>
    </row>
    <row r="16" spans="1:36" ht="24.6" customHeight="1">
      <c r="A16" s="3577" t="b">
        <f>IF(E2="办公",2,IF(E2="工业",2,IF(E2="住宅",3,IF(E2="商业",IF(C8="不临58条商业街",2,3)))))</f>
        <v>0</v>
      </c>
      <c r="B16" s="1631" t="s">
        <v>2585</v>
      </c>
      <c r="C16" s="1607" t="e">
        <f>ROUND(IF(F17="与级别开发程度一致",0,(G17-E17)/C17),0)</f>
        <v>#DIV/0!</v>
      </c>
      <c r="D16" s="3590" t="s">
        <v>2589</v>
      </c>
      <c r="E16" s="3591"/>
      <c r="F16" s="3590" t="s">
        <v>2586</v>
      </c>
      <c r="G16" s="3591"/>
      <c r="H16" s="2174"/>
      <c r="I16" s="2174"/>
      <c r="J16" s="2175"/>
      <c r="K16" s="2174"/>
      <c r="L16" s="2174"/>
      <c r="M16" s="2174"/>
      <c r="N16" s="2174"/>
      <c r="O16" s="2176"/>
      <c r="P16" s="3052"/>
      <c r="Q16" s="3052"/>
      <c r="R16" s="2103">
        <v>15</v>
      </c>
      <c r="S16" s="2114"/>
      <c r="T16" s="2103" t="e">
        <f t="shared" si="0"/>
        <v>#DIV/0!</v>
      </c>
      <c r="U16" s="2114"/>
      <c r="V16" s="2103" t="e">
        <f t="shared" si="1"/>
        <v>#DIV/0!</v>
      </c>
      <c r="W16" s="2104"/>
      <c r="X16" s="2104"/>
      <c r="Y16" s="2104"/>
      <c r="Z16" s="2104"/>
      <c r="AA16" s="2104"/>
      <c r="AB16" s="2104"/>
      <c r="AC16" s="2104"/>
      <c r="AD16" s="2105"/>
      <c r="AE16" s="2105"/>
      <c r="AF16" s="2105"/>
      <c r="AG16" s="2105"/>
      <c r="AH16" s="2105"/>
      <c r="AI16" s="2105"/>
      <c r="AJ16" s="2106"/>
    </row>
    <row r="17" spans="1:35" ht="13.8" thickBot="1">
      <c r="A17" s="3578"/>
      <c r="B17" s="1632" t="s">
        <v>2588</v>
      </c>
      <c r="C17" s="2177">
        <f>SUMPRODUCT((修正!A2:A5=E2)*(修正!B1:M1=G2)*(修正!B2:M5))</f>
        <v>0</v>
      </c>
      <c r="D17" s="2171" t="str">
        <f>IF(OR(G2="八级",G2="九级",G2="十级",G2="十一级",G2="十二级"),"五通一平","七通一平")</f>
        <v>七通一平</v>
      </c>
      <c r="E17" s="2178">
        <f>SUMPRODUCT((修正!B1:M1=G2)*(修正!B15:M15))</f>
        <v>0</v>
      </c>
      <c r="F17" s="2179"/>
      <c r="G17" s="1621">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52"/>
      <c r="Q17" s="3052"/>
      <c r="R17" s="1623"/>
      <c r="S17" s="1623"/>
      <c r="T17" s="1623"/>
      <c r="U17" s="1623"/>
      <c r="V17" s="1623"/>
      <c r="W17" s="1623"/>
      <c r="X17" s="1623"/>
      <c r="Y17" s="1623"/>
      <c r="Z17" s="1623"/>
      <c r="AA17" s="1623"/>
      <c r="AB17" s="1623"/>
      <c r="AC17" s="1623"/>
      <c r="AD17" s="1623"/>
      <c r="AE17" s="1623"/>
      <c r="AF17" s="1623"/>
    </row>
    <row r="18" spans="1:35" s="2124" customFormat="1" ht="15" thickBot="1">
      <c r="A18" s="2182" t="s">
        <v>2591</v>
      </c>
      <c r="B18" s="1630" t="s">
        <v>2592</v>
      </c>
      <c r="C18" s="2183">
        <f>SUMIF(修正!C18:C39,E3,修正!E18:E39)</f>
        <v>0</v>
      </c>
      <c r="D18" s="2184"/>
      <c r="E18" s="2185"/>
      <c r="F18" s="2185"/>
      <c r="G18" s="2185"/>
      <c r="H18" s="2185"/>
      <c r="I18" s="2185"/>
      <c r="J18" s="2186"/>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4" customFormat="1" ht="29.4" thickBot="1">
      <c r="A19" s="2182" t="s">
        <v>2593</v>
      </c>
      <c r="B19" s="1613" t="s">
        <v>2594</v>
      </c>
      <c r="C19" s="2188">
        <f>ROUND(IF(H19="按公示增长率计算",SUMPRODUCT((地价!A3:A32=YEAR(G19)&amp;"-"&amp;ROUNDUP(MONTH(G19)/3,0))*(地价!X2:AB2=E2)*(地价!X3:AB32)),IF(H19="地价指数",M20/M19,(1+I19)^O19)),4)</f>
        <v>0</v>
      </c>
      <c r="D19" s="2189" t="s">
        <v>2595</v>
      </c>
      <c r="E19" s="2190">
        <v>41640</v>
      </c>
      <c r="F19" s="2189" t="s">
        <v>2596</v>
      </c>
      <c r="G19" s="2191">
        <f>'数据-取费表'!B2</f>
        <v>45558</v>
      </c>
      <c r="H19" s="2192" t="s">
        <v>2733</v>
      </c>
      <c r="I19" s="2193" t="str">
        <f>IF(H19="季度增幅（自定义）",SUMIF(N21:N24,E2,O21:O24),"")</f>
        <v/>
      </c>
      <c r="J19" s="2194"/>
      <c r="K19" s="3054"/>
      <c r="L19" s="2075" t="s">
        <v>2597</v>
      </c>
      <c r="M19" s="2195">
        <f>ROUND(SUMIF(地价!B2:F2,E2,地价!B32:F32),0)</f>
        <v>0</v>
      </c>
      <c r="N19" s="2196" t="s">
        <v>2598</v>
      </c>
      <c r="O19" s="2197">
        <f>ROUNDDOWN(DATEDIF(E19,G19,"M")/3,0)</f>
        <v>42</v>
      </c>
      <c r="P19" s="3052"/>
      <c r="Q19" s="3054"/>
      <c r="R19" s="3052"/>
      <c r="S19" s="3052"/>
      <c r="T19" s="3052"/>
      <c r="U19" s="3052"/>
      <c r="V19" s="3052"/>
      <c r="W19" s="3052"/>
      <c r="X19" s="1623"/>
      <c r="Y19" s="1623"/>
      <c r="Z19" s="1623"/>
      <c r="AA19" s="1623"/>
      <c r="AB19" s="1623"/>
      <c r="AC19" s="1623"/>
      <c r="AD19" s="1623"/>
      <c r="AE19" s="2187"/>
      <c r="AF19" s="2198"/>
      <c r="AG19" s="2199"/>
      <c r="AH19" s="1624"/>
    </row>
    <row r="20" spans="1:35" s="2124" customFormat="1" ht="29.4" thickBot="1">
      <c r="A20" s="1717" t="s">
        <v>2599</v>
      </c>
      <c r="B20" s="1614" t="s">
        <v>2600</v>
      </c>
      <c r="C20" s="2200" t="e">
        <f>ROUND(POWER(1+G20,J20-I20)*(POWER(1+G20,I20)-1)/(POWER(1+G20,J20)-1),4)</f>
        <v>#DIV/0!</v>
      </c>
      <c r="D20" s="2201" t="s">
        <v>2601</v>
      </c>
      <c r="E20" s="2202">
        <f ca="1">存贷款利率!D4/100</f>
        <v>4.3499999999999997E-2</v>
      </c>
      <c r="F20" s="2201" t="s">
        <v>2590</v>
      </c>
      <c r="G20" s="2203">
        <f>SUMIF(M26:P26,E2,M28:P28)</f>
        <v>0</v>
      </c>
      <c r="H20" s="2201" t="s">
        <v>2602</v>
      </c>
      <c r="I20" s="2204">
        <f>'数据-取费表'!B13</f>
        <v>-2024</v>
      </c>
      <c r="J20" s="2205">
        <f>IF(E2="住宅",70,IF(E2="商业",40,50))</f>
        <v>50</v>
      </c>
      <c r="K20" s="3054"/>
      <c r="L20" s="2206" t="s">
        <v>2603</v>
      </c>
      <c r="M20" s="2207">
        <f>ROUND(SUMPRODUCT((地价!A4:A32=YEAR(G19)&amp;"-"&amp;ROUNDUP(MONTH(G19)/3,0))*(地价!B2:F2=E2)*(地价!B4:F32)),0)</f>
        <v>0</v>
      </c>
      <c r="N20" s="2208" t="s">
        <v>2604</v>
      </c>
      <c r="O20" s="2209" t="s">
        <v>2605</v>
      </c>
      <c r="P20" s="2210" t="s">
        <v>2606</v>
      </c>
      <c r="Q20" s="3054"/>
      <c r="R20" s="3052"/>
      <c r="S20" s="3052"/>
      <c r="T20" s="3052"/>
      <c r="U20" s="3052"/>
      <c r="V20" s="3052"/>
      <c r="W20" s="3052"/>
      <c r="X20" s="1623"/>
      <c r="Y20" s="1623"/>
      <c r="Z20" s="1623"/>
      <c r="AA20" s="1623"/>
      <c r="AB20" s="1623"/>
      <c r="AC20" s="1623"/>
      <c r="AD20" s="1623"/>
      <c r="AE20" s="2187"/>
      <c r="AF20" s="2187"/>
    </row>
    <row r="21" spans="1:35" s="2124" customFormat="1" ht="14.4">
      <c r="A21" s="2211" t="s">
        <v>2607</v>
      </c>
      <c r="B21" s="1615" t="s">
        <v>2608</v>
      </c>
      <c r="C21" s="2212" t="b">
        <f>IF(B21="容积率修正",IF(G3&lt;=10,D22,J22),C23)</f>
        <v>0</v>
      </c>
      <c r="D21" s="2213"/>
      <c r="E21" s="2213"/>
      <c r="F21" s="2213"/>
      <c r="G21" s="2213"/>
      <c r="H21" s="2213"/>
      <c r="I21" s="2213"/>
      <c r="J21" s="2076"/>
      <c r="K21" s="3054"/>
      <c r="L21" s="3054"/>
      <c r="M21" s="3054"/>
      <c r="N21" s="2214" t="s">
        <v>2609</v>
      </c>
      <c r="O21" s="2215"/>
      <c r="P21" s="2216">
        <f>SUMPRODUCT((地价!A3:A32=YEAR(G19)&amp;"-"&amp;ROUNDUP(MONTH(G19)/3,0))*(地价!AD2:AH2=N21)*(地价!AD3:AH32))</f>
        <v>0</v>
      </c>
      <c r="Q21" s="3054"/>
      <c r="R21" s="3052"/>
      <c r="S21" s="3052"/>
      <c r="T21" s="3052"/>
      <c r="U21" s="3052"/>
      <c r="V21" s="3052"/>
      <c r="W21" s="3052"/>
      <c r="X21" s="1623"/>
      <c r="Y21" s="1623"/>
      <c r="Z21" s="1623"/>
      <c r="AA21" s="1623"/>
      <c r="AB21" s="1623"/>
      <c r="AC21" s="1623"/>
      <c r="AD21" s="1623"/>
      <c r="AE21" s="2187"/>
      <c r="AF21" s="2187"/>
    </row>
    <row r="22" spans="1:35" s="2124" customFormat="1" ht="14.4">
      <c r="A22" s="2072">
        <v>1</v>
      </c>
      <c r="B22" s="2071" t="s">
        <v>2610</v>
      </c>
      <c r="C22" s="2071" t="s">
        <v>2611</v>
      </c>
      <c r="D22" s="2071" t="b">
        <f>IF(E22=G22,F22,IF(G3&lt;=10,ROUND(F22+(H22-F22)*(G3-E22)/(G22-E22),4),"——"))</f>
        <v>0</v>
      </c>
      <c r="E22" s="2115">
        <f>ROUNDDOWN(G3,1)</f>
        <v>0</v>
      </c>
      <c r="F22" s="20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7" t="str">
        <f>IF(G3&gt;10,D113,"——")</f>
        <v>——</v>
      </c>
      <c r="K22" s="3054"/>
      <c r="L22" s="3054"/>
      <c r="M22" s="3054"/>
      <c r="N22" s="2214" t="s">
        <v>2612</v>
      </c>
      <c r="O22" s="2215"/>
      <c r="P22" s="2216">
        <f>SUMPRODUCT((地价!A3:A32=YEAR(G19)&amp;"-"&amp;ROUNDUP(MONTH(G19)/3,0))*(地价!AD2:AH2=N22)*(地价!AD3:AH32))</f>
        <v>0</v>
      </c>
      <c r="Q22" s="3054"/>
      <c r="R22" s="3052"/>
      <c r="S22" s="3052"/>
      <c r="T22" s="3052"/>
      <c r="U22" s="3052"/>
      <c r="V22" s="3052"/>
      <c r="W22" s="3052"/>
      <c r="X22" s="1623"/>
      <c r="Y22" s="1623"/>
      <c r="Z22" s="1623"/>
      <c r="AA22" s="1623"/>
      <c r="AB22" s="1623"/>
      <c r="AC22" s="1623"/>
      <c r="AD22" s="1623"/>
      <c r="AE22" s="2187"/>
      <c r="AF22" s="2187"/>
    </row>
    <row r="23" spans="1:35" ht="28.8">
      <c r="A23" s="2072">
        <v>2</v>
      </c>
      <c r="B23" s="2071" t="s">
        <v>2613</v>
      </c>
      <c r="C23" s="2218" t="e">
        <f>ROUND(IF(G3&gt;1,IF(I3&lt;7,SUMPRODUCT((B93:B98=I3)*(C92:N92=G2)*(C93:N98)),SUMIF(C92:N92,G2,C100:N100)),IF(I3&lt;7,SUMPRODUCT((B102:B107=I3)*(C92:N92=G2)*(C102:N107)),SUMIF(C92:N92,G2,C109:N109))),4)</f>
        <v>#DIV/0!</v>
      </c>
      <c r="D23" s="2168"/>
      <c r="E23" s="2168"/>
      <c r="F23" s="2219"/>
      <c r="G23" s="2220"/>
      <c r="H23" s="1620"/>
      <c r="I23" s="2071"/>
      <c r="J23" s="2217"/>
      <c r="K23" s="3052"/>
      <c r="L23" s="3052"/>
      <c r="M23" s="3052"/>
      <c r="N23" s="2214" t="s">
        <v>2614</v>
      </c>
      <c r="O23" s="2215"/>
      <c r="P23" s="2216">
        <f>SUMPRODUCT((地价!A3:A32=YEAR(G19)&amp;"-"&amp;ROUNDUP(MONTH(G19)/3,0))*(地价!AD2:AH2=N23)*(地价!AD3:AH32))</f>
        <v>0</v>
      </c>
      <c r="Q23" s="3052"/>
      <c r="R23" s="3052"/>
      <c r="S23" s="3052"/>
      <c r="T23" s="3052"/>
      <c r="U23" s="3052"/>
      <c r="V23" s="3052"/>
      <c r="W23" s="3052"/>
      <c r="X23" s="1623"/>
      <c r="Y23" s="1623"/>
      <c r="Z23" s="1623"/>
      <c r="AA23" s="1623"/>
      <c r="AB23" s="1623"/>
      <c r="AC23" s="1623"/>
      <c r="AD23" s="1623"/>
      <c r="AE23" s="1623"/>
      <c r="AF23" s="1623"/>
    </row>
    <row r="24" spans="1:35" s="2124" customFormat="1" ht="15" thickBot="1">
      <c r="A24" s="2221" t="s">
        <v>2615</v>
      </c>
      <c r="B24" s="1617" t="s">
        <v>2616</v>
      </c>
      <c r="C24" s="2222">
        <f>SUMIF(A46:A88,E2,B46:B88)</f>
        <v>0</v>
      </c>
      <c r="D24" s="2223"/>
      <c r="E24" s="2224"/>
      <c r="F24" s="2224"/>
      <c r="G24" s="2224"/>
      <c r="H24" s="2224"/>
      <c r="I24" s="2224"/>
      <c r="J24" s="2225"/>
      <c r="K24" s="3054"/>
      <c r="L24" s="3054"/>
      <c r="M24" s="3054"/>
      <c r="N24" s="2226" t="s">
        <v>2617</v>
      </c>
      <c r="O24" s="2227"/>
      <c r="P24" s="2228">
        <f>SUMPRODUCT((地价!A3:A32=YEAR(G19)&amp;"-"&amp;ROUNDUP(MONTH(G19)/3,0))*(地价!AD2:AH2=N24)*(地价!AD3:AH32))</f>
        <v>0</v>
      </c>
      <c r="Q24" s="3054"/>
      <c r="R24" s="3052"/>
      <c r="S24" s="3052"/>
      <c r="T24" s="3052"/>
      <c r="U24" s="3052"/>
      <c r="V24" s="3052"/>
      <c r="W24" s="3052"/>
      <c r="X24" s="1623"/>
      <c r="Y24" s="1623"/>
      <c r="Z24" s="1623"/>
      <c r="AA24" s="1623"/>
      <c r="AB24" s="1623"/>
      <c r="AC24" s="1623"/>
      <c r="AD24" s="1623"/>
      <c r="AE24" s="2187"/>
      <c r="AF24" s="2187"/>
    </row>
    <row r="25" spans="1:35" ht="15" thickBot="1">
      <c r="A25" s="1717" t="s">
        <v>2618</v>
      </c>
      <c r="B25" s="1618" t="s">
        <v>2619</v>
      </c>
      <c r="C25" s="2229"/>
      <c r="D25" s="2133"/>
      <c r="E25" s="2133"/>
      <c r="F25" s="2230"/>
      <c r="G25" s="2133"/>
      <c r="H25" s="2133"/>
      <c r="I25" s="2133"/>
      <c r="J25" s="2134"/>
      <c r="K25" s="3052"/>
      <c r="L25" s="3052"/>
      <c r="M25" s="3052"/>
      <c r="N25" s="3055" t="s">
        <v>2620</v>
      </c>
      <c r="O25" s="3056"/>
      <c r="P25" s="3057">
        <f>SUMPRODUCT((地价!A3:A32=YEAR(G19)&amp;"-"&amp;ROUNDUP(MONTH(G19)/3,0))*(地价!AD2:AH2=N25)*(地价!AD3:AH32))</f>
        <v>0</v>
      </c>
      <c r="Q25" s="3052"/>
      <c r="R25" s="3052"/>
      <c r="S25" s="3052"/>
      <c r="T25" s="3052"/>
      <c r="U25" s="3052"/>
      <c r="V25" s="3052"/>
      <c r="W25" s="3052"/>
      <c r="X25" s="1623"/>
      <c r="Y25" s="1623"/>
      <c r="Z25" s="1623"/>
      <c r="AA25" s="1623"/>
      <c r="AB25" s="1623"/>
      <c r="AC25" s="1623"/>
      <c r="AD25" s="1623"/>
      <c r="AE25" s="1623"/>
      <c r="AF25" s="1623"/>
    </row>
    <row r="26" spans="1:35" ht="14.4">
      <c r="A26" s="1702"/>
      <c r="B26" s="2071" t="s">
        <v>2621</v>
      </c>
      <c r="C26" s="2892" t="e">
        <f>IF(B21="容积率修正",E29+SUM(E33:E39),SUM(V2:V16)+SUM(E33:E39))</f>
        <v>#DIV/0!</v>
      </c>
      <c r="D26" s="2231"/>
      <c r="E26" s="2168"/>
      <c r="F26" s="1478"/>
      <c r="G26" s="2168"/>
      <c r="H26" s="2168"/>
      <c r="I26" s="2168"/>
      <c r="J26" s="2232"/>
      <c r="K26" s="3052"/>
      <c r="L26" s="3058" t="s">
        <v>2580</v>
      </c>
      <c r="M26" s="2131" t="s">
        <v>2581</v>
      </c>
      <c r="N26" s="2131" t="s">
        <v>2582</v>
      </c>
      <c r="O26" s="2131" t="s">
        <v>2583</v>
      </c>
      <c r="P26" s="3059" t="s">
        <v>2584</v>
      </c>
      <c r="Q26" s="3052"/>
      <c r="R26" s="3052"/>
      <c r="S26" s="3052"/>
      <c r="T26" s="3052"/>
      <c r="U26" s="3052"/>
      <c r="V26" s="3052"/>
      <c r="W26" s="3052"/>
      <c r="X26" s="1623"/>
      <c r="Y26" s="1623"/>
      <c r="Z26" s="1623"/>
      <c r="AA26" s="1623"/>
      <c r="AB26" s="1623"/>
      <c r="AC26" s="1623"/>
      <c r="AD26" s="1623"/>
      <c r="AE26" s="1623"/>
      <c r="AF26" s="1623"/>
    </row>
    <row r="27" spans="1:35" ht="15" thickBot="1">
      <c r="A27" s="1702"/>
      <c r="B27" s="1619" t="s">
        <v>2622</v>
      </c>
      <c r="C27" s="2233" t="e">
        <f>E30+SUM(I33:I39)</f>
        <v>#DIV/0!</v>
      </c>
      <c r="D27" s="2180"/>
      <c r="E27" s="2234"/>
      <c r="F27" s="2235"/>
      <c r="G27" s="2234"/>
      <c r="H27" s="2234"/>
      <c r="I27" s="2234"/>
      <c r="J27" s="2236"/>
      <c r="K27" s="3052"/>
      <c r="L27" s="2237" t="s">
        <v>2587</v>
      </c>
      <c r="M27" s="2144">
        <v>0.25</v>
      </c>
      <c r="N27" s="2144">
        <v>0.2</v>
      </c>
      <c r="O27" s="2144">
        <v>0.15</v>
      </c>
      <c r="P27" s="2238">
        <v>0.1</v>
      </c>
      <c r="Q27" s="3052"/>
      <c r="R27" s="3052"/>
      <c r="S27" s="3052"/>
      <c r="T27" s="3052"/>
      <c r="U27" s="3052"/>
      <c r="V27" s="3052"/>
      <c r="W27" s="3052"/>
      <c r="X27" s="1623"/>
      <c r="Y27" s="1623"/>
      <c r="Z27" s="1623"/>
      <c r="AA27" s="1623"/>
      <c r="AB27" s="1623"/>
      <c r="AC27" s="1623"/>
      <c r="AD27" s="1623"/>
      <c r="AE27" s="1623"/>
      <c r="AF27" s="1623"/>
    </row>
    <row r="28" spans="1:35" ht="15" thickBot="1">
      <c r="A28" s="1717"/>
      <c r="B28" s="2239" t="s">
        <v>2623</v>
      </c>
      <c r="C28" s="2240" t="s">
        <v>2624</v>
      </c>
      <c r="D28" s="2240" t="s">
        <v>2625</v>
      </c>
      <c r="E28" s="1618" t="s">
        <v>2626</v>
      </c>
      <c r="F28" s="2241"/>
      <c r="G28" s="2155"/>
      <c r="H28" s="2155"/>
      <c r="I28" s="2155"/>
      <c r="J28" s="2156"/>
      <c r="K28" s="3052"/>
      <c r="L28" s="2242" t="s">
        <v>2590</v>
      </c>
      <c r="M28" s="2243">
        <f ca="1">ROUND($E$20*(1+M27),3)</f>
        <v>5.3999999999999999E-2</v>
      </c>
      <c r="N28" s="2243">
        <f ca="1">ROUND($E$20*(1+N27),3)</f>
        <v>5.1999999999999998E-2</v>
      </c>
      <c r="O28" s="2243">
        <f ca="1">ROUND($E$20*(1+O27),3)</f>
        <v>0.05</v>
      </c>
      <c r="P28" s="2159">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ht="25.2">
      <c r="A29" s="2244"/>
      <c r="B29" s="1620" t="s">
        <v>2627</v>
      </c>
      <c r="C29" s="54" t="e">
        <f>ROUND(C5*C18*C19*C20*C21*C24,0)</f>
        <v>#DIV/0!</v>
      </c>
      <c r="D29" s="2245"/>
      <c r="E29" s="2030" t="e">
        <f>ROUND(C29*D29,0)</f>
        <v>#DIV/0!</v>
      </c>
      <c r="F29" s="2246" t="s">
        <v>2628</v>
      </c>
      <c r="G29" s="2247"/>
      <c r="H29" s="2247"/>
      <c r="I29" s="2247"/>
      <c r="J29" s="2248"/>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8" thickBot="1">
      <c r="A30" s="2249"/>
      <c r="B30" s="1621" t="s">
        <v>2629</v>
      </c>
      <c r="C30" s="2171" t="e">
        <f>ROUND(IF(E2="工业",C29*M39,C29*M38),0)</f>
        <v>#DIV/0!</v>
      </c>
      <c r="D30" s="2250"/>
      <c r="E30" s="2030" t="e">
        <f>ROUND(C30*D30,0)</f>
        <v>#DIV/0!</v>
      </c>
      <c r="F30" s="2251" t="s">
        <v>2630</v>
      </c>
      <c r="G30" s="2252"/>
      <c r="H30" s="2252"/>
      <c r="I30" s="2252"/>
      <c r="J30" s="2253"/>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4"/>
      <c r="B31" s="1622" t="s">
        <v>2631</v>
      </c>
      <c r="C31" s="2255" t="s">
        <v>2632</v>
      </c>
      <c r="D31" s="2155"/>
      <c r="E31" s="2255"/>
      <c r="F31" s="2255"/>
      <c r="G31" s="2154" t="s">
        <v>2633</v>
      </c>
      <c r="H31" s="2155"/>
      <c r="I31" s="2256"/>
      <c r="J31" s="2156"/>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36">
      <c r="A32" s="2244"/>
      <c r="B32" s="2257"/>
      <c r="C32" s="1810" t="s">
        <v>2624</v>
      </c>
      <c r="D32" s="1807" t="s">
        <v>2625</v>
      </c>
      <c r="E32" s="1807" t="s">
        <v>2626</v>
      </c>
      <c r="F32" s="50" t="s">
        <v>2634</v>
      </c>
      <c r="G32" s="2218" t="s">
        <v>2624</v>
      </c>
      <c r="H32" s="2218" t="s">
        <v>2625</v>
      </c>
      <c r="I32" s="2218" t="s">
        <v>2626</v>
      </c>
      <c r="J32" s="2068"/>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87" t="s">
        <v>2635</v>
      </c>
      <c r="B33" s="2258" t="s">
        <v>2636</v>
      </c>
      <c r="C33" s="54" t="e">
        <f>ROUND(D5*C19*C20*C24*F33,0)</f>
        <v>#DIV/0!</v>
      </c>
      <c r="D33" s="2245"/>
      <c r="E33" s="50" t="e">
        <f t="shared" ref="E33:E39" si="6">ROUND(C33*D33,0)</f>
        <v>#DIV/0!</v>
      </c>
      <c r="F33" s="50">
        <f>SUMIF(修正!A45:A56,G2,修正!B45:B56)</f>
        <v>0</v>
      </c>
      <c r="G33" s="50" t="e">
        <f t="shared" ref="G33" si="7">ROUND(IF(E2="工业",C33*$M$39,C33*$M$38),0)</f>
        <v>#DIV/0!</v>
      </c>
      <c r="H33" s="50">
        <f>D33</f>
        <v>0</v>
      </c>
      <c r="I33" s="50" t="e">
        <f t="shared" ref="I33:I39" si="8">ROUND(G33*H33,0)</f>
        <v>#DIV/0!</v>
      </c>
      <c r="J33" s="2232"/>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88"/>
      <c r="B34" s="2161" t="s">
        <v>2637</v>
      </c>
      <c r="C34" s="54" t="e">
        <f>ROUND(D5*C19*C20*C24*F34,0)</f>
        <v>#DIV/0!</v>
      </c>
      <c r="D34" s="2245"/>
      <c r="E34" s="50" t="e">
        <f t="shared" si="6"/>
        <v>#DIV/0!</v>
      </c>
      <c r="F34" s="50">
        <f>SUMIF(修正!A45:A56,G2,修正!C45:C56)</f>
        <v>0</v>
      </c>
      <c r="G34" s="50" t="e">
        <f>ROUND(IF(E2="工业",C34*$M$39,C34*$M$38),0)</f>
        <v>#DIV/0!</v>
      </c>
      <c r="H34" s="50">
        <f t="shared" ref="H34:H39" si="9">D34</f>
        <v>0</v>
      </c>
      <c r="I34" s="50" t="e">
        <f t="shared" si="8"/>
        <v>#DIV/0!</v>
      </c>
      <c r="J34" s="2232"/>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88"/>
      <c r="B35" s="2161" t="s">
        <v>2638</v>
      </c>
      <c r="C35" s="54" t="e">
        <f>ROUND(D5*C19*C20*C24*F35,0)</f>
        <v>#DIV/0!</v>
      </c>
      <c r="D35" s="2245"/>
      <c r="E35" s="50" t="e">
        <f t="shared" si="6"/>
        <v>#DIV/0!</v>
      </c>
      <c r="F35" s="50">
        <f>SUMIF(修正!A45:A56,G2,修正!D45:D56)</f>
        <v>0</v>
      </c>
      <c r="G35" s="50" t="e">
        <f>ROUND(IF(E2="工业",C35*$M$39,C35*$M$38),0)</f>
        <v>#DIV/0!</v>
      </c>
      <c r="H35" s="50">
        <f t="shared" si="9"/>
        <v>0</v>
      </c>
      <c r="I35" s="50" t="e">
        <f t="shared" si="8"/>
        <v>#DIV/0!</v>
      </c>
      <c r="J35" s="2232"/>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8" thickBot="1">
      <c r="A36" s="3589"/>
      <c r="B36" s="2161" t="s">
        <v>2639</v>
      </c>
      <c r="C36" s="54" t="e">
        <f>ROUND(D5*C19*C20*C24*F36,0)</f>
        <v>#DIV/0!</v>
      </c>
      <c r="D36" s="2245"/>
      <c r="E36" s="50" t="e">
        <f t="shared" si="6"/>
        <v>#DIV/0!</v>
      </c>
      <c r="F36" s="50">
        <f>SUMIF(修正!A45:A56,G2,修正!E45:E56)</f>
        <v>0</v>
      </c>
      <c r="G36" s="50" t="e">
        <f>ROUND(IF(E2="工业",C36*$M$39,C36*$M$38),0)</f>
        <v>#DIV/0!</v>
      </c>
      <c r="H36" s="50">
        <f t="shared" si="9"/>
        <v>0</v>
      </c>
      <c r="I36" s="50" t="e">
        <f t="shared" si="8"/>
        <v>#DIV/0!</v>
      </c>
      <c r="J36" s="2232"/>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59"/>
      <c r="B37" s="2161" t="s">
        <v>2640</v>
      </c>
      <c r="C37" s="50" t="e">
        <f>ROUND(D5*C19*C20*C24*F37,0)</f>
        <v>#DIV/0!</v>
      </c>
      <c r="D37" s="2245"/>
      <c r="E37" s="50" t="e">
        <f t="shared" si="6"/>
        <v>#DIV/0!</v>
      </c>
      <c r="F37" s="54">
        <f>SUMIF(修正!A45:A56,G2,修正!F45:F56)</f>
        <v>0</v>
      </c>
      <c r="G37" s="50" t="e">
        <f>ROUND(IF(E2="工业",C37*$M$39,C37*$M$38),0)</f>
        <v>#DIV/0!</v>
      </c>
      <c r="H37" s="50">
        <f t="shared" si="9"/>
        <v>0</v>
      </c>
      <c r="I37" s="50" t="e">
        <f t="shared" si="8"/>
        <v>#DIV/0!</v>
      </c>
      <c r="J37" s="2232"/>
      <c r="K37" s="3052"/>
      <c r="L37" s="2260" t="s">
        <v>2641</v>
      </c>
      <c r="M37" s="2134"/>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59"/>
      <c r="B38" s="2161" t="s">
        <v>2642</v>
      </c>
      <c r="C38" s="50" t="e">
        <f>ROUND(D5*C19*C41*C24*F38,0)</f>
        <v>#DIV/0!</v>
      </c>
      <c r="D38" s="2245"/>
      <c r="E38" s="50" t="e">
        <f t="shared" si="6"/>
        <v>#DIV/0!</v>
      </c>
      <c r="F38" s="54">
        <f>SUMIF(修正!A45:A56,G2,修正!G45:G56)</f>
        <v>0</v>
      </c>
      <c r="G38" s="50" t="e">
        <f>ROUND(IF(E2="工业",C38*$M$39,C38*$M$38),0)</f>
        <v>#DIV/0!</v>
      </c>
      <c r="H38" s="50">
        <f t="shared" si="9"/>
        <v>0</v>
      </c>
      <c r="I38" s="50" t="e">
        <f t="shared" si="8"/>
        <v>#DIV/0!</v>
      </c>
      <c r="J38" s="2232"/>
      <c r="K38" s="3052"/>
      <c r="L38" s="2261" t="s">
        <v>2643</v>
      </c>
      <c r="M38" s="2262">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8" thickBot="1">
      <c r="A39" s="2249"/>
      <c r="B39" s="2263" t="s">
        <v>2644</v>
      </c>
      <c r="C39" s="2171" t="e">
        <f>ROUND(D5*C19*C41*C24*F39,0)</f>
        <v>#DIV/0!</v>
      </c>
      <c r="D39" s="2250"/>
      <c r="E39" s="2171" t="e">
        <f t="shared" si="6"/>
        <v>#DIV/0!</v>
      </c>
      <c r="F39" s="56">
        <f>SUMIF(修正!A45:A56,G2,修正!H45:H56)</f>
        <v>0</v>
      </c>
      <c r="G39" s="2171" t="e">
        <f>ROUND(IF(E2="工业",C39*$M$39,C39*$M$38),0)</f>
        <v>#DIV/0!</v>
      </c>
      <c r="H39" s="2171">
        <f t="shared" si="9"/>
        <v>0</v>
      </c>
      <c r="I39" s="2171" t="e">
        <f t="shared" si="8"/>
        <v>#DIV/0!</v>
      </c>
      <c r="J39" s="2236"/>
      <c r="K39" s="3052"/>
      <c r="L39" s="2264" t="s">
        <v>2584</v>
      </c>
      <c r="M39" s="2265">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6"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6" customFormat="1" ht="24">
      <c r="A41" s="1623"/>
      <c r="B41" s="2267" t="s">
        <v>2724</v>
      </c>
      <c r="C41" s="50" t="e">
        <f>ROUND(POWER(1+E41,H41-G41)*(POWER(1+E41,G41)-1)/(POWER(1+E41,H41)-1),4)</f>
        <v>#DIV/0!</v>
      </c>
      <c r="D41" s="50" t="s">
        <v>2722</v>
      </c>
      <c r="E41" s="2268">
        <f>G20</f>
        <v>0</v>
      </c>
      <c r="F41" s="50" t="s">
        <v>2723</v>
      </c>
      <c r="G41" s="2269"/>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6"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6"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6"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6" customFormat="1" ht="15" thickBot="1">
      <c r="A45" s="2270" t="s">
        <v>2645</v>
      </c>
      <c r="B45" s="2271"/>
      <c r="C45" s="608"/>
      <c r="D45" s="608"/>
      <c r="E45" s="608"/>
      <c r="F45" s="608"/>
      <c r="G45" s="608"/>
      <c r="H45" s="608"/>
      <c r="I45" s="608"/>
      <c r="J45" s="608"/>
      <c r="K45" s="608"/>
      <c r="L45" s="608"/>
      <c r="M45" s="608"/>
      <c r="N45" s="2099"/>
      <c r="O45" s="1623"/>
      <c r="P45" s="1623"/>
      <c r="Q45" s="3052"/>
      <c r="R45" s="3052"/>
      <c r="S45" s="3052"/>
      <c r="T45" s="3052"/>
      <c r="U45" s="3052"/>
      <c r="V45" s="3052"/>
      <c r="W45" s="3052"/>
      <c r="X45" s="1623"/>
      <c r="Y45" s="1623"/>
      <c r="Z45" s="1623"/>
      <c r="AA45" s="1623"/>
      <c r="AB45" s="1623"/>
      <c r="AC45" s="1623"/>
      <c r="AD45" s="1623"/>
      <c r="AE45" s="1623"/>
      <c r="AF45" s="1623"/>
    </row>
    <row r="46" spans="1:33" s="2266" customFormat="1" ht="14.4">
      <c r="A46" s="2272" t="s">
        <v>2646</v>
      </c>
      <c r="B46" s="2273">
        <f>1+E48</f>
        <v>1</v>
      </c>
      <c r="C46" s="2274"/>
      <c r="D46" s="2275"/>
      <c r="E46" s="2276"/>
      <c r="F46" s="2277"/>
      <c r="G46" s="608"/>
      <c r="H46" s="608"/>
      <c r="I46" s="608"/>
      <c r="J46" s="608"/>
      <c r="K46" s="608"/>
      <c r="L46" s="608"/>
      <c r="M46" s="2099"/>
      <c r="N46" s="2278"/>
      <c r="O46" s="1623"/>
      <c r="P46" s="1623"/>
      <c r="Q46" s="3052"/>
      <c r="R46" s="3052"/>
      <c r="S46" s="3052"/>
      <c r="T46" s="3052"/>
      <c r="U46" s="3052"/>
      <c r="V46" s="3052"/>
      <c r="W46" s="3052"/>
      <c r="X46" s="1623"/>
      <c r="Y46" s="1623"/>
      <c r="Z46" s="1623"/>
      <c r="AA46" s="1623"/>
      <c r="AB46" s="1623"/>
      <c r="AC46" s="1623"/>
      <c r="AD46" s="1623"/>
      <c r="AE46" s="1623"/>
    </row>
    <row r="47" spans="1:33" s="2266" customFormat="1" ht="25.2">
      <c r="A47" s="2279" t="s">
        <v>2647</v>
      </c>
      <c r="B47" s="2280" t="s">
        <v>2648</v>
      </c>
      <c r="C47" s="2280" t="s">
        <v>2649</v>
      </c>
      <c r="D47" s="2280" t="s">
        <v>2650</v>
      </c>
      <c r="E47" s="2281" t="s">
        <v>2651</v>
      </c>
      <c r="F47" s="2231" t="s">
        <v>2652</v>
      </c>
      <c r="G47" s="2280" t="s">
        <v>2653</v>
      </c>
      <c r="H47" s="2282" t="s">
        <v>2654</v>
      </c>
      <c r="I47" s="2280" t="s">
        <v>2655</v>
      </c>
      <c r="J47" s="1905" t="s">
        <v>2656</v>
      </c>
      <c r="K47" s="1905" t="s">
        <v>2657</v>
      </c>
      <c r="L47" s="1905" t="s">
        <v>2658</v>
      </c>
      <c r="M47" s="1905" t="s">
        <v>2659</v>
      </c>
      <c r="N47" s="1905"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6" customFormat="1" ht="52.8">
      <c r="A48" s="2279" t="s">
        <v>2661</v>
      </c>
      <c r="B48" s="2283" t="str">
        <f>估价对象房地状况!C16</f>
        <v>估价对象位于XX商圈，周边商业氛围成熟，人流量大，商业繁华度好</v>
      </c>
      <c r="C48" s="2165"/>
      <c r="D48" s="2284">
        <f t="shared" ref="D48:D56" si="10">SUMIF($J$47:$N$47,C48,J48:N48)</f>
        <v>0</v>
      </c>
      <c r="E48" s="2285">
        <f>ROUND(SUM(D48:D56),4)</f>
        <v>0</v>
      </c>
      <c r="F48" s="2286" t="str">
        <f>IF(E2="商业",SUMIF(L1:L12,G2,N1:N12),"——")</f>
        <v>——</v>
      </c>
      <c r="G48" s="2287"/>
      <c r="H48" s="2288" t="str">
        <f t="shared" ref="H48:H56" si="11">IFERROR(ROUNDDOWN($F$48*I48/2,4),"——")</f>
        <v>——</v>
      </c>
      <c r="I48" s="2289">
        <v>0.33</v>
      </c>
      <c r="J48" s="2290">
        <f t="shared" ref="J48:J56" si="12">K48+$G48</f>
        <v>0</v>
      </c>
      <c r="K48" s="2290">
        <f t="shared" ref="K48:K56" si="13">$L48+$G48</f>
        <v>0</v>
      </c>
      <c r="L48" s="2290">
        <v>0</v>
      </c>
      <c r="M48" s="2290">
        <f t="shared" ref="M48:N56" si="14">L48-$G48</f>
        <v>0</v>
      </c>
      <c r="N48" s="2290">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6" customFormat="1" ht="79.2">
      <c r="A49" s="2279" t="s">
        <v>2662</v>
      </c>
      <c r="B49" s="2291" t="str">
        <f>估价对象房地状况!C18</f>
        <v>估价对象周边有顺2路、顺27路、顺28路、顺38路等多条公交线路，地铁15号线南法信站，综合评价交通便捷度较好</v>
      </c>
      <c r="C49" s="2165"/>
      <c r="D49" s="2284">
        <f t="shared" si="10"/>
        <v>0</v>
      </c>
      <c r="E49" s="2292"/>
      <c r="F49" s="2286"/>
      <c r="G49" s="2287"/>
      <c r="H49" s="2288" t="str">
        <f t="shared" si="11"/>
        <v>——</v>
      </c>
      <c r="I49" s="2289">
        <v>0.25</v>
      </c>
      <c r="J49" s="2290">
        <f t="shared" si="12"/>
        <v>0</v>
      </c>
      <c r="K49" s="2290">
        <f t="shared" si="13"/>
        <v>0</v>
      </c>
      <c r="L49" s="2290">
        <v>0</v>
      </c>
      <c r="M49" s="2290">
        <f t="shared" si="14"/>
        <v>0</v>
      </c>
      <c r="N49" s="2290">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6" customFormat="1" ht="24">
      <c r="A50" s="2279" t="s">
        <v>2663</v>
      </c>
      <c r="B50" s="2291">
        <f>估价对象房地状况!C19</f>
        <v>0</v>
      </c>
      <c r="C50" s="2165"/>
      <c r="D50" s="2284">
        <f t="shared" si="10"/>
        <v>0</v>
      </c>
      <c r="E50" s="2292"/>
      <c r="F50" s="2286"/>
      <c r="G50" s="2287"/>
      <c r="H50" s="2288" t="str">
        <f t="shared" si="11"/>
        <v>——</v>
      </c>
      <c r="I50" s="2289">
        <v>0.05</v>
      </c>
      <c r="J50" s="2290">
        <f t="shared" si="12"/>
        <v>0</v>
      </c>
      <c r="K50" s="2290">
        <f t="shared" si="13"/>
        <v>0</v>
      </c>
      <c r="L50" s="2290">
        <v>0</v>
      </c>
      <c r="M50" s="2290">
        <f t="shared" si="14"/>
        <v>0</v>
      </c>
      <c r="N50" s="2290">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6" customFormat="1" ht="50.4">
      <c r="A51" s="2279" t="s">
        <v>2664</v>
      </c>
      <c r="B51" s="2293" t="s">
        <v>2665</v>
      </c>
      <c r="C51" s="2165"/>
      <c r="D51" s="2284">
        <f t="shared" si="10"/>
        <v>0</v>
      </c>
      <c r="E51" s="2292"/>
      <c r="F51" s="2286"/>
      <c r="G51" s="2287"/>
      <c r="H51" s="2288" t="str">
        <f t="shared" si="11"/>
        <v>——</v>
      </c>
      <c r="I51" s="2289">
        <v>0.05</v>
      </c>
      <c r="J51" s="2290">
        <f t="shared" si="12"/>
        <v>0</v>
      </c>
      <c r="K51" s="2290">
        <f t="shared" si="13"/>
        <v>0</v>
      </c>
      <c r="L51" s="2290">
        <v>0</v>
      </c>
      <c r="M51" s="2290">
        <f t="shared" si="14"/>
        <v>0</v>
      </c>
      <c r="N51" s="2290">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6" customFormat="1" ht="26.4">
      <c r="A52" s="2279" t="s">
        <v>2666</v>
      </c>
      <c r="B52" s="2291" t="str">
        <f>估价对象房地状况!C24</f>
        <v>城市次干道——顺于路</v>
      </c>
      <c r="C52" s="2165"/>
      <c r="D52" s="2284">
        <f t="shared" si="10"/>
        <v>0</v>
      </c>
      <c r="E52" s="2292"/>
      <c r="F52" s="2286"/>
      <c r="G52" s="2287"/>
      <c r="H52" s="2288" t="str">
        <f t="shared" si="11"/>
        <v>——</v>
      </c>
      <c r="I52" s="2289">
        <v>0.08</v>
      </c>
      <c r="J52" s="2290">
        <f t="shared" si="12"/>
        <v>0</v>
      </c>
      <c r="K52" s="2290">
        <f t="shared" si="13"/>
        <v>0</v>
      </c>
      <c r="L52" s="2290">
        <v>0</v>
      </c>
      <c r="M52" s="2290">
        <f t="shared" si="14"/>
        <v>0</v>
      </c>
      <c r="N52" s="2290">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6" customFormat="1" ht="36">
      <c r="A53" s="2279" t="s">
        <v>2667</v>
      </c>
      <c r="B53" s="2294" t="s">
        <v>2668</v>
      </c>
      <c r="C53" s="2165"/>
      <c r="D53" s="2284">
        <f t="shared" si="10"/>
        <v>0</v>
      </c>
      <c r="E53" s="2292"/>
      <c r="F53" s="2286"/>
      <c r="G53" s="2287"/>
      <c r="H53" s="2288" t="str">
        <f t="shared" si="11"/>
        <v>——</v>
      </c>
      <c r="I53" s="2289">
        <v>0.03</v>
      </c>
      <c r="J53" s="2290">
        <f t="shared" si="12"/>
        <v>0</v>
      </c>
      <c r="K53" s="2290">
        <f t="shared" si="13"/>
        <v>0</v>
      </c>
      <c r="L53" s="2290">
        <v>0</v>
      </c>
      <c r="M53" s="2290">
        <f t="shared" si="14"/>
        <v>0</v>
      </c>
      <c r="N53" s="2290">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6" customFormat="1" ht="26.4">
      <c r="A54" s="2295" t="s">
        <v>2669</v>
      </c>
      <c r="B54" s="2296" t="str">
        <f>估价对象房地状况!C21</f>
        <v>估价对象所在区域公共配套设施较齐备</v>
      </c>
      <c r="C54" s="2165"/>
      <c r="D54" s="2284">
        <f t="shared" si="10"/>
        <v>0</v>
      </c>
      <c r="E54" s="2292"/>
      <c r="F54" s="2286"/>
      <c r="G54" s="2287"/>
      <c r="H54" s="2288" t="str">
        <f t="shared" si="11"/>
        <v>——</v>
      </c>
      <c r="I54" s="2289">
        <v>0.05</v>
      </c>
      <c r="J54" s="2290">
        <f t="shared" si="12"/>
        <v>0</v>
      </c>
      <c r="K54" s="2290">
        <f t="shared" si="13"/>
        <v>0</v>
      </c>
      <c r="L54" s="2290">
        <v>0</v>
      </c>
      <c r="M54" s="2290">
        <f t="shared" si="14"/>
        <v>0</v>
      </c>
      <c r="N54" s="2290">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6" customFormat="1" ht="24">
      <c r="A55" s="2295" t="s">
        <v>2670</v>
      </c>
      <c r="B55" s="2291" t="str">
        <f>估价对象房地状况!C22</f>
        <v>七通</v>
      </c>
      <c r="C55" s="2165"/>
      <c r="D55" s="2284">
        <f t="shared" si="10"/>
        <v>0</v>
      </c>
      <c r="E55" s="2292"/>
      <c r="F55" s="2286"/>
      <c r="G55" s="2287"/>
      <c r="H55" s="2288" t="str">
        <f t="shared" si="11"/>
        <v>——</v>
      </c>
      <c r="I55" s="2289">
        <v>0.1</v>
      </c>
      <c r="J55" s="2290">
        <f t="shared" si="12"/>
        <v>0</v>
      </c>
      <c r="K55" s="2290">
        <f t="shared" si="13"/>
        <v>0</v>
      </c>
      <c r="L55" s="2290">
        <v>0</v>
      </c>
      <c r="M55" s="2290">
        <f t="shared" si="14"/>
        <v>0</v>
      </c>
      <c r="N55" s="2290">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6" customFormat="1" ht="40.200000000000003" thickBot="1">
      <c r="A56" s="2297" t="s">
        <v>2671</v>
      </c>
      <c r="B56" s="2298" t="str">
        <f>估价对象房地状况!C20</f>
        <v>区域自然环境：小中河；综合评价环境状况一般</v>
      </c>
      <c r="C56" s="2165"/>
      <c r="D56" s="2284">
        <f t="shared" si="10"/>
        <v>0</v>
      </c>
      <c r="E56" s="2299"/>
      <c r="F56" s="2286"/>
      <c r="G56" s="2287"/>
      <c r="H56" s="2288" t="str">
        <f t="shared" si="11"/>
        <v>——</v>
      </c>
      <c r="I56" s="2300">
        <v>0.06</v>
      </c>
      <c r="J56" s="2290">
        <f t="shared" si="12"/>
        <v>0</v>
      </c>
      <c r="K56" s="2290">
        <f t="shared" si="13"/>
        <v>0</v>
      </c>
      <c r="L56" s="2290">
        <v>0</v>
      </c>
      <c r="M56" s="2290">
        <f t="shared" si="14"/>
        <v>0</v>
      </c>
      <c r="N56" s="2290">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6" customFormat="1" ht="14.4">
      <c r="A57" s="2272" t="s">
        <v>2672</v>
      </c>
      <c r="B57" s="2301">
        <f>1+E59</f>
        <v>1</v>
      </c>
      <c r="C57" s="2275"/>
      <c r="D57" s="2275"/>
      <c r="E57" s="2276"/>
      <c r="F57" s="2277"/>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6" customFormat="1" ht="25.2">
      <c r="A58" s="2279" t="s">
        <v>2647</v>
      </c>
      <c r="B58" s="2291"/>
      <c r="C58" s="2280" t="s">
        <v>2649</v>
      </c>
      <c r="D58" s="2280" t="s">
        <v>2650</v>
      </c>
      <c r="E58" s="2281" t="s">
        <v>2651</v>
      </c>
      <c r="F58" s="2231" t="s">
        <v>2652</v>
      </c>
      <c r="G58" s="2280" t="s">
        <v>2673</v>
      </c>
      <c r="H58" s="2282" t="s">
        <v>2674</v>
      </c>
      <c r="I58" s="2280" t="s">
        <v>2675</v>
      </c>
      <c r="J58" s="1905" t="s">
        <v>2315</v>
      </c>
      <c r="K58" s="1905" t="s">
        <v>2316</v>
      </c>
      <c r="L58" s="1905" t="s">
        <v>2317</v>
      </c>
      <c r="M58" s="1905" t="s">
        <v>2318</v>
      </c>
      <c r="N58" s="1905" t="s">
        <v>2319</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6" customFormat="1" ht="52.8">
      <c r="A59" s="2279" t="s">
        <v>2676</v>
      </c>
      <c r="B59" s="2283" t="str">
        <f>估价对象房地状况!C17</f>
        <v>估价对象位于XX商圈，周边办公楼项目较多，入驻率高，办公集聚程度较好</v>
      </c>
      <c r="C59" s="2165"/>
      <c r="D59" s="2284">
        <f t="shared" ref="D59:D67" si="15">SUMIF($J$58:$N$58,C59,J59:N59)</f>
        <v>0</v>
      </c>
      <c r="E59" s="2285">
        <f>ROUND(SUM(D59:D67),4)</f>
        <v>0</v>
      </c>
      <c r="F59" s="2286" t="str">
        <f>IF(E2="办公",SUMIF(L1:L12,G2,N1:N12),"——")</f>
        <v>——</v>
      </c>
      <c r="G59" s="2287"/>
      <c r="H59" s="2288" t="str">
        <f t="shared" ref="H59:H67" si="16">IFERROR(ROUNDDOWN($F$59*I59/2,4),"——")</f>
        <v>——</v>
      </c>
      <c r="I59" s="2289">
        <v>0.24</v>
      </c>
      <c r="J59" s="2290">
        <f t="shared" ref="J59:J67" si="17">K59+$G59</f>
        <v>0</v>
      </c>
      <c r="K59" s="2290">
        <f t="shared" ref="K59:K67" si="18">$L59+$G59</f>
        <v>0</v>
      </c>
      <c r="L59" s="2290">
        <v>0</v>
      </c>
      <c r="M59" s="2290">
        <f t="shared" ref="M59:N67" si="19">L59-$G59</f>
        <v>0</v>
      </c>
      <c r="N59" s="2290">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6" customFormat="1" ht="79.2">
      <c r="A60" s="2279" t="s">
        <v>2662</v>
      </c>
      <c r="B60" s="2291" t="str">
        <f>估价对象房地状况!C18</f>
        <v>估价对象周边有顺2路、顺27路、顺28路、顺38路等多条公交线路，地铁15号线南法信站，综合评价交通便捷度较好</v>
      </c>
      <c r="C60" s="2165"/>
      <c r="D60" s="2284">
        <f t="shared" si="15"/>
        <v>0</v>
      </c>
      <c r="E60" s="2292"/>
      <c r="F60" s="2286"/>
      <c r="G60" s="2287"/>
      <c r="H60" s="2288" t="str">
        <f t="shared" si="16"/>
        <v>——</v>
      </c>
      <c r="I60" s="2289">
        <v>0.3</v>
      </c>
      <c r="J60" s="2290">
        <f t="shared" si="17"/>
        <v>0</v>
      </c>
      <c r="K60" s="2290">
        <f t="shared" si="18"/>
        <v>0</v>
      </c>
      <c r="L60" s="2290">
        <v>0</v>
      </c>
      <c r="M60" s="2290">
        <f t="shared" si="19"/>
        <v>0</v>
      </c>
      <c r="N60" s="2290">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6" customFormat="1" ht="24">
      <c r="A61" s="2279" t="s">
        <v>2663</v>
      </c>
      <c r="B61" s="2291">
        <f>估价对象房地状况!C19</f>
        <v>0</v>
      </c>
      <c r="C61" s="2165"/>
      <c r="D61" s="2284">
        <f t="shared" si="15"/>
        <v>0</v>
      </c>
      <c r="E61" s="2292"/>
      <c r="F61" s="2286"/>
      <c r="G61" s="2287"/>
      <c r="H61" s="2288" t="str">
        <f t="shared" si="16"/>
        <v>——</v>
      </c>
      <c r="I61" s="2289">
        <v>0.08</v>
      </c>
      <c r="J61" s="2290">
        <f t="shared" si="17"/>
        <v>0</v>
      </c>
      <c r="K61" s="2290">
        <f t="shared" si="18"/>
        <v>0</v>
      </c>
      <c r="L61" s="2290">
        <v>0</v>
      </c>
      <c r="M61" s="2290">
        <f t="shared" si="19"/>
        <v>0</v>
      </c>
      <c r="N61" s="2290">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6" customFormat="1" ht="50.4">
      <c r="A62" s="2279" t="s">
        <v>2664</v>
      </c>
      <c r="B62" s="2293" t="s">
        <v>2665</v>
      </c>
      <c r="C62" s="2165"/>
      <c r="D62" s="2284">
        <f t="shared" si="15"/>
        <v>0</v>
      </c>
      <c r="E62" s="2292"/>
      <c r="F62" s="2286"/>
      <c r="G62" s="2287"/>
      <c r="H62" s="2288" t="str">
        <f t="shared" si="16"/>
        <v>——</v>
      </c>
      <c r="I62" s="2289">
        <v>0.04</v>
      </c>
      <c r="J62" s="2290">
        <f t="shared" si="17"/>
        <v>0</v>
      </c>
      <c r="K62" s="2290">
        <f t="shared" si="18"/>
        <v>0</v>
      </c>
      <c r="L62" s="2290">
        <v>0</v>
      </c>
      <c r="M62" s="2290">
        <f t="shared" si="19"/>
        <v>0</v>
      </c>
      <c r="N62" s="2290">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6" customFormat="1" ht="26.4">
      <c r="A63" s="2279" t="s">
        <v>2666</v>
      </c>
      <c r="B63" s="2291" t="str">
        <f>估价对象房地状况!C24</f>
        <v>城市次干道——顺于路</v>
      </c>
      <c r="C63" s="2165"/>
      <c r="D63" s="2284">
        <f t="shared" si="15"/>
        <v>0</v>
      </c>
      <c r="E63" s="2292"/>
      <c r="F63" s="2286"/>
      <c r="G63" s="2287"/>
      <c r="H63" s="2288" t="str">
        <f t="shared" si="16"/>
        <v>——</v>
      </c>
      <c r="I63" s="2289">
        <v>0.05</v>
      </c>
      <c r="J63" s="2290">
        <f t="shared" si="17"/>
        <v>0</v>
      </c>
      <c r="K63" s="2290">
        <f t="shared" si="18"/>
        <v>0</v>
      </c>
      <c r="L63" s="2290">
        <v>0</v>
      </c>
      <c r="M63" s="2290">
        <f t="shared" si="19"/>
        <v>0</v>
      </c>
      <c r="N63" s="2290">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6" customFormat="1" ht="36">
      <c r="A64" s="2279" t="s">
        <v>2667</v>
      </c>
      <c r="B64" s="2294" t="s">
        <v>2668</v>
      </c>
      <c r="C64" s="2165"/>
      <c r="D64" s="2284">
        <f t="shared" si="15"/>
        <v>0</v>
      </c>
      <c r="E64" s="2292"/>
      <c r="F64" s="2286"/>
      <c r="G64" s="2287"/>
      <c r="H64" s="2288" t="str">
        <f t="shared" si="16"/>
        <v>——</v>
      </c>
      <c r="I64" s="2289">
        <v>0.05</v>
      </c>
      <c r="J64" s="2290">
        <f t="shared" si="17"/>
        <v>0</v>
      </c>
      <c r="K64" s="2290">
        <f t="shared" si="18"/>
        <v>0</v>
      </c>
      <c r="L64" s="2290">
        <v>0</v>
      </c>
      <c r="M64" s="2290">
        <f t="shared" si="19"/>
        <v>0</v>
      </c>
      <c r="N64" s="2290">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6" customFormat="1" ht="26.4">
      <c r="A65" s="2279" t="s">
        <v>2669</v>
      </c>
      <c r="B65" s="2296" t="str">
        <f>估价对象房地状况!C21</f>
        <v>估价对象所在区域公共配套设施较齐备</v>
      </c>
      <c r="C65" s="2165"/>
      <c r="D65" s="2284">
        <f t="shared" si="15"/>
        <v>0</v>
      </c>
      <c r="E65" s="2292"/>
      <c r="F65" s="2286"/>
      <c r="G65" s="2287"/>
      <c r="H65" s="2288" t="str">
        <f t="shared" si="16"/>
        <v>——</v>
      </c>
      <c r="I65" s="2289">
        <v>0.06</v>
      </c>
      <c r="J65" s="2290">
        <f t="shared" si="17"/>
        <v>0</v>
      </c>
      <c r="K65" s="2290">
        <f t="shared" si="18"/>
        <v>0</v>
      </c>
      <c r="L65" s="2290">
        <v>0</v>
      </c>
      <c r="M65" s="2290">
        <f t="shared" si="19"/>
        <v>0</v>
      </c>
      <c r="N65" s="2290">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6" customFormat="1" ht="24">
      <c r="A66" s="2279" t="s">
        <v>2670</v>
      </c>
      <c r="B66" s="2296" t="str">
        <f>估价对象房地状况!C22</f>
        <v>七通</v>
      </c>
      <c r="C66" s="2165"/>
      <c r="D66" s="2284">
        <f t="shared" si="15"/>
        <v>0</v>
      </c>
      <c r="E66" s="2292"/>
      <c r="F66" s="2286"/>
      <c r="G66" s="2287"/>
      <c r="H66" s="2288" t="str">
        <f t="shared" si="16"/>
        <v>——</v>
      </c>
      <c r="I66" s="2289">
        <v>0.12</v>
      </c>
      <c r="J66" s="2290">
        <f t="shared" si="17"/>
        <v>0</v>
      </c>
      <c r="K66" s="2290">
        <f t="shared" si="18"/>
        <v>0</v>
      </c>
      <c r="L66" s="2290">
        <v>0</v>
      </c>
      <c r="M66" s="2290">
        <f t="shared" si="19"/>
        <v>0</v>
      </c>
      <c r="N66" s="2290">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6" customFormat="1" ht="40.200000000000003" thickBot="1">
      <c r="A67" s="2297" t="s">
        <v>2671</v>
      </c>
      <c r="B67" s="2302" t="str">
        <f>估价对象房地状况!C20</f>
        <v>区域自然环境：小中河；综合评价环境状况一般</v>
      </c>
      <c r="C67" s="2165"/>
      <c r="D67" s="2284">
        <f t="shared" si="15"/>
        <v>0</v>
      </c>
      <c r="E67" s="2299"/>
      <c r="F67" s="2286"/>
      <c r="G67" s="2287"/>
      <c r="H67" s="2288" t="str">
        <f t="shared" si="16"/>
        <v>——</v>
      </c>
      <c r="I67" s="2300">
        <v>0.06</v>
      </c>
      <c r="J67" s="2290">
        <f t="shared" si="17"/>
        <v>0</v>
      </c>
      <c r="K67" s="2290">
        <f t="shared" si="18"/>
        <v>0</v>
      </c>
      <c r="L67" s="2290">
        <v>0</v>
      </c>
      <c r="M67" s="2290">
        <f t="shared" si="19"/>
        <v>0</v>
      </c>
      <c r="N67" s="2290">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6" customFormat="1" ht="14.4">
      <c r="A68" s="2272" t="s">
        <v>2677</v>
      </c>
      <c r="B68" s="2301">
        <f>1+E70</f>
        <v>1</v>
      </c>
      <c r="C68" s="2275"/>
      <c r="D68" s="2275"/>
      <c r="E68" s="2276"/>
      <c r="F68" s="2277"/>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6" customFormat="1" ht="25.2">
      <c r="A69" s="2279" t="s">
        <v>2647</v>
      </c>
      <c r="B69" s="2291"/>
      <c r="C69" s="2280" t="s">
        <v>2649</v>
      </c>
      <c r="D69" s="2280" t="s">
        <v>2650</v>
      </c>
      <c r="E69" s="2281" t="s">
        <v>2651</v>
      </c>
      <c r="F69" s="2231" t="s">
        <v>2652</v>
      </c>
      <c r="G69" s="2280" t="s">
        <v>2673</v>
      </c>
      <c r="H69" s="2282" t="s">
        <v>2674</v>
      </c>
      <c r="I69" s="2280" t="s">
        <v>2675</v>
      </c>
      <c r="J69" s="1905" t="s">
        <v>2315</v>
      </c>
      <c r="K69" s="1905" t="s">
        <v>2316</v>
      </c>
      <c r="L69" s="1905" t="s">
        <v>2317</v>
      </c>
      <c r="M69" s="1905" t="s">
        <v>2318</v>
      </c>
      <c r="N69" s="1905" t="s">
        <v>2319</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6" customFormat="1" ht="66">
      <c r="A70" s="2279" t="s">
        <v>2678</v>
      </c>
      <c r="B70" s="2283" t="str">
        <f>估价对象房地状况!C15</f>
        <v>估价对象周边有华英园、马可汇、石门苑、玉兰苑、牡丹苑等社区，综合评价居住社区成熟度较好</v>
      </c>
      <c r="C70" s="2165"/>
      <c r="D70" s="2284">
        <f t="shared" ref="D70:D78" si="20">SUMIF($J$69:$N$69,C70,J70:N70)</f>
        <v>0</v>
      </c>
      <c r="E70" s="2285">
        <f>ROUND(SUM(D70:D78),4)</f>
        <v>0</v>
      </c>
      <c r="F70" s="2286" t="str">
        <f>IF(E2="住宅",SUMIF(L1:L12,G2,N1:N12),"——")</f>
        <v>——</v>
      </c>
      <c r="G70" s="2287"/>
      <c r="H70" s="2288" t="str">
        <f t="shared" ref="H70:H78" si="21">IFERROR(ROUNDDOWN($F$70*I70/2,4),"——")</f>
        <v>——</v>
      </c>
      <c r="I70" s="2289">
        <v>0.14000000000000001</v>
      </c>
      <c r="J70" s="2290">
        <f t="shared" ref="J70:J78" si="22">K70+$G70</f>
        <v>0</v>
      </c>
      <c r="K70" s="2290">
        <f t="shared" ref="K70:K78" si="23">$L70+$G70</f>
        <v>0</v>
      </c>
      <c r="L70" s="2290">
        <v>0</v>
      </c>
      <c r="M70" s="2290">
        <f t="shared" ref="M70:N78" si="24">L70-$G70</f>
        <v>0</v>
      </c>
      <c r="N70" s="2290">
        <f t="shared" si="24"/>
        <v>0</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6" customFormat="1" ht="79.2">
      <c r="A71" s="2279" t="s">
        <v>2662</v>
      </c>
      <c r="B71" s="2291" t="str">
        <f>估价对象房地状况!C18</f>
        <v>估价对象周边有顺2路、顺27路、顺28路、顺38路等多条公交线路，地铁15号线南法信站，综合评价交通便捷度较好</v>
      </c>
      <c r="C71" s="2165"/>
      <c r="D71" s="2284">
        <f t="shared" si="20"/>
        <v>0</v>
      </c>
      <c r="E71" s="2292"/>
      <c r="F71" s="2286"/>
      <c r="G71" s="2287"/>
      <c r="H71" s="2288" t="str">
        <f t="shared" si="21"/>
        <v>——</v>
      </c>
      <c r="I71" s="2289">
        <v>0.3</v>
      </c>
      <c r="J71" s="2290">
        <f t="shared" si="22"/>
        <v>0</v>
      </c>
      <c r="K71" s="2290">
        <f t="shared" si="23"/>
        <v>0</v>
      </c>
      <c r="L71" s="2290">
        <v>0</v>
      </c>
      <c r="M71" s="2290">
        <f t="shared" si="24"/>
        <v>0</v>
      </c>
      <c r="N71" s="2290">
        <f t="shared" si="24"/>
        <v>0</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6" customFormat="1" ht="24">
      <c r="A72" s="2279" t="s">
        <v>2663</v>
      </c>
      <c r="B72" s="2291">
        <f>估价对象房地状况!C19</f>
        <v>0</v>
      </c>
      <c r="C72" s="2165"/>
      <c r="D72" s="2284">
        <f t="shared" si="20"/>
        <v>0</v>
      </c>
      <c r="E72" s="2292"/>
      <c r="F72" s="2286"/>
      <c r="G72" s="2287"/>
      <c r="H72" s="2288" t="str">
        <f t="shared" si="21"/>
        <v>——</v>
      </c>
      <c r="I72" s="2289">
        <v>0.08</v>
      </c>
      <c r="J72" s="2290">
        <f t="shared" si="22"/>
        <v>0</v>
      </c>
      <c r="K72" s="2290">
        <f t="shared" si="23"/>
        <v>0</v>
      </c>
      <c r="L72" s="2290">
        <v>0</v>
      </c>
      <c r="M72" s="2290">
        <f t="shared" si="24"/>
        <v>0</v>
      </c>
      <c r="N72" s="2290">
        <f t="shared" si="24"/>
        <v>0</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6" customFormat="1" ht="26.4">
      <c r="A73" s="2279" t="s">
        <v>2679</v>
      </c>
      <c r="B73" s="2291" t="str">
        <f>估价对象房地状况!C24</f>
        <v>城市次干道——顺于路</v>
      </c>
      <c r="C73" s="2165"/>
      <c r="D73" s="2284">
        <f t="shared" si="20"/>
        <v>0</v>
      </c>
      <c r="E73" s="2292"/>
      <c r="F73" s="2286"/>
      <c r="G73" s="2287"/>
      <c r="H73" s="2288" t="str">
        <f t="shared" si="21"/>
        <v>——</v>
      </c>
      <c r="I73" s="2289">
        <v>0.04</v>
      </c>
      <c r="J73" s="2290">
        <f t="shared" si="22"/>
        <v>0</v>
      </c>
      <c r="K73" s="2290">
        <f t="shared" si="23"/>
        <v>0</v>
      </c>
      <c r="L73" s="2290">
        <v>0</v>
      </c>
      <c r="M73" s="2290">
        <f t="shared" si="24"/>
        <v>0</v>
      </c>
      <c r="N73" s="2290">
        <f t="shared" si="24"/>
        <v>0</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6" customFormat="1" ht="26.4">
      <c r="A74" s="2279" t="s">
        <v>2669</v>
      </c>
      <c r="B74" s="2296" t="str">
        <f>估价对象房地状况!C21</f>
        <v>估价对象所在区域公共配套设施较齐备</v>
      </c>
      <c r="C74" s="2165"/>
      <c r="D74" s="2284">
        <f t="shared" si="20"/>
        <v>0</v>
      </c>
      <c r="E74" s="2292"/>
      <c r="F74" s="2286"/>
      <c r="G74" s="2287"/>
      <c r="H74" s="2288" t="str">
        <f t="shared" si="21"/>
        <v>——</v>
      </c>
      <c r="I74" s="2289">
        <v>0.08</v>
      </c>
      <c r="J74" s="2290">
        <f t="shared" si="22"/>
        <v>0</v>
      </c>
      <c r="K74" s="2290">
        <f t="shared" si="23"/>
        <v>0</v>
      </c>
      <c r="L74" s="2290">
        <v>0</v>
      </c>
      <c r="M74" s="2290">
        <f t="shared" si="24"/>
        <v>0</v>
      </c>
      <c r="N74" s="2290">
        <f t="shared" si="24"/>
        <v>0</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6" customFormat="1" ht="24">
      <c r="A75" s="2279" t="s">
        <v>2670</v>
      </c>
      <c r="B75" s="2296" t="str">
        <f>估价对象房地状况!C22</f>
        <v>七通</v>
      </c>
      <c r="C75" s="2165"/>
      <c r="D75" s="2284">
        <f t="shared" si="20"/>
        <v>0</v>
      </c>
      <c r="E75" s="2292"/>
      <c r="F75" s="2286"/>
      <c r="G75" s="2287"/>
      <c r="H75" s="2288" t="str">
        <f t="shared" si="21"/>
        <v>——</v>
      </c>
      <c r="I75" s="2289">
        <v>0.12</v>
      </c>
      <c r="J75" s="2290">
        <f t="shared" si="22"/>
        <v>0</v>
      </c>
      <c r="K75" s="2290">
        <f t="shared" si="23"/>
        <v>0</v>
      </c>
      <c r="L75" s="2290">
        <v>0</v>
      </c>
      <c r="M75" s="2290">
        <f t="shared" si="24"/>
        <v>0</v>
      </c>
      <c r="N75" s="2290">
        <f t="shared" si="24"/>
        <v>0</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36">
      <c r="A76" s="2279" t="s">
        <v>2667</v>
      </c>
      <c r="B76" s="2294" t="s">
        <v>2668</v>
      </c>
      <c r="C76" s="2165"/>
      <c r="D76" s="2284">
        <f t="shared" si="20"/>
        <v>0</v>
      </c>
      <c r="E76" s="2292"/>
      <c r="F76" s="2286"/>
      <c r="G76" s="2287"/>
      <c r="H76" s="2288" t="str">
        <f t="shared" si="21"/>
        <v>——</v>
      </c>
      <c r="I76" s="2289">
        <v>0.05</v>
      </c>
      <c r="J76" s="2290">
        <f t="shared" si="22"/>
        <v>0</v>
      </c>
      <c r="K76" s="2290">
        <f t="shared" si="23"/>
        <v>0</v>
      </c>
      <c r="L76" s="2290">
        <v>0</v>
      </c>
      <c r="M76" s="2290">
        <f t="shared" si="24"/>
        <v>0</v>
      </c>
      <c r="N76" s="2290">
        <f t="shared" si="24"/>
        <v>0</v>
      </c>
      <c r="Q76" s="3060"/>
      <c r="R76" s="3060"/>
      <c r="S76" s="3060"/>
      <c r="T76" s="3060"/>
      <c r="U76" s="3060"/>
      <c r="V76" s="3060"/>
      <c r="W76" s="3060"/>
      <c r="AA76" s="1624"/>
      <c r="AG76" s="2266"/>
    </row>
    <row r="77" spans="1:33" ht="39.6">
      <c r="A77" s="2279" t="s">
        <v>2671</v>
      </c>
      <c r="B77" s="2283" t="str">
        <f>估价对象房地状况!C20</f>
        <v>区域自然环境：小中河；综合评价环境状况一般</v>
      </c>
      <c r="C77" s="2165"/>
      <c r="D77" s="2284">
        <f t="shared" si="20"/>
        <v>0</v>
      </c>
      <c r="E77" s="2292"/>
      <c r="F77" s="2286"/>
      <c r="G77" s="2287"/>
      <c r="H77" s="2288" t="str">
        <f t="shared" si="21"/>
        <v>——</v>
      </c>
      <c r="I77" s="2289">
        <v>0.15</v>
      </c>
      <c r="J77" s="2290">
        <f t="shared" si="22"/>
        <v>0</v>
      </c>
      <c r="K77" s="2290">
        <f t="shared" si="23"/>
        <v>0</v>
      </c>
      <c r="L77" s="2290">
        <v>0</v>
      </c>
      <c r="M77" s="2290">
        <f t="shared" si="24"/>
        <v>0</v>
      </c>
      <c r="N77" s="2290">
        <f t="shared" si="24"/>
        <v>0</v>
      </c>
      <c r="Q77" s="3060"/>
      <c r="R77" s="3060"/>
      <c r="S77" s="3060"/>
      <c r="T77" s="3060"/>
      <c r="U77" s="3060"/>
      <c r="V77" s="3060"/>
      <c r="W77" s="3060"/>
      <c r="AA77" s="1624"/>
      <c r="AG77" s="2266"/>
    </row>
    <row r="78" spans="1:33" ht="36.6" thickBot="1">
      <c r="A78" s="2297" t="s">
        <v>2680</v>
      </c>
      <c r="B78" s="2303"/>
      <c r="C78" s="2165"/>
      <c r="D78" s="2284">
        <f t="shared" si="20"/>
        <v>0</v>
      </c>
      <c r="E78" s="2299"/>
      <c r="F78" s="2286"/>
      <c r="G78" s="2287"/>
      <c r="H78" s="2288" t="str">
        <f t="shared" si="21"/>
        <v>——</v>
      </c>
      <c r="I78" s="2300">
        <v>0.04</v>
      </c>
      <c r="J78" s="2290">
        <f t="shared" si="22"/>
        <v>0</v>
      </c>
      <c r="K78" s="2290">
        <f t="shared" si="23"/>
        <v>0</v>
      </c>
      <c r="L78" s="2290">
        <v>0</v>
      </c>
      <c r="M78" s="2290">
        <f t="shared" si="24"/>
        <v>0</v>
      </c>
      <c r="N78" s="2290">
        <f t="shared" si="24"/>
        <v>0</v>
      </c>
      <c r="Q78" s="3060"/>
      <c r="R78" s="3060"/>
      <c r="S78" s="3060"/>
      <c r="T78" s="3060"/>
      <c r="U78" s="3060"/>
      <c r="V78" s="3060"/>
      <c r="W78" s="3060"/>
      <c r="AA78" s="1624"/>
      <c r="AG78" s="2266"/>
    </row>
    <row r="79" spans="1:33" ht="14.4">
      <c r="A79" s="2272" t="s">
        <v>2681</v>
      </c>
      <c r="B79" s="2301">
        <f>1+E81</f>
        <v>1</v>
      </c>
      <c r="C79" s="2275"/>
      <c r="D79" s="2275"/>
      <c r="E79" s="2276"/>
      <c r="F79" s="2277"/>
      <c r="G79" s="608"/>
      <c r="H79" s="608"/>
      <c r="I79" s="608"/>
      <c r="J79" s="608"/>
      <c r="K79" s="608"/>
      <c r="L79" s="608"/>
      <c r="M79" s="608"/>
      <c r="N79" s="608"/>
      <c r="Q79" s="3060"/>
      <c r="R79" s="3060"/>
      <c r="S79" s="3060"/>
      <c r="T79" s="3060"/>
      <c r="U79" s="3060"/>
      <c r="V79" s="3060"/>
      <c r="W79" s="3060"/>
      <c r="AA79" s="1624"/>
      <c r="AG79" s="2266"/>
    </row>
    <row r="80" spans="1:33" ht="25.2">
      <c r="A80" s="2279" t="s">
        <v>2647</v>
      </c>
      <c r="B80" s="2291"/>
      <c r="C80" s="2280" t="s">
        <v>2649</v>
      </c>
      <c r="D80" s="2280" t="s">
        <v>2650</v>
      </c>
      <c r="E80" s="2281" t="s">
        <v>2651</v>
      </c>
      <c r="F80" s="2231" t="s">
        <v>2652</v>
      </c>
      <c r="G80" s="2280" t="s">
        <v>2673</v>
      </c>
      <c r="H80" s="2282" t="s">
        <v>2674</v>
      </c>
      <c r="I80" s="2280" t="s">
        <v>2675</v>
      </c>
      <c r="J80" s="1905" t="s">
        <v>2315</v>
      </c>
      <c r="K80" s="1905" t="s">
        <v>2316</v>
      </c>
      <c r="L80" s="1905" t="s">
        <v>2317</v>
      </c>
      <c r="M80" s="1905" t="s">
        <v>2318</v>
      </c>
      <c r="N80" s="1905" t="s">
        <v>2319</v>
      </c>
      <c r="Q80" s="3060"/>
      <c r="R80" s="3060"/>
      <c r="S80" s="3060"/>
      <c r="T80" s="3060"/>
      <c r="U80" s="3060"/>
      <c r="V80" s="3060"/>
      <c r="W80" s="3060"/>
      <c r="AA80" s="1624"/>
      <c r="AG80" s="2266"/>
    </row>
    <row r="81" spans="1:33" ht="39.6">
      <c r="A81" s="2279" t="s">
        <v>2682</v>
      </c>
      <c r="B81" s="2291" t="str">
        <f>估价对象房地状况!G15</f>
        <v>估价对象位于XX开发区，园区建设成熟度XX，产业集聚程度XX</v>
      </c>
      <c r="C81" s="2165"/>
      <c r="D81" s="2284">
        <f t="shared" ref="D81:D88" si="25">SUMIF($J$80:$N$80,C81,J81:N81)</f>
        <v>0</v>
      </c>
      <c r="E81" s="2285">
        <f>ROUND(SUM(D81:D88),4)</f>
        <v>0</v>
      </c>
      <c r="F81" s="2286" t="str">
        <f>IF(E2="工业",SUMIF(L1:L12,G2,N1:N12),"——")</f>
        <v>——</v>
      </c>
      <c r="G81" s="2287"/>
      <c r="H81" s="2288" t="str">
        <f t="shared" ref="H81:H88" si="26">IFERROR(ROUNDDOWN($F$81*I81/2,4),"——")</f>
        <v>——</v>
      </c>
      <c r="I81" s="2289">
        <v>0.26</v>
      </c>
      <c r="J81" s="2290">
        <f t="shared" ref="J81:J88" si="27">K81+$G81</f>
        <v>0</v>
      </c>
      <c r="K81" s="2290">
        <f t="shared" ref="K81:K88" si="28">$L81+$G81</f>
        <v>0</v>
      </c>
      <c r="L81" s="2290">
        <v>0</v>
      </c>
      <c r="M81" s="2290">
        <f t="shared" ref="M81:N88" si="29">L81-$G81</f>
        <v>0</v>
      </c>
      <c r="N81" s="2290">
        <f t="shared" si="29"/>
        <v>0</v>
      </c>
      <c r="Q81" s="3060"/>
      <c r="R81" s="3060"/>
      <c r="S81" s="3060"/>
      <c r="T81" s="3060"/>
      <c r="U81" s="3060"/>
      <c r="V81" s="3060"/>
      <c r="W81" s="3060"/>
      <c r="AA81" s="1624"/>
      <c r="AG81" s="2266"/>
    </row>
    <row r="82" spans="1:33" ht="66">
      <c r="A82" s="2279" t="s">
        <v>2662</v>
      </c>
      <c r="B82" s="2291" t="str">
        <f>估价对象房地状况!G16</f>
        <v>估价对象周边道路状况、公共交通通达情况、停车便捷程度，综合评价交通便捷度较好</v>
      </c>
      <c r="C82" s="2165"/>
      <c r="D82" s="2284">
        <f t="shared" si="25"/>
        <v>0</v>
      </c>
      <c r="E82" s="2292"/>
      <c r="F82" s="2286"/>
      <c r="G82" s="2287"/>
      <c r="H82" s="2288" t="str">
        <f t="shared" si="26"/>
        <v>——</v>
      </c>
      <c r="I82" s="2289">
        <v>0.33</v>
      </c>
      <c r="J82" s="2290">
        <f t="shared" si="27"/>
        <v>0</v>
      </c>
      <c r="K82" s="2290">
        <f t="shared" si="28"/>
        <v>0</v>
      </c>
      <c r="L82" s="2290">
        <v>0</v>
      </c>
      <c r="M82" s="2290">
        <f t="shared" si="29"/>
        <v>0</v>
      </c>
      <c r="N82" s="2290">
        <f t="shared" si="29"/>
        <v>0</v>
      </c>
      <c r="Q82" s="3060"/>
      <c r="R82" s="3060"/>
      <c r="S82" s="3060"/>
      <c r="T82" s="3060"/>
      <c r="U82" s="3060"/>
      <c r="V82" s="3060"/>
      <c r="W82" s="3060"/>
      <c r="AA82" s="1624"/>
      <c r="AG82" s="2266"/>
    </row>
    <row r="83" spans="1:33" ht="24">
      <c r="A83" s="2279" t="s">
        <v>2663</v>
      </c>
      <c r="B83" s="2291">
        <f>估价对象房地状况!G17</f>
        <v>0</v>
      </c>
      <c r="C83" s="2165"/>
      <c r="D83" s="2284">
        <f t="shared" si="25"/>
        <v>0</v>
      </c>
      <c r="E83" s="2292"/>
      <c r="F83" s="2286"/>
      <c r="G83" s="2287"/>
      <c r="H83" s="2288" t="str">
        <f t="shared" si="26"/>
        <v>——</v>
      </c>
      <c r="I83" s="2289">
        <v>0.05</v>
      </c>
      <c r="J83" s="2290">
        <f t="shared" si="27"/>
        <v>0</v>
      </c>
      <c r="K83" s="2290">
        <f t="shared" si="28"/>
        <v>0</v>
      </c>
      <c r="L83" s="2290">
        <v>0</v>
      </c>
      <c r="M83" s="2290">
        <f t="shared" si="29"/>
        <v>0</v>
      </c>
      <c r="N83" s="2290">
        <f t="shared" si="29"/>
        <v>0</v>
      </c>
      <c r="Q83" s="3060"/>
      <c r="R83" s="3060"/>
      <c r="S83" s="3060"/>
      <c r="T83" s="3060"/>
      <c r="U83" s="3060"/>
      <c r="V83" s="3060"/>
      <c r="W83" s="3060"/>
      <c r="AA83" s="1624"/>
      <c r="AG83" s="2266"/>
    </row>
    <row r="84" spans="1:33" ht="13.8">
      <c r="A84" s="2279" t="s">
        <v>2679</v>
      </c>
      <c r="B84" s="2291">
        <f>估价对象房地状况!G22</f>
        <v>0</v>
      </c>
      <c r="C84" s="2165"/>
      <c r="D84" s="2284">
        <f t="shared" si="25"/>
        <v>0</v>
      </c>
      <c r="E84" s="2292"/>
      <c r="F84" s="2286"/>
      <c r="G84" s="2287"/>
      <c r="H84" s="2288" t="str">
        <f t="shared" si="26"/>
        <v>——</v>
      </c>
      <c r="I84" s="2289">
        <v>0.04</v>
      </c>
      <c r="J84" s="2290">
        <f t="shared" si="27"/>
        <v>0</v>
      </c>
      <c r="K84" s="2290">
        <f t="shared" si="28"/>
        <v>0</v>
      </c>
      <c r="L84" s="2290">
        <v>0</v>
      </c>
      <c r="M84" s="2290">
        <f t="shared" si="29"/>
        <v>0</v>
      </c>
      <c r="N84" s="2290">
        <f t="shared" si="29"/>
        <v>0</v>
      </c>
      <c r="Q84" s="3060"/>
      <c r="R84" s="3060"/>
      <c r="S84" s="3060"/>
      <c r="T84" s="3060"/>
      <c r="U84" s="3060"/>
      <c r="V84" s="3060"/>
      <c r="W84" s="3060"/>
      <c r="AA84" s="1624"/>
      <c r="AG84" s="2266"/>
    </row>
    <row r="85" spans="1:33" ht="26.4">
      <c r="A85" s="2279" t="s">
        <v>2669</v>
      </c>
      <c r="B85" s="2296" t="str">
        <f>估价对象房地状况!G19</f>
        <v>估价对象所在区域公共配套设施齐备情况</v>
      </c>
      <c r="C85" s="2165"/>
      <c r="D85" s="2284">
        <f t="shared" si="25"/>
        <v>0</v>
      </c>
      <c r="E85" s="2292"/>
      <c r="F85" s="2286"/>
      <c r="G85" s="2287"/>
      <c r="H85" s="2288" t="str">
        <f t="shared" si="26"/>
        <v>——</v>
      </c>
      <c r="I85" s="2289">
        <v>0.06</v>
      </c>
      <c r="J85" s="2290">
        <f t="shared" si="27"/>
        <v>0</v>
      </c>
      <c r="K85" s="2290">
        <f t="shared" si="28"/>
        <v>0</v>
      </c>
      <c r="L85" s="2290">
        <v>0</v>
      </c>
      <c r="M85" s="2290">
        <f t="shared" si="29"/>
        <v>0</v>
      </c>
      <c r="N85" s="2290">
        <f t="shared" si="29"/>
        <v>0</v>
      </c>
      <c r="Q85" s="3060"/>
      <c r="R85" s="3060"/>
      <c r="S85" s="3060"/>
      <c r="T85" s="3060"/>
      <c r="U85" s="3060"/>
      <c r="V85" s="3060"/>
      <c r="W85" s="3060"/>
      <c r="AA85" s="1624"/>
      <c r="AG85" s="2266"/>
    </row>
    <row r="86" spans="1:33" ht="26.4">
      <c r="A86" s="2279" t="s">
        <v>2670</v>
      </c>
      <c r="B86" s="2296" t="str">
        <f>估价对象房地状况!G20</f>
        <v>估价对象所在区域基础设施水平</v>
      </c>
      <c r="C86" s="2165"/>
      <c r="D86" s="2284">
        <f t="shared" si="25"/>
        <v>0</v>
      </c>
      <c r="E86" s="2292"/>
      <c r="F86" s="2286"/>
      <c r="G86" s="2287"/>
      <c r="H86" s="2288" t="str">
        <f t="shared" si="26"/>
        <v>——</v>
      </c>
      <c r="I86" s="2289">
        <v>0.15</v>
      </c>
      <c r="J86" s="2290">
        <f t="shared" si="27"/>
        <v>0</v>
      </c>
      <c r="K86" s="2290">
        <f t="shared" si="28"/>
        <v>0</v>
      </c>
      <c r="L86" s="2290">
        <v>0</v>
      </c>
      <c r="M86" s="2290">
        <f t="shared" si="29"/>
        <v>0</v>
      </c>
      <c r="N86" s="2290">
        <f t="shared" si="29"/>
        <v>0</v>
      </c>
      <c r="Q86" s="3060"/>
      <c r="R86" s="3060"/>
      <c r="S86" s="3060"/>
      <c r="T86" s="3060"/>
      <c r="U86" s="3060"/>
      <c r="V86" s="3060"/>
      <c r="W86" s="3060"/>
      <c r="AA86" s="1624"/>
      <c r="AG86" s="2266"/>
    </row>
    <row r="87" spans="1:33" ht="36">
      <c r="A87" s="2279" t="s">
        <v>2667</v>
      </c>
      <c r="B87" s="2294" t="s">
        <v>2668</v>
      </c>
      <c r="C87" s="2165"/>
      <c r="D87" s="2284">
        <f t="shared" si="25"/>
        <v>0</v>
      </c>
      <c r="E87" s="2292"/>
      <c r="F87" s="2286"/>
      <c r="G87" s="2287"/>
      <c r="H87" s="2288" t="str">
        <f t="shared" si="26"/>
        <v>——</v>
      </c>
      <c r="I87" s="2289">
        <v>0.05</v>
      </c>
      <c r="J87" s="2290">
        <f t="shared" si="27"/>
        <v>0</v>
      </c>
      <c r="K87" s="2290">
        <f t="shared" si="28"/>
        <v>0</v>
      </c>
      <c r="L87" s="2290">
        <v>0</v>
      </c>
      <c r="M87" s="2290">
        <f t="shared" si="29"/>
        <v>0</v>
      </c>
      <c r="N87" s="2290">
        <f t="shared" si="29"/>
        <v>0</v>
      </c>
      <c r="Q87" s="3060"/>
      <c r="R87" s="3060"/>
      <c r="S87" s="3060"/>
      <c r="T87" s="3060"/>
      <c r="U87" s="3060"/>
      <c r="V87" s="3060"/>
      <c r="W87" s="3060"/>
      <c r="AA87" s="1624"/>
      <c r="AG87" s="2266"/>
    </row>
    <row r="88" spans="1:33" ht="53.4" thickBot="1">
      <c r="A88" s="2297" t="s">
        <v>2683</v>
      </c>
      <c r="B88" s="2304" t="str">
        <f>估价对象房地状况!G18</f>
        <v>该园区内是否有污染型企业，绿化情况，卫生条件，整体环境状况判断</v>
      </c>
      <c r="C88" s="2305"/>
      <c r="D88" s="2306">
        <f t="shared" si="25"/>
        <v>0</v>
      </c>
      <c r="E88" s="2299"/>
      <c r="F88" s="2286"/>
      <c r="G88" s="2287"/>
      <c r="H88" s="2288" t="str">
        <f t="shared" si="26"/>
        <v>——</v>
      </c>
      <c r="I88" s="2300">
        <v>0.06</v>
      </c>
      <c r="J88" s="2290">
        <f t="shared" si="27"/>
        <v>0</v>
      </c>
      <c r="K88" s="2290">
        <f t="shared" si="28"/>
        <v>0</v>
      </c>
      <c r="L88" s="2290">
        <v>0</v>
      </c>
      <c r="M88" s="2290">
        <f t="shared" si="29"/>
        <v>0</v>
      </c>
      <c r="N88" s="2290">
        <f t="shared" si="29"/>
        <v>0</v>
      </c>
      <c r="Q88" s="3060"/>
      <c r="R88" s="3060"/>
      <c r="S88" s="3060"/>
      <c r="T88" s="3060"/>
      <c r="U88" s="3060"/>
      <c r="V88" s="3060"/>
      <c r="W88" s="3060"/>
      <c r="AA88" s="1624"/>
      <c r="AG88" s="2266"/>
    </row>
    <row r="89" spans="1:33">
      <c r="Q89" s="3060"/>
      <c r="R89" s="3060"/>
      <c r="S89" s="3060"/>
      <c r="T89" s="3060"/>
      <c r="U89" s="3060"/>
      <c r="V89" s="3060"/>
      <c r="W89" s="3060"/>
    </row>
    <row r="90" spans="1:33">
      <c r="A90" s="3579" t="s">
        <v>2684</v>
      </c>
      <c r="B90" s="3579"/>
      <c r="C90" s="3579"/>
      <c r="D90" s="3579"/>
      <c r="E90" s="3579"/>
      <c r="F90" s="3579"/>
      <c r="G90" s="3579"/>
      <c r="H90" s="3579"/>
      <c r="I90" s="3579"/>
      <c r="J90" s="3579"/>
      <c r="K90" s="2307"/>
      <c r="L90" s="2307"/>
      <c r="M90" s="2307"/>
      <c r="N90" s="2307"/>
      <c r="Q90" s="3060"/>
      <c r="R90" s="3060"/>
      <c r="S90" s="3060"/>
      <c r="T90" s="3060"/>
      <c r="U90" s="3060"/>
      <c r="V90" s="3060"/>
      <c r="W90" s="3060"/>
    </row>
    <row r="91" spans="1:33">
      <c r="A91" s="3581" t="s">
        <v>2685</v>
      </c>
      <c r="B91" s="3581" t="s">
        <v>2686</v>
      </c>
      <c r="C91" s="2246" t="s">
        <v>2687</v>
      </c>
      <c r="D91" s="2247"/>
      <c r="E91" s="2247"/>
      <c r="F91" s="2247"/>
      <c r="G91" s="2247"/>
      <c r="H91" s="2247"/>
      <c r="I91" s="2247"/>
      <c r="J91" s="2309"/>
      <c r="K91" s="2067"/>
      <c r="L91" s="2067"/>
      <c r="M91" s="2067"/>
      <c r="N91" s="2067"/>
      <c r="Q91" s="3060"/>
      <c r="R91" s="3060"/>
      <c r="S91" s="3060"/>
      <c r="T91" s="3060"/>
      <c r="U91" s="3060"/>
      <c r="V91" s="3060"/>
      <c r="W91" s="3060"/>
    </row>
    <row r="92" spans="1:33">
      <c r="A92" s="3581"/>
      <c r="B92" s="3581"/>
      <c r="C92" s="2030" t="s">
        <v>2540</v>
      </c>
      <c r="D92" s="2030" t="s">
        <v>2541</v>
      </c>
      <c r="E92" s="2030" t="s">
        <v>2542</v>
      </c>
      <c r="F92" s="2030" t="s">
        <v>2543</v>
      </c>
      <c r="G92" s="2030" t="s">
        <v>2544</v>
      </c>
      <c r="H92" s="2030" t="s">
        <v>2545</v>
      </c>
      <c r="I92" s="2030" t="s">
        <v>2546</v>
      </c>
      <c r="J92" s="2030" t="s">
        <v>2547</v>
      </c>
      <c r="K92" s="2030" t="s">
        <v>2548</v>
      </c>
      <c r="L92" s="2030" t="s">
        <v>2549</v>
      </c>
      <c r="M92" s="2030" t="s">
        <v>2550</v>
      </c>
      <c r="N92" s="2030" t="s">
        <v>2551</v>
      </c>
      <c r="Q92" s="3060"/>
      <c r="R92" s="3060"/>
      <c r="S92" s="3060"/>
      <c r="T92" s="3060"/>
      <c r="U92" s="3060"/>
      <c r="V92" s="3060"/>
      <c r="W92" s="3060"/>
    </row>
    <row r="93" spans="1:33">
      <c r="A93" s="3582" t="s">
        <v>2688</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c r="Q93" s="3060"/>
      <c r="R93" s="3060"/>
      <c r="S93" s="3060"/>
      <c r="T93" s="3060"/>
      <c r="U93" s="3060"/>
      <c r="V93" s="3060"/>
      <c r="W93" s="3060"/>
    </row>
    <row r="94" spans="1:33">
      <c r="A94" s="3583"/>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c r="Q94" s="3060"/>
      <c r="R94" s="3060"/>
      <c r="S94" s="3060"/>
      <c r="T94" s="3060"/>
      <c r="U94" s="3060"/>
      <c r="V94" s="3060"/>
      <c r="W94" s="3060"/>
    </row>
    <row r="95" spans="1:33">
      <c r="A95" s="3583"/>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c r="Q95" s="3060"/>
      <c r="R95" s="3060"/>
      <c r="S95" s="3060"/>
      <c r="T95" s="3060"/>
      <c r="U95" s="3060"/>
      <c r="V95" s="3060"/>
      <c r="W95" s="3060"/>
    </row>
    <row r="96" spans="1:33">
      <c r="A96" s="3583"/>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c r="Q96" s="3060"/>
      <c r="R96" s="3060"/>
      <c r="S96" s="3060"/>
      <c r="T96" s="3060"/>
      <c r="U96" s="3060"/>
      <c r="V96" s="3060"/>
      <c r="W96" s="3060"/>
    </row>
    <row r="97" spans="1:23">
      <c r="A97" s="3583"/>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c r="Q97" s="3060"/>
      <c r="R97" s="3060"/>
      <c r="S97" s="3060"/>
      <c r="T97" s="3060"/>
      <c r="U97" s="3060"/>
      <c r="V97" s="3060"/>
      <c r="W97" s="3060"/>
    </row>
    <row r="98" spans="1:23">
      <c r="A98" s="3583"/>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c r="Q98" s="3060"/>
      <c r="R98" s="3060"/>
      <c r="S98" s="3060"/>
      <c r="T98" s="3060"/>
      <c r="U98" s="3060"/>
      <c r="V98" s="3060"/>
      <c r="W98" s="3060"/>
    </row>
    <row r="99" spans="1:23">
      <c r="A99" s="3583"/>
      <c r="B99" s="2310" t="s">
        <v>2556</v>
      </c>
      <c r="C99" s="2312">
        <f>$I$3</f>
        <v>0</v>
      </c>
      <c r="D99" s="2312">
        <f t="shared" ref="D99:M99" si="30">$I$3</f>
        <v>0</v>
      </c>
      <c r="E99" s="2312">
        <f t="shared" si="30"/>
        <v>0</v>
      </c>
      <c r="F99" s="2312">
        <f t="shared" si="30"/>
        <v>0</v>
      </c>
      <c r="G99" s="2312">
        <f t="shared" si="30"/>
        <v>0</v>
      </c>
      <c r="H99" s="2312">
        <f t="shared" si="30"/>
        <v>0</v>
      </c>
      <c r="I99" s="2312">
        <f t="shared" si="30"/>
        <v>0</v>
      </c>
      <c r="J99" s="2312">
        <f t="shared" si="30"/>
        <v>0</v>
      </c>
      <c r="K99" s="2312">
        <f t="shared" si="30"/>
        <v>0</v>
      </c>
      <c r="L99" s="2312">
        <f t="shared" si="30"/>
        <v>0</v>
      </c>
      <c r="M99" s="2312">
        <f t="shared" si="30"/>
        <v>0</v>
      </c>
      <c r="N99" s="2312">
        <f>$I$3</f>
        <v>0</v>
      </c>
      <c r="Q99" s="3060"/>
      <c r="R99" s="3060"/>
      <c r="S99" s="3060"/>
      <c r="T99" s="3060"/>
      <c r="U99" s="3060"/>
      <c r="V99" s="3060"/>
      <c r="W99" s="3060"/>
    </row>
    <row r="100" spans="1:23">
      <c r="A100" s="3584"/>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c r="Q100" s="3060"/>
      <c r="R100" s="3060"/>
      <c r="S100" s="3060"/>
      <c r="T100" s="3060"/>
      <c r="U100" s="3060"/>
      <c r="V100" s="3060"/>
      <c r="W100" s="3060"/>
    </row>
    <row r="101" spans="1:23">
      <c r="A101" s="3582" t="s">
        <v>2689</v>
      </c>
      <c r="B101" s="2314" t="s">
        <v>2690</v>
      </c>
      <c r="C101" s="2315">
        <f>$G$3</f>
        <v>0</v>
      </c>
      <c r="D101" s="2315">
        <f t="shared" ref="D101:N101" si="31">$G$3</f>
        <v>0</v>
      </c>
      <c r="E101" s="2315">
        <f t="shared" si="31"/>
        <v>0</v>
      </c>
      <c r="F101" s="2315">
        <f t="shared" si="31"/>
        <v>0</v>
      </c>
      <c r="G101" s="2315">
        <f t="shared" si="31"/>
        <v>0</v>
      </c>
      <c r="H101" s="2315">
        <f t="shared" si="31"/>
        <v>0</v>
      </c>
      <c r="I101" s="2315">
        <f t="shared" si="31"/>
        <v>0</v>
      </c>
      <c r="J101" s="2315">
        <f t="shared" si="31"/>
        <v>0</v>
      </c>
      <c r="K101" s="2315">
        <f t="shared" si="31"/>
        <v>0</v>
      </c>
      <c r="L101" s="2315">
        <f t="shared" si="31"/>
        <v>0</v>
      </c>
      <c r="M101" s="2315">
        <f t="shared" si="31"/>
        <v>0</v>
      </c>
      <c r="N101" s="2315">
        <f t="shared" si="31"/>
        <v>0</v>
      </c>
      <c r="Q101" s="3060"/>
      <c r="R101" s="3060"/>
      <c r="S101" s="3060"/>
      <c r="T101" s="3060"/>
      <c r="U101" s="3060"/>
      <c r="V101" s="3060"/>
      <c r="W101" s="3060"/>
    </row>
    <row r="102" spans="1:23">
      <c r="A102" s="3583"/>
      <c r="B102" s="2310">
        <v>1</v>
      </c>
      <c r="C102" s="2311" t="e">
        <f>1.9362/C101</f>
        <v>#DIV/0!</v>
      </c>
      <c r="D102" s="2311" t="e">
        <f>1.9362/D101</f>
        <v>#DIV/0!</v>
      </c>
      <c r="E102" s="2311" t="e">
        <f>1.8629/E101</f>
        <v>#DIV/0!</v>
      </c>
      <c r="F102" s="2311" t="e">
        <f>1.8629/F101</f>
        <v>#DIV/0!</v>
      </c>
      <c r="G102" s="2311" t="e">
        <f>1.8629/G101</f>
        <v>#DIV/0!</v>
      </c>
      <c r="H102" s="2311" t="e">
        <f>1.8629/H101</f>
        <v>#DIV/0!</v>
      </c>
      <c r="I102" s="2311" t="e">
        <f>1.8629/I101</f>
        <v>#DIV/0!</v>
      </c>
      <c r="J102" s="2311" t="e">
        <f>1.942/J101</f>
        <v>#DIV/0!</v>
      </c>
      <c r="K102" s="2311" t="e">
        <f>1.942/K101</f>
        <v>#DIV/0!</v>
      </c>
      <c r="L102" s="2311" t="e">
        <f>1.942/L101</f>
        <v>#DIV/0!</v>
      </c>
      <c r="M102" s="2311" t="e">
        <f>1.942/M101</f>
        <v>#DIV/0!</v>
      </c>
      <c r="N102" s="2311" t="e">
        <f>1.942/N101</f>
        <v>#DIV/0!</v>
      </c>
      <c r="Q102" s="3060"/>
      <c r="R102" s="3060"/>
      <c r="S102" s="3060"/>
      <c r="T102" s="3060"/>
      <c r="U102" s="3060"/>
      <c r="V102" s="3060"/>
      <c r="W102" s="3060"/>
    </row>
    <row r="103" spans="1:23">
      <c r="A103" s="3583"/>
      <c r="B103" s="2310">
        <v>2</v>
      </c>
      <c r="C103" s="2311" t="e">
        <f>1.4198/C101</f>
        <v>#DIV/0!</v>
      </c>
      <c r="D103" s="2311" t="e">
        <f>1.4198/D101</f>
        <v>#DIV/0!</v>
      </c>
      <c r="E103" s="2311" t="e">
        <f>1.3372/E101</f>
        <v>#DIV/0!</v>
      </c>
      <c r="F103" s="2311" t="e">
        <f>1.3372/F101</f>
        <v>#DIV/0!</v>
      </c>
      <c r="G103" s="2311" t="e">
        <f>1.3372/G101</f>
        <v>#DIV/0!</v>
      </c>
      <c r="H103" s="2311" t="e">
        <f>1.3372/H101</f>
        <v>#DIV/0!</v>
      </c>
      <c r="I103" s="2311" t="e">
        <f>1.3372/I101</f>
        <v>#DIV/0!</v>
      </c>
      <c r="J103" s="2311" t="e">
        <f>1.2799/J101</f>
        <v>#DIV/0!</v>
      </c>
      <c r="K103" s="2311" t="e">
        <f>1.2799/K101</f>
        <v>#DIV/0!</v>
      </c>
      <c r="L103" s="2311" t="e">
        <f>1.2799/L101</f>
        <v>#DIV/0!</v>
      </c>
      <c r="M103" s="2311" t="e">
        <f>1.2799/M101</f>
        <v>#DIV/0!</v>
      </c>
      <c r="N103" s="2311" t="e">
        <f>1.2799/N101</f>
        <v>#DIV/0!</v>
      </c>
      <c r="Q103" s="3060"/>
      <c r="R103" s="3060"/>
      <c r="S103" s="3060"/>
      <c r="T103" s="3060"/>
      <c r="U103" s="3060"/>
      <c r="V103" s="3060"/>
      <c r="W103" s="3060"/>
    </row>
    <row r="104" spans="1:23">
      <c r="A104" s="3583"/>
      <c r="B104" s="2310">
        <v>3</v>
      </c>
      <c r="C104" s="2311" t="e">
        <f>1.1594/C101</f>
        <v>#DIV/0!</v>
      </c>
      <c r="D104" s="2311" t="e">
        <f>1.1594/D101</f>
        <v>#DIV/0!</v>
      </c>
      <c r="E104" s="2311" t="e">
        <f>1.0788/E101</f>
        <v>#DIV/0!</v>
      </c>
      <c r="F104" s="2311" t="e">
        <f>1.0788/F101</f>
        <v>#DIV/0!</v>
      </c>
      <c r="G104" s="2311" t="e">
        <f>1.0788/G101</f>
        <v>#DIV/0!</v>
      </c>
      <c r="H104" s="2311" t="e">
        <f>1.0788/H101</f>
        <v>#DIV/0!</v>
      </c>
      <c r="I104" s="2311" t="e">
        <f>1.0788/I101</f>
        <v>#DIV/0!</v>
      </c>
      <c r="J104" s="2311" t="e">
        <f>1.0072/J101</f>
        <v>#DIV/0!</v>
      </c>
      <c r="K104" s="2311" t="e">
        <f>1.0072/K101</f>
        <v>#DIV/0!</v>
      </c>
      <c r="L104" s="2311" t="e">
        <f>1.0072/L101</f>
        <v>#DIV/0!</v>
      </c>
      <c r="M104" s="2311" t="e">
        <f>1.0072/M101</f>
        <v>#DIV/0!</v>
      </c>
      <c r="N104" s="2311" t="e">
        <f>1.0072/N101</f>
        <v>#DIV/0!</v>
      </c>
      <c r="Q104" s="3060"/>
      <c r="R104" s="3060"/>
      <c r="S104" s="3060"/>
      <c r="T104" s="3060"/>
      <c r="U104" s="3060"/>
      <c r="V104" s="3060"/>
      <c r="W104" s="3060"/>
    </row>
    <row r="105" spans="1:23">
      <c r="A105" s="3583"/>
      <c r="B105" s="2310">
        <v>4</v>
      </c>
      <c r="C105" s="2311" t="e">
        <f>0.9622/C101</f>
        <v>#DIV/0!</v>
      </c>
      <c r="D105" s="2311" t="e">
        <f>0.9622/D101</f>
        <v>#DIV/0!</v>
      </c>
      <c r="E105" s="2311" t="e">
        <f>0.8656/E101</f>
        <v>#DIV/0!</v>
      </c>
      <c r="F105" s="2311" t="e">
        <f>0.8656/F101</f>
        <v>#DIV/0!</v>
      </c>
      <c r="G105" s="2311" t="e">
        <f>0.8656/G101</f>
        <v>#DIV/0!</v>
      </c>
      <c r="H105" s="2311" t="e">
        <f>0.8656/H101</f>
        <v>#DIV/0!</v>
      </c>
      <c r="I105" s="2311" t="e">
        <f>0.8656/I101</f>
        <v>#DIV/0!</v>
      </c>
      <c r="J105" s="2311" t="e">
        <f>0.7525/J101</f>
        <v>#DIV/0!</v>
      </c>
      <c r="K105" s="2311" t="e">
        <f>0.7525/K101</f>
        <v>#DIV/0!</v>
      </c>
      <c r="L105" s="2311" t="e">
        <f>0.7525/L101</f>
        <v>#DIV/0!</v>
      </c>
      <c r="M105" s="2311" t="e">
        <f>0.7525/M101</f>
        <v>#DIV/0!</v>
      </c>
      <c r="N105" s="2311" t="e">
        <f>0.7525/N101</f>
        <v>#DIV/0!</v>
      </c>
      <c r="Q105" s="3060"/>
      <c r="R105" s="3060"/>
      <c r="S105" s="3060"/>
      <c r="T105" s="3060"/>
      <c r="U105" s="3060"/>
      <c r="V105" s="3060"/>
      <c r="W105" s="3060"/>
    </row>
    <row r="106" spans="1:23">
      <c r="A106" s="3583"/>
      <c r="B106" s="2310">
        <v>5</v>
      </c>
      <c r="C106" s="2311" t="e">
        <f>0.8417/C101</f>
        <v>#DIV/0!</v>
      </c>
      <c r="D106" s="2311" t="e">
        <f>0.8417/D101</f>
        <v>#DIV/0!</v>
      </c>
      <c r="E106" s="2311" t="e">
        <f>0.7371/E101</f>
        <v>#DIV/0!</v>
      </c>
      <c r="F106" s="2311" t="e">
        <f>0.7371/F101</f>
        <v>#DIV/0!</v>
      </c>
      <c r="G106" s="2311" t="e">
        <f>0.7371/G101</f>
        <v>#DIV/0!</v>
      </c>
      <c r="H106" s="2311" t="e">
        <f>0.7371/H101</f>
        <v>#DIV/0!</v>
      </c>
      <c r="I106" s="2311" t="e">
        <f>0.7371/I101</f>
        <v>#DIV/0!</v>
      </c>
      <c r="J106" s="2311" t="e">
        <f>0.5659/J101</f>
        <v>#DIV/0!</v>
      </c>
      <c r="K106" s="2311" t="e">
        <f>0.5659/K101</f>
        <v>#DIV/0!</v>
      </c>
      <c r="L106" s="2311" t="e">
        <f>0.5659/L101</f>
        <v>#DIV/0!</v>
      </c>
      <c r="M106" s="2311" t="e">
        <f>0.5659/M101</f>
        <v>#DIV/0!</v>
      </c>
      <c r="N106" s="2311" t="e">
        <f>0.5659/N101</f>
        <v>#DIV/0!</v>
      </c>
      <c r="Q106" s="3060"/>
      <c r="R106" s="3060"/>
      <c r="S106" s="3060"/>
      <c r="T106" s="3060"/>
      <c r="U106" s="3060"/>
      <c r="V106" s="3060"/>
      <c r="W106" s="3060"/>
    </row>
    <row r="107" spans="1:23">
      <c r="A107" s="3583"/>
      <c r="B107" s="2310">
        <v>6</v>
      </c>
      <c r="C107" s="2311" t="e">
        <f>0.7608/C101</f>
        <v>#DIV/0!</v>
      </c>
      <c r="D107" s="2311" t="e">
        <f>0.7608/D101</f>
        <v>#DIV/0!</v>
      </c>
      <c r="E107" s="2311" t="e">
        <f>0.6482/E101</f>
        <v>#DIV/0!</v>
      </c>
      <c r="F107" s="2311" t="e">
        <f>0.6482/F101</f>
        <v>#DIV/0!</v>
      </c>
      <c r="G107" s="2311" t="e">
        <f>0.6482/G101</f>
        <v>#DIV/0!</v>
      </c>
      <c r="H107" s="2311" t="e">
        <f>0.6482/H101</f>
        <v>#DIV/0!</v>
      </c>
      <c r="I107" s="2311" t="e">
        <f>0.6482/I101</f>
        <v>#DIV/0!</v>
      </c>
      <c r="J107" s="2311" t="e">
        <f>0.4525/J101</f>
        <v>#DIV/0!</v>
      </c>
      <c r="K107" s="2311" t="e">
        <f>0.4525/K101</f>
        <v>#DIV/0!</v>
      </c>
      <c r="L107" s="2311" t="e">
        <f>0.4525/L101</f>
        <v>#DIV/0!</v>
      </c>
      <c r="M107" s="2311" t="e">
        <f>0.4525/M101</f>
        <v>#DIV/0!</v>
      </c>
      <c r="N107" s="2311" t="e">
        <f>0.4525/N101</f>
        <v>#DIV/0!</v>
      </c>
      <c r="Q107" s="3060"/>
      <c r="R107" s="3060"/>
      <c r="S107" s="3060"/>
      <c r="T107" s="3060"/>
      <c r="U107" s="3060"/>
      <c r="V107" s="3060"/>
      <c r="W107" s="3060"/>
    </row>
    <row r="108" spans="1:23">
      <c r="A108" s="3583"/>
      <c r="B108" s="3585" t="s">
        <v>2691</v>
      </c>
      <c r="C108" s="2312">
        <f>C99</f>
        <v>0</v>
      </c>
      <c r="D108" s="2312">
        <f t="shared" ref="D108:N108" si="32">D99</f>
        <v>0</v>
      </c>
      <c r="E108" s="2312">
        <f t="shared" si="32"/>
        <v>0</v>
      </c>
      <c r="F108" s="2312">
        <f t="shared" si="32"/>
        <v>0</v>
      </c>
      <c r="G108" s="2312">
        <f t="shared" si="32"/>
        <v>0</v>
      </c>
      <c r="H108" s="2312">
        <f t="shared" si="32"/>
        <v>0</v>
      </c>
      <c r="I108" s="2312">
        <f t="shared" si="32"/>
        <v>0</v>
      </c>
      <c r="J108" s="2312">
        <f t="shared" si="32"/>
        <v>0</v>
      </c>
      <c r="K108" s="2312">
        <f t="shared" si="32"/>
        <v>0</v>
      </c>
      <c r="L108" s="2312">
        <f t="shared" si="32"/>
        <v>0</v>
      </c>
      <c r="M108" s="2312">
        <f t="shared" si="32"/>
        <v>0</v>
      </c>
      <c r="N108" s="2312">
        <f t="shared" si="32"/>
        <v>0</v>
      </c>
      <c r="Q108" s="3060"/>
      <c r="R108" s="3060"/>
      <c r="S108" s="3060"/>
      <c r="T108" s="3060"/>
      <c r="U108" s="3060"/>
      <c r="V108" s="3060"/>
      <c r="W108" s="3060"/>
    </row>
    <row r="109" spans="1:23">
      <c r="A109" s="3584"/>
      <c r="B109" s="3586"/>
      <c r="C109" s="2313" t="e">
        <f>(-0.163*(C108^2)-0.59*C108+7617)*(10^(-4))/C101</f>
        <v>#DIV/0!</v>
      </c>
      <c r="D109" s="2313" t="e">
        <f>(-0.163*(D108^2)-0.59*D108+7617)*(10^(-4))/D101</f>
        <v>#DIV/0!</v>
      </c>
      <c r="E109" s="2313" t="e">
        <f>(-0.161*(E108^2)-7.509*E108+6533)*(10^(-4))/E101</f>
        <v>#DIV/0!</v>
      </c>
      <c r="F109" s="2313" t="e">
        <f>(-0.161*(F108^2)-7.509*F108+6533)*(10^(-4))/F101</f>
        <v>#DIV/0!</v>
      </c>
      <c r="G109" s="2313" t="e">
        <f>(-0.161*(G108^2)-7.509*G108+6533)*(10^(-4))/G101</f>
        <v>#DIV/0!</v>
      </c>
      <c r="H109" s="2313" t="e">
        <f>(-0.161*(H108^2)-7.509*H108+6533)*(10^(-4))/H101</f>
        <v>#DIV/0!</v>
      </c>
      <c r="I109" s="2313" t="e">
        <f>(-0.161*(I108^2)-7.509*I108+6533)*(10^(-4))/I101</f>
        <v>#DIV/0!</v>
      </c>
      <c r="J109" s="2313" t="e">
        <f>(-0.214*(J108^2)-21.991*J108+4665)*(10^(-4))/J101</f>
        <v>#DIV/0!</v>
      </c>
      <c r="K109" s="2313" t="e">
        <f>(-0.214*(K108^2)-21.991*K108+4665)*(10^(-4))/K101</f>
        <v>#DIV/0!</v>
      </c>
      <c r="L109" s="2313" t="e">
        <f>(-0.214*(L108^2)-21.991*L108+4665)*(10^(-4))/L101</f>
        <v>#DIV/0!</v>
      </c>
      <c r="M109" s="2313" t="e">
        <f>(-0.214*(M108^2)-21.991*M108+4665)*(10^(-4))/M101</f>
        <v>#DIV/0!</v>
      </c>
      <c r="N109" s="2313" t="e">
        <f>(-0.214*(N108^2)-21.991*N108+4665)*(10^(-4))/N101</f>
        <v>#DIV/0!</v>
      </c>
      <c r="Q109" s="3060"/>
      <c r="R109" s="3060"/>
      <c r="S109" s="3060"/>
      <c r="T109" s="3060"/>
      <c r="U109" s="3060"/>
      <c r="V109" s="3060"/>
      <c r="W109" s="3060"/>
    </row>
    <row r="110" spans="1:23">
      <c r="A110" s="3580" t="s">
        <v>2692</v>
      </c>
      <c r="B110" s="3580"/>
      <c r="C110" s="3580"/>
      <c r="D110" s="3580"/>
      <c r="E110" s="3580"/>
      <c r="F110" s="3580"/>
      <c r="G110" s="3580"/>
      <c r="H110" s="3580"/>
      <c r="I110" s="3580"/>
      <c r="J110" s="3580"/>
      <c r="K110" s="2079"/>
      <c r="L110" s="2079"/>
      <c r="M110" s="2079"/>
      <c r="N110" s="2079"/>
      <c r="Q110" s="3060"/>
      <c r="R110" s="3060"/>
      <c r="S110" s="3060"/>
      <c r="T110" s="3060"/>
      <c r="U110" s="3060"/>
      <c r="V110" s="3060"/>
      <c r="W110" s="3060"/>
    </row>
    <row r="112" spans="1:23" ht="13.8" thickBot="1"/>
    <row r="113" spans="1:13" ht="25.8" thickBot="1">
      <c r="A113" s="2316" t="s">
        <v>2693</v>
      </c>
      <c r="B113" s="2317">
        <f>G3</f>
        <v>0</v>
      </c>
      <c r="C113" s="2318" t="s">
        <v>2694</v>
      </c>
      <c r="D113" s="2319">
        <f>SUMPRODUCT((A115:A118=F113)*(B114:M114=H113)*B115:M118)</f>
        <v>0</v>
      </c>
      <c r="E113" s="1602" t="s">
        <v>2580</v>
      </c>
      <c r="F113" s="2320">
        <f>E2</f>
        <v>0</v>
      </c>
      <c r="G113" s="1602" t="s">
        <v>2514</v>
      </c>
      <c r="H113" s="2320">
        <f>G2</f>
        <v>0</v>
      </c>
      <c r="I113" s="1602"/>
      <c r="J113" s="2321"/>
      <c r="K113" s="2321"/>
      <c r="L113" s="2321"/>
      <c r="M113" s="2321"/>
    </row>
    <row r="114" spans="1:13">
      <c r="A114" s="2322"/>
      <c r="B114" s="2323" t="s">
        <v>2695</v>
      </c>
      <c r="C114" s="2323" t="s">
        <v>2696</v>
      </c>
      <c r="D114" s="2323" t="s">
        <v>2697</v>
      </c>
      <c r="E114" s="2324" t="s">
        <v>2698</v>
      </c>
      <c r="F114" s="2324" t="s">
        <v>2699</v>
      </c>
      <c r="G114" s="2324" t="s">
        <v>2700</v>
      </c>
      <c r="H114" s="2325" t="s">
        <v>2701</v>
      </c>
      <c r="I114" s="2325" t="s">
        <v>2702</v>
      </c>
      <c r="J114" s="2326" t="s">
        <v>2703</v>
      </c>
      <c r="K114" s="2326" t="s">
        <v>2704</v>
      </c>
      <c r="L114" s="2326" t="s">
        <v>2705</v>
      </c>
      <c r="M114" s="2327" t="s">
        <v>2706</v>
      </c>
    </row>
    <row r="115" spans="1:13">
      <c r="A115" s="2328" t="s">
        <v>2581</v>
      </c>
      <c r="B115" s="2329">
        <f>ROUND(0.9335-0.0094*B113,4)</f>
        <v>0.9335</v>
      </c>
      <c r="C115" s="2329">
        <f>B115</f>
        <v>0.9335</v>
      </c>
      <c r="D115" s="2329">
        <f>ROUND(0.8331-0.0109*B113,4)</f>
        <v>0.83309999999999995</v>
      </c>
      <c r="E115" s="2329">
        <f>D115</f>
        <v>0.83309999999999995</v>
      </c>
      <c r="F115" s="2329">
        <f>E115</f>
        <v>0.83309999999999995</v>
      </c>
      <c r="G115" s="2329">
        <f>F115</f>
        <v>0.83309999999999995</v>
      </c>
      <c r="H115" s="2329">
        <f>G115</f>
        <v>0.83309999999999995</v>
      </c>
      <c r="I115" s="2329">
        <f>ROUND(0.689-0.0155*B113,4)</f>
        <v>0.68899999999999995</v>
      </c>
      <c r="J115" s="2329">
        <f t="shared" ref="J115:M118" si="33">I115</f>
        <v>0.68899999999999995</v>
      </c>
      <c r="K115" s="2329">
        <f t="shared" si="33"/>
        <v>0.68899999999999995</v>
      </c>
      <c r="L115" s="2329">
        <f t="shared" si="33"/>
        <v>0.68899999999999995</v>
      </c>
      <c r="M115" s="2330">
        <f t="shared" si="33"/>
        <v>0.68899999999999995</v>
      </c>
    </row>
    <row r="116" spans="1:13">
      <c r="A116" s="2328" t="s">
        <v>2582</v>
      </c>
      <c r="B116" s="2329">
        <f>ROUND(0.949-0.012*B113,4)</f>
        <v>0.94899999999999995</v>
      </c>
      <c r="C116" s="2329">
        <f>B116</f>
        <v>0.94899999999999995</v>
      </c>
      <c r="D116" s="2329">
        <f>ROUND(0.8567-0.013*B113,4)</f>
        <v>0.85670000000000002</v>
      </c>
      <c r="E116" s="2329">
        <f t="shared" ref="E116:H117" si="34">D116</f>
        <v>0.85670000000000002</v>
      </c>
      <c r="F116" s="2329">
        <f t="shared" si="34"/>
        <v>0.85670000000000002</v>
      </c>
      <c r="G116" s="2329">
        <f t="shared" si="34"/>
        <v>0.85670000000000002</v>
      </c>
      <c r="H116" s="2329">
        <f t="shared" si="34"/>
        <v>0.85670000000000002</v>
      </c>
      <c r="I116" s="2329">
        <f>ROUND(0.7694-0.014*B113,4)</f>
        <v>0.76939999999999997</v>
      </c>
      <c r="J116" s="2329">
        <f t="shared" si="33"/>
        <v>0.76939999999999997</v>
      </c>
      <c r="K116" s="2329">
        <f t="shared" si="33"/>
        <v>0.76939999999999997</v>
      </c>
      <c r="L116" s="2329">
        <f t="shared" si="33"/>
        <v>0.76939999999999997</v>
      </c>
      <c r="M116" s="2330">
        <f t="shared" si="33"/>
        <v>0.76939999999999997</v>
      </c>
    </row>
    <row r="117" spans="1:13">
      <c r="A117" s="2328" t="s">
        <v>2583</v>
      </c>
      <c r="B117" s="2329">
        <f>ROUND(0.8808-0.006*B113,4)</f>
        <v>0.88080000000000003</v>
      </c>
      <c r="C117" s="2329">
        <f>B117</f>
        <v>0.88080000000000003</v>
      </c>
      <c r="D117" s="2329">
        <f>ROUND(0.8748-0.008*B113,4)</f>
        <v>0.87480000000000002</v>
      </c>
      <c r="E117" s="2329">
        <f t="shared" si="34"/>
        <v>0.87480000000000002</v>
      </c>
      <c r="F117" s="2329">
        <f t="shared" si="34"/>
        <v>0.87480000000000002</v>
      </c>
      <c r="G117" s="2329">
        <f t="shared" si="34"/>
        <v>0.87480000000000002</v>
      </c>
      <c r="H117" s="2329">
        <f t="shared" si="34"/>
        <v>0.87480000000000002</v>
      </c>
      <c r="I117" s="2329">
        <f>ROUND(0.7412-0.0095*B113,4)</f>
        <v>0.74119999999999997</v>
      </c>
      <c r="J117" s="2329">
        <f t="shared" si="33"/>
        <v>0.74119999999999997</v>
      </c>
      <c r="K117" s="2329">
        <f t="shared" si="33"/>
        <v>0.74119999999999997</v>
      </c>
      <c r="L117" s="2329">
        <f t="shared" si="33"/>
        <v>0.74119999999999997</v>
      </c>
      <c r="M117" s="2330">
        <f t="shared" si="33"/>
        <v>0.74119999999999997</v>
      </c>
    </row>
    <row r="118" spans="1:13" ht="13.8" thickBot="1">
      <c r="A118" s="2331" t="s">
        <v>2584</v>
      </c>
      <c r="B118" s="2332">
        <f>ROUND(0.7275-0.01*B113,4)</f>
        <v>0.72750000000000004</v>
      </c>
      <c r="C118" s="2332">
        <f>B118</f>
        <v>0.72750000000000004</v>
      </c>
      <c r="D118" s="2332">
        <f>ROUND(0.7043-0.012*B113,4)</f>
        <v>0.70430000000000004</v>
      </c>
      <c r="E118" s="2332">
        <f>D118</f>
        <v>0.70430000000000004</v>
      </c>
      <c r="F118" s="2332">
        <f>E118</f>
        <v>0.70430000000000004</v>
      </c>
      <c r="G118" s="2332">
        <f>ROUND(0.6299-0.0122*B113,4)</f>
        <v>0.62990000000000002</v>
      </c>
      <c r="H118" s="2332">
        <f>G118</f>
        <v>0.62990000000000002</v>
      </c>
      <c r="I118" s="2332">
        <f>ROUND(0.5667-0.0136*B113,4)</f>
        <v>0.56669999999999998</v>
      </c>
      <c r="J118" s="2332">
        <f t="shared" si="33"/>
        <v>0.56669999999999998</v>
      </c>
      <c r="K118" s="2332">
        <f t="shared" si="33"/>
        <v>0.56669999999999998</v>
      </c>
      <c r="L118" s="2332">
        <f t="shared" si="33"/>
        <v>0.56669999999999998</v>
      </c>
      <c r="M118" s="2333">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ColWidth="8.88671875" defaultRowHeight="14.4"/>
  <cols>
    <col min="1" max="1" width="12.6640625" style="741" customWidth="1"/>
    <col min="2" max="2" width="10.109375" style="674" customWidth="1"/>
  </cols>
  <sheetData>
    <row r="1" spans="1:6">
      <c r="A1" s="3592" t="s">
        <v>779</v>
      </c>
      <c r="B1" s="3592"/>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估价对象周边有顺2路、顺27路、顺28路、顺38路等多条公交线路，地铁15号线南法信站，综合评价交通便捷度较好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t="str">
        <f>估价对象房地状况!C10</f>
        <v>城市次干道——顺于路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估价对象所在区域公共配套设施较齐备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区域自然环境：小中河；综合评价环境状况一般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估价对象周边有顺2路、顺27路、顺28路、顺38路等多条公交线路，地铁15号线南法信站，综合评价交通便捷度较好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t="str">
        <f>估价对象房地状况!C10</f>
        <v>城市次干道——顺于路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估价对象所在区域公共配套设施较齐备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区域自然环境：小中河；综合评价环境状况一般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估价对象周边有华英园、马可汇、石门苑、玉兰苑、牡丹苑等社区，综合评价居住社区成熟度较好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估价对象周边有顺2路、顺27路、顺28路、顺38路等多条公交线路，地铁15号线南法信站，综合评价交通便捷度较好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t="str">
        <f>估价对象房地状况!C10</f>
        <v>城市次干道——顺于路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估价对象所在区域公共配套设施较齐备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区域自然环境：小中河；综合评价环境状况一般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1093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22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0"/>
      <c r="C2" s="3220"/>
      <c r="D2" s="3220"/>
      <c r="E2" s="3220"/>
    </row>
    <row r="3" spans="1:5" ht="13.5" customHeight="1">
      <c r="A3" s="1362"/>
      <c r="B3" s="1362"/>
      <c r="C3" s="1362"/>
      <c r="D3" s="1362"/>
      <c r="E3" s="1362"/>
    </row>
    <row r="4" spans="1:5" ht="18" thickBot="1">
      <c r="A4" s="3221" t="str">
        <f>IF(项目基本情况!D5="房地产市场价值","估价结果一览表（市场价值不需本页表格)","估价结果一览表")</f>
        <v>估价结果一览表（市场价值不需本页表格)</v>
      </c>
      <c r="B4" s="3221"/>
      <c r="C4" s="3221"/>
      <c r="D4" s="3221"/>
      <c r="E4" s="3221"/>
    </row>
    <row r="5" spans="1:5" ht="14.25" customHeight="1" thickTop="1">
      <c r="A5" s="1359"/>
      <c r="B5" s="1363" t="s">
        <v>742</v>
      </c>
      <c r="C5" s="3222" t="s">
        <v>775</v>
      </c>
      <c r="D5" s="3223"/>
      <c r="E5" s="1359"/>
    </row>
    <row r="6" spans="1:5" ht="15.6">
      <c r="A6" s="1359"/>
      <c r="B6" s="1364" t="str">
        <f>项目基本情况!I1</f>
        <v>北京市房地产</v>
      </c>
      <c r="C6" s="3224">
        <f>项目基本情况!C12</f>
        <v>0</v>
      </c>
      <c r="D6" s="3224"/>
      <c r="E6" s="1359"/>
    </row>
    <row r="7" spans="1:5" ht="15.6">
      <c r="A7" s="1359"/>
      <c r="B7" s="3218" t="s">
        <v>776</v>
      </c>
      <c r="C7" s="1365" t="str">
        <f>IF('数据-取费表'!B3="万元","总价（万元）","总价（元）")</f>
        <v>总价（元）</v>
      </c>
      <c r="D7" s="1366" t="e">
        <f ca="1">IF('数据-取费表'!E3="否",结果表!I102,'结果表 (1修多)'!I104)</f>
        <v>#REF!</v>
      </c>
      <c r="E7" s="1359"/>
    </row>
    <row r="8" spans="1:5" ht="15.6">
      <c r="A8" s="1359"/>
      <c r="B8" s="3218"/>
      <c r="C8" s="1367" t="s">
        <v>1162</v>
      </c>
      <c r="D8" s="1368" t="e">
        <f ca="1">IF('数据-取费表'!B3="万元",NUMBERSTRING(INT(D7*10000),2)&amp;"元整",NUMBERSTRING(INT(D7),2)&amp;"元整")</f>
        <v>#REF!</v>
      </c>
      <c r="E8" s="1359"/>
    </row>
    <row r="9" spans="1:5" ht="15.6">
      <c r="A9" s="1359"/>
      <c r="B9" s="3218"/>
      <c r="C9" s="1369" t="s">
        <v>1259</v>
      </c>
      <c r="D9" s="1366" t="e">
        <f ca="1">IF('数据-取费表'!E3="否",结果表!I103,'结果表 (1修多)'!I105)</f>
        <v>#REF!</v>
      </c>
      <c r="E9" s="1359"/>
    </row>
    <row r="10" spans="1:5" ht="15.6">
      <c r="A10" s="1359"/>
      <c r="B10" s="322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6">
      <c r="A11" s="1359"/>
      <c r="B11" s="3225"/>
      <c r="C11" s="1367" t="s">
        <v>1162</v>
      </c>
      <c r="D11" s="1368" t="str">
        <f>IF('数据-取费表'!B3="万元",NUMBERSTRING(INT(D10*10000),2)&amp;"元整",NUMBERSTRING(INT(D10),2)&amp;"元整")</f>
        <v>零元整</v>
      </c>
      <c r="E11" s="1359"/>
    </row>
    <row r="12" spans="1:5" ht="15.6">
      <c r="A12" s="1359"/>
      <c r="B12" s="1371" t="s">
        <v>743</v>
      </c>
      <c r="C12" s="1372" t="str">
        <f>C10</f>
        <v>总额（元）</v>
      </c>
      <c r="D12" s="1373">
        <f>IF('数据-取费表'!E3="否",结果表!I106,'结果表 (1修多)'!I108)</f>
        <v>0</v>
      </c>
      <c r="E12" s="1359"/>
    </row>
    <row r="13" spans="1:5" ht="15.6">
      <c r="A13" s="1359"/>
      <c r="B13" s="1371" t="s">
        <v>744</v>
      </c>
      <c r="C13" s="1372" t="str">
        <f>C10</f>
        <v>总额（元）</v>
      </c>
      <c r="D13" s="1373">
        <f>IF('数据-取费表'!E3="否",结果表!I107,'结果表 (1修多)'!I109)</f>
        <v>0</v>
      </c>
      <c r="E13" s="1359"/>
    </row>
    <row r="14" spans="1:5" ht="15.6">
      <c r="A14" s="1359"/>
      <c r="B14" s="1371" t="s">
        <v>745</v>
      </c>
      <c r="C14" s="1372" t="str">
        <f>C10</f>
        <v>总额（元）</v>
      </c>
      <c r="D14" s="1373">
        <f>IF('数据-取费表'!E3="否",结果表!I108,'结果表 (1修多)'!I110)</f>
        <v>0</v>
      </c>
      <c r="E14" s="1359"/>
    </row>
    <row r="15" spans="1:5" ht="15.6">
      <c r="A15" s="1359"/>
      <c r="B15" s="3225" t="str">
        <f>IF('数据-取费表'!E3="否",结果表!F110,'结果表 (1修多)'!F112)</f>
        <v>3.房地产抵押价值</v>
      </c>
      <c r="C15" s="1360" t="str">
        <f>C7</f>
        <v>总价（元）</v>
      </c>
      <c r="D15" s="1366" t="e">
        <f ca="1">IF('数据-取费表'!E3="否",结果表!I110,'结果表 (1修多)'!I112)</f>
        <v>#REF!</v>
      </c>
      <c r="E15" s="1359"/>
    </row>
    <row r="16" spans="1:5" ht="15.6">
      <c r="A16" s="1359"/>
      <c r="B16" s="3225"/>
      <c r="C16" s="1367" t="s">
        <v>1162</v>
      </c>
      <c r="D16" s="1366" t="e">
        <f ca="1">IF('数据-取费表'!B3="万元",NUMBERSTRING(INT(D15*10000),2)&amp;"元整",NUMBERSTRING(INT(D15),2)&amp;"元整")</f>
        <v>#REF!</v>
      </c>
      <c r="E16" s="1359"/>
    </row>
    <row r="17" spans="1:5" ht="15.6">
      <c r="A17" s="1359"/>
      <c r="B17" s="3225"/>
      <c r="C17" s="1369" t="s">
        <v>1259</v>
      </c>
      <c r="D17" s="1366" t="e">
        <f ca="1">IF('数据-取费表'!E3="否",结果表!I111,'结果表 (1修多)'!I113)</f>
        <v>#REF!</v>
      </c>
      <c r="E17" s="1359"/>
    </row>
    <row r="18" spans="1:5" ht="15.6">
      <c r="A18" s="1359"/>
      <c r="B18" s="3225" t="str">
        <f>IF('数据-取费表'!E3="否",结果表!F112,'结果表 (1修多)'!F114)</f>
        <v>——</v>
      </c>
      <c r="C18" s="1360" t="str">
        <f>C7</f>
        <v>总价（元）</v>
      </c>
      <c r="D18" s="1366" t="str">
        <f>IF('数据-取费表'!E3="否",结果表!I112,'结果表 (1修多)'!I114)</f>
        <v>——</v>
      </c>
      <c r="E18" s="1359"/>
    </row>
    <row r="19" spans="1:5" ht="15.6">
      <c r="A19" s="1359"/>
      <c r="B19" s="3225"/>
      <c r="C19" s="1367" t="s">
        <v>1162</v>
      </c>
      <c r="D19" s="1366" t="e">
        <f>IF('数据-取费表'!B3="万元",NUMBERSTRING(INT(D18*10000),2)&amp;"元整",NUMBERSTRING(INT(D18),2)&amp;"元整")</f>
        <v>#VALUE!</v>
      </c>
      <c r="E19" s="1359"/>
    </row>
    <row r="20" spans="1:5" ht="15.6">
      <c r="A20" s="1359"/>
      <c r="B20" s="3225"/>
      <c r="C20" s="1369" t="s">
        <v>1259</v>
      </c>
      <c r="D20" s="1366" t="str">
        <f>IF('数据-取费表'!E3="否",结果表!I113,'结果表 (1修多)'!I115)</f>
        <v>——</v>
      </c>
      <c r="E20" s="1359"/>
    </row>
    <row r="21" spans="1:5" ht="15.6">
      <c r="A21" s="1359"/>
      <c r="B21" s="3218" t="str">
        <f>IF('数据-取费表'!E3="否",结果表!F114,'结果表 (1修多)'!F116)</f>
        <v>——</v>
      </c>
      <c r="C21" s="1365" t="str">
        <f>C7</f>
        <v>总价（元）</v>
      </c>
      <c r="D21" s="1366" t="str">
        <f>IF('数据-取费表'!E3="否",结果表!I114,'结果表 (1修多)'!I116)</f>
        <v>——</v>
      </c>
      <c r="E21" s="1359"/>
    </row>
    <row r="22" spans="1:5" ht="15.6">
      <c r="A22" s="1359"/>
      <c r="B22" s="3218"/>
      <c r="C22" s="1367" t="s">
        <v>1162</v>
      </c>
      <c r="D22" s="1368" t="e">
        <f>IF('数据-取费表'!B3="万元",NUMBERSTRING(INT(D21*10000),2)&amp;"元整",NUMBERSTRING(INT(D21),2)&amp;"元整")</f>
        <v>#VALUE!</v>
      </c>
      <c r="E22" s="1359"/>
    </row>
    <row r="23" spans="1:5" ht="16.2" thickBot="1">
      <c r="A23" s="1359"/>
      <c r="B23" s="3219"/>
      <c r="C23" s="1374" t="s">
        <v>1259</v>
      </c>
      <c r="D23" s="1375" t="e">
        <f ca="1">IF('数据-取费表'!E3="否",结果表!I115,'结果表 (1修多)'!I117)</f>
        <v>#REF!</v>
      </c>
      <c r="E23" s="1359"/>
    </row>
    <row r="24" spans="1:5" ht="15" thickTop="1">
      <c r="A24" s="1359"/>
      <c r="B24" s="1359"/>
      <c r="C24" s="1359"/>
      <c r="D24" s="1359"/>
      <c r="E24" s="1359"/>
    </row>
    <row r="25" spans="1:5" ht="18.75" customHeight="1" thickBot="1">
      <c r="A25" s="1359"/>
      <c r="B25" s="3210" t="s">
        <v>1260</v>
      </c>
      <c r="C25" s="3210"/>
      <c r="D25" s="3210"/>
      <c r="E25" s="1359"/>
    </row>
    <row r="26" spans="1:5" ht="18.75" customHeight="1" thickTop="1">
      <c r="A26" s="1359"/>
      <c r="B26" s="3213" t="s">
        <v>1161</v>
      </c>
      <c r="C26" s="3214"/>
      <c r="D26" s="3211" t="s">
        <v>1160</v>
      </c>
      <c r="E26" s="1359"/>
    </row>
    <row r="27" spans="1:5" ht="18.75" customHeight="1">
      <c r="A27" s="1359"/>
      <c r="B27" s="3215"/>
      <c r="C27" s="3216"/>
      <c r="D27" s="3212"/>
      <c r="E27" s="1359"/>
    </row>
    <row r="28" spans="1:5" ht="15.6">
      <c r="A28" s="1359"/>
      <c r="B28" s="3203" t="s">
        <v>776</v>
      </c>
      <c r="C28" s="1376" t="s">
        <v>1163</v>
      </c>
      <c r="D28" s="1377" t="e">
        <f ca="1">IF('数据-取费表'!E3="否",结果表!I102,'结果表 (1修多)'!I104)</f>
        <v>#REF!</v>
      </c>
      <c r="E28" s="1359"/>
    </row>
    <row r="29" spans="1:5" ht="15.6">
      <c r="A29" s="1359"/>
      <c r="B29" s="3204"/>
      <c r="C29" s="1378" t="s">
        <v>1162</v>
      </c>
      <c r="D29" s="1379" t="e">
        <f ca="1">IF('数据-取费表'!B3="万元",NUMBERSTRING(INT(D28*10000),2)&amp;"元整",NUMBERSTRING(INT(D28),2)&amp;"元整")</f>
        <v>#REF!</v>
      </c>
      <c r="E29" s="1359"/>
    </row>
    <row r="30" spans="1:5" ht="15.6">
      <c r="A30" s="1359"/>
      <c r="B30" s="3205"/>
      <c r="C30" s="1369" t="s">
        <v>1165</v>
      </c>
      <c r="D30" s="1380" t="e">
        <f ca="1">IF('数据-取费表'!E3="否",结果表!I103,'结果表 (1修多)'!I105)</f>
        <v>#REF!</v>
      </c>
      <c r="E30" s="1359"/>
    </row>
    <row r="31" spans="1:5" ht="15.6">
      <c r="A31" s="1359"/>
      <c r="B31" s="3208" t="str">
        <f>B10</f>
        <v>2.估价师所知悉的法定优先受偿款</v>
      </c>
      <c r="C31" s="1381" t="s">
        <v>1164</v>
      </c>
      <c r="D31" s="1382">
        <f>IF('数据-取费表'!E3="否",结果表!I105,'结果表 (1修多)'!I107)</f>
        <v>0</v>
      </c>
      <c r="E31" s="1359"/>
    </row>
    <row r="32" spans="1:5" ht="15.6">
      <c r="A32" s="1359"/>
      <c r="B32" s="3217"/>
      <c r="C32" s="1378" t="s">
        <v>1162</v>
      </c>
      <c r="D32" s="1383" t="str">
        <f>IF('数据-取费表'!B3="万元",NUMBERSTRING(INT(D31*10000),2)&amp;"元整",NUMBERSTRING(INT(D31),2)&amp;"元整")</f>
        <v>零元整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IF('数据-取费表'!E3="否",结果表!I108,'结果表 (1修多)'!I110)</f>
        <v>0</v>
      </c>
      <c r="E35" s="1359"/>
    </row>
    <row r="36" spans="1:5" ht="15.6">
      <c r="A36" s="1359"/>
      <c r="B36" s="3206" t="str">
        <f>B15</f>
        <v>3.房地产抵押价值</v>
      </c>
      <c r="C36" s="1381" t="str">
        <f>C28</f>
        <v>总价</v>
      </c>
      <c r="D36" s="1382" t="e">
        <f ca="1">IF('数据-取费表'!E3="否",结果表!I110,'结果表 (1修多)'!I112)</f>
        <v>#REF!</v>
      </c>
      <c r="E36" s="1359"/>
    </row>
    <row r="37" spans="1:5" ht="15.6">
      <c r="A37" s="1359"/>
      <c r="B37" s="3206"/>
      <c r="C37" s="1378" t="s">
        <v>1162</v>
      </c>
      <c r="D37" s="1383" t="e">
        <f ca="1">IF('数据-取费表'!B3="万元",NUMBERSTRING(INT(D36*10000),2)&amp;"元整",NUMBERSTRING(INT(D36),2)&amp;"元整")</f>
        <v>#REF!</v>
      </c>
      <c r="E37" s="1359"/>
    </row>
    <row r="38" spans="1:5" ht="15.6">
      <c r="A38" s="1359"/>
      <c r="B38" s="3206"/>
      <c r="C38" s="1369" t="s">
        <v>1166</v>
      </c>
      <c r="D38" s="1380" t="e">
        <f ca="1">IF('数据-取费表'!E3="否",结果表!D113,'结果表 (1修多)'!D117)</f>
        <v>#REF!</v>
      </c>
      <c r="E38" s="1359"/>
    </row>
    <row r="39" spans="1:5" ht="15.6">
      <c r="A39" s="1359"/>
      <c r="B39" s="3207" t="str">
        <f>B18</f>
        <v>——</v>
      </c>
      <c r="C39" s="1381" t="str">
        <f>C28</f>
        <v>总价</v>
      </c>
      <c r="D39" s="1382" t="str">
        <f>IF('数据-取费表'!E3="否",结果表!I112,'结果表 (1修多)'!I114)</f>
        <v>——</v>
      </c>
      <c r="E39" s="1359"/>
    </row>
    <row r="40" spans="1:5" ht="15.6">
      <c r="A40" s="1359"/>
      <c r="B40" s="3207"/>
      <c r="C40" s="1378" t="s">
        <v>1162</v>
      </c>
      <c r="D40" s="1383" t="e">
        <f>IF('数据-取费表'!B3="万元",NUMBERSTRING(INT(D39*10000),2)&amp;"元整",NUMBERSTRING(INT(D39),2)&amp;"元整")</f>
        <v>#VALUE!</v>
      </c>
      <c r="E40" s="1359"/>
    </row>
    <row r="41" spans="1:5" ht="15.6">
      <c r="A41" s="1359"/>
      <c r="B41" s="3207"/>
      <c r="C41" s="1369" t="s">
        <v>1166</v>
      </c>
      <c r="D41" s="1380" t="str">
        <f>IF('数据-取费表'!E3="否",结果表!D115,'结果表 (1修多)'!D119)</f>
        <v>——</v>
      </c>
      <c r="E41" s="1359"/>
    </row>
    <row r="42" spans="1:5" ht="15.6">
      <c r="A42" s="1359"/>
      <c r="B42" s="3206" t="str">
        <f>B21</f>
        <v>——</v>
      </c>
      <c r="C42" s="1381" t="str">
        <f>C28</f>
        <v>总价</v>
      </c>
      <c r="D42" s="1382" t="str">
        <f>IF('数据-取费表'!E3="否",结果表!I114,'结果表 (1修多)'!I116)</f>
        <v>——</v>
      </c>
      <c r="E42" s="1359"/>
    </row>
    <row r="43" spans="1:5" ht="15.6">
      <c r="A43" s="1359"/>
      <c r="B43" s="3208"/>
      <c r="C43" s="1378" t="s">
        <v>1162</v>
      </c>
      <c r="D43" s="1384" t="e">
        <f>IF('数据-取费表'!B3="万元",NUMBERSTRING(INT(D42*10000),2)&amp;"元整",NUMBERSTRING(INT(D42),2)&amp;"元整")</f>
        <v>#VALUE!</v>
      </c>
      <c r="E43" s="1359"/>
    </row>
    <row r="44" spans="1:5" ht="16.2" thickBot="1">
      <c r="A44" s="1359"/>
      <c r="B44" s="3209"/>
      <c r="C44" s="1374" t="s">
        <v>1166</v>
      </c>
      <c r="D44" s="1385" t="e">
        <f ca="1">IF('数据-取费表'!E3="否",结果表!D117,'结果表 (1修多)'!D121)</f>
        <v>#REF!</v>
      </c>
      <c r="E44" s="1359"/>
    </row>
    <row r="45" spans="1:5" ht="15" thickTop="1">
      <c r="A45" s="1359"/>
      <c r="B45" s="1359" t="str">
        <f>IF('数据-取费表'!B3="元","单位：元、元/平方米（单位：人民币）","单位：万元、元/平方米（单位：人民币）")</f>
        <v>单位：万元、元/平方米（单位：人民币）</v>
      </c>
      <c r="C45" s="1359"/>
      <c r="D45" s="1359"/>
      <c r="E45" s="1359"/>
    </row>
    <row r="46" spans="1:5" ht="17.399999999999999">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4.4"/>
  <cols>
    <col min="1" max="1" width="12.6640625" style="741" customWidth="1"/>
    <col min="2" max="5" width="10.109375" style="674" customWidth="1"/>
    <col min="6" max="6" width="9" style="674"/>
    <col min="7" max="7" width="9" style="705"/>
    <col min="8" max="8" width="9" style="674"/>
    <col min="9" max="9" width="9" style="705"/>
    <col min="10" max="16384" width="9" style="674"/>
  </cols>
  <sheetData>
    <row r="1" spans="1:20">
      <c r="A1" s="3592" t="s">
        <v>105</v>
      </c>
      <c r="B1" s="3592"/>
      <c r="C1" s="3592"/>
      <c r="D1" s="3592"/>
      <c r="E1" s="3592"/>
      <c r="F1" s="359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93" t="s">
        <v>118</v>
      </c>
      <c r="B2" s="3593"/>
      <c r="C2" s="3593"/>
      <c r="D2" s="3593"/>
      <c r="E2" s="3593"/>
      <c r="F2" s="359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9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9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19"/>
  <sheetViews>
    <sheetView workbookViewId="0">
      <selection activeCell="A15" sqref="A15:M15"/>
    </sheetView>
  </sheetViews>
  <sheetFormatPr defaultColWidth="8.109375" defaultRowHeight="19.5" customHeight="1"/>
  <cols>
    <col min="1" max="1" width="13.6640625" style="680" customWidth="1"/>
    <col min="2" max="9" width="8.109375" style="764" customWidth="1"/>
    <col min="10" max="13" width="8.109375" style="680"/>
    <col min="14" max="14" width="10" style="680" customWidth="1"/>
    <col min="15" max="16" width="8.109375" style="680"/>
    <col min="17" max="17" width="34.109375" style="680" customWidth="1"/>
    <col min="18" max="18" width="8.109375" style="680" customWidth="1"/>
    <col min="19" max="19" width="8.109375" style="680"/>
    <col min="20" max="20" width="11.6640625" style="680" customWidth="1"/>
    <col min="21" max="16384" width="8.1093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96" t="s">
        <v>132</v>
      </c>
      <c r="B18" s="768" t="s">
        <v>517</v>
      </c>
      <c r="C18" s="769" t="s">
        <v>518</v>
      </c>
      <c r="D18" s="770"/>
      <c r="E18" s="768">
        <v>1</v>
      </c>
      <c r="F18" s="771" t="s">
        <v>519</v>
      </c>
      <c r="G18" s="772"/>
      <c r="H18" s="764"/>
      <c r="I18" s="764"/>
    </row>
    <row r="19" spans="1:9" s="773" customFormat="1" ht="19.5" customHeight="1">
      <c r="A19" s="3596"/>
      <c r="B19" s="3596" t="s">
        <v>520</v>
      </c>
      <c r="C19" s="769" t="s">
        <v>521</v>
      </c>
      <c r="D19" s="770"/>
      <c r="E19" s="768">
        <v>0.9</v>
      </c>
      <c r="F19" s="771" t="s">
        <v>522</v>
      </c>
      <c r="G19" s="772"/>
      <c r="H19" s="764"/>
      <c r="I19" s="764"/>
    </row>
    <row r="20" spans="1:9" s="773" customFormat="1" ht="19.5" customHeight="1">
      <c r="A20" s="3596"/>
      <c r="B20" s="3596"/>
      <c r="C20" s="769" t="s">
        <v>523</v>
      </c>
      <c r="D20" s="770"/>
      <c r="E20" s="768">
        <v>1.1000000000000001</v>
      </c>
      <c r="F20" s="771" t="s">
        <v>524</v>
      </c>
      <c r="G20" s="772"/>
      <c r="H20" s="764"/>
      <c r="I20" s="764"/>
    </row>
    <row r="21" spans="1:9" s="773" customFormat="1" ht="19.5" customHeight="1">
      <c r="A21" s="3596"/>
      <c r="B21" s="3596"/>
      <c r="C21" s="769" t="s">
        <v>525</v>
      </c>
      <c r="D21" s="770"/>
      <c r="E21" s="768">
        <v>0.8</v>
      </c>
      <c r="F21" s="771" t="s">
        <v>526</v>
      </c>
      <c r="G21" s="772"/>
      <c r="H21" s="764"/>
      <c r="I21" s="764"/>
    </row>
    <row r="22" spans="1:9" s="773" customFormat="1" ht="19.5" customHeight="1">
      <c r="A22" s="3596"/>
      <c r="B22" s="3596"/>
      <c r="C22" s="769" t="s">
        <v>527</v>
      </c>
      <c r="D22" s="770"/>
      <c r="E22" s="768">
        <v>0.5</v>
      </c>
      <c r="F22" s="771"/>
      <c r="G22" s="772"/>
      <c r="H22" s="764"/>
      <c r="I22" s="764"/>
    </row>
    <row r="23" spans="1:9" s="773" customFormat="1" ht="19.5" customHeight="1">
      <c r="A23" s="3596" t="s">
        <v>133</v>
      </c>
      <c r="B23" s="768" t="s">
        <v>517</v>
      </c>
      <c r="C23" s="769" t="s">
        <v>528</v>
      </c>
      <c r="D23" s="770"/>
      <c r="E23" s="768">
        <v>1</v>
      </c>
      <c r="F23" s="771" t="s">
        <v>529</v>
      </c>
      <c r="G23" s="772"/>
      <c r="H23" s="764"/>
      <c r="I23" s="764"/>
    </row>
    <row r="24" spans="1:9" s="773" customFormat="1" ht="19.5" customHeight="1">
      <c r="A24" s="3596"/>
      <c r="B24" s="3596" t="s">
        <v>520</v>
      </c>
      <c r="C24" s="769" t="s">
        <v>530</v>
      </c>
      <c r="D24" s="770"/>
      <c r="E24" s="768">
        <v>0.5</v>
      </c>
      <c r="F24" s="771"/>
      <c r="G24" s="772"/>
      <c r="H24" s="764"/>
      <c r="I24" s="764"/>
    </row>
    <row r="25" spans="1:9" s="773" customFormat="1" ht="19.5" customHeight="1">
      <c r="A25" s="3596"/>
      <c r="B25" s="3596"/>
      <c r="C25" s="769" t="s">
        <v>531</v>
      </c>
      <c r="D25" s="770"/>
      <c r="E25" s="768">
        <v>1.1000000000000001</v>
      </c>
      <c r="F25" s="771"/>
      <c r="G25" s="772"/>
      <c r="H25" s="764"/>
      <c r="I25" s="764"/>
    </row>
    <row r="26" spans="1:9" s="773" customFormat="1" ht="19.5" customHeight="1">
      <c r="A26" s="3596"/>
      <c r="B26" s="3596"/>
      <c r="C26" s="769" t="s">
        <v>532</v>
      </c>
      <c r="D26" s="770"/>
      <c r="E26" s="768">
        <v>1.1000000000000001</v>
      </c>
      <c r="F26" s="771"/>
      <c r="G26" s="772"/>
      <c r="H26" s="764"/>
      <c r="I26" s="764"/>
    </row>
    <row r="27" spans="1:9" s="773" customFormat="1" ht="19.5" customHeight="1">
      <c r="A27" s="3596"/>
      <c r="B27" s="3596"/>
      <c r="C27" s="769" t="s">
        <v>533</v>
      </c>
      <c r="D27" s="770"/>
      <c r="E27" s="768">
        <v>0.9</v>
      </c>
      <c r="F27" s="771" t="s">
        <v>534</v>
      </c>
      <c r="G27" s="772"/>
      <c r="H27" s="764"/>
      <c r="I27" s="764"/>
    </row>
    <row r="28" spans="1:9" s="773" customFormat="1" ht="19.5" customHeight="1">
      <c r="A28" s="3596"/>
      <c r="B28" s="3596"/>
      <c r="C28" s="769" t="s">
        <v>535</v>
      </c>
      <c r="D28" s="770"/>
      <c r="E28" s="768">
        <v>0.9</v>
      </c>
      <c r="F28" s="771" t="s">
        <v>536</v>
      </c>
      <c r="G28" s="772"/>
      <c r="H28" s="764"/>
      <c r="I28" s="764"/>
    </row>
    <row r="29" spans="1:9" s="773" customFormat="1" ht="19.5" customHeight="1">
      <c r="A29" s="3596"/>
      <c r="B29" s="3596"/>
      <c r="C29" s="769" t="s">
        <v>537</v>
      </c>
      <c r="D29" s="770"/>
      <c r="E29" s="768">
        <v>0.9</v>
      </c>
      <c r="F29" s="771" t="s">
        <v>538</v>
      </c>
      <c r="G29" s="772"/>
      <c r="H29" s="764"/>
      <c r="I29" s="764"/>
    </row>
    <row r="30" spans="1:9" s="773" customFormat="1" ht="19.5" customHeight="1">
      <c r="A30" s="3596"/>
      <c r="B30" s="3596"/>
      <c r="C30" s="769" t="s">
        <v>539</v>
      </c>
      <c r="D30" s="770"/>
      <c r="E30" s="768">
        <v>0.9</v>
      </c>
      <c r="F30" s="771" t="s">
        <v>540</v>
      </c>
      <c r="G30" s="772"/>
      <c r="H30" s="764"/>
      <c r="I30" s="764"/>
    </row>
    <row r="31" spans="1:9" s="773" customFormat="1" ht="19.5" customHeight="1">
      <c r="A31" s="3596"/>
      <c r="B31" s="3596"/>
      <c r="C31" s="769" t="s">
        <v>541</v>
      </c>
      <c r="D31" s="770"/>
      <c r="E31" s="768">
        <v>0.8</v>
      </c>
      <c r="F31" s="771" t="s">
        <v>542</v>
      </c>
      <c r="G31" s="772"/>
      <c r="H31" s="764"/>
      <c r="I31" s="764"/>
    </row>
    <row r="32" spans="1:9" s="773" customFormat="1" ht="19.5" customHeight="1">
      <c r="A32" s="3596"/>
      <c r="B32" s="3596"/>
      <c r="C32" s="769" t="s">
        <v>543</v>
      </c>
      <c r="D32" s="770"/>
      <c r="E32" s="768">
        <v>0.8</v>
      </c>
      <c r="F32" s="771" t="s">
        <v>544</v>
      </c>
      <c r="G32" s="772"/>
      <c r="H32" s="764"/>
      <c r="I32" s="764"/>
    </row>
    <row r="33" spans="1:9" s="773" customFormat="1" ht="19.5" customHeight="1">
      <c r="A33" s="3596" t="s">
        <v>134</v>
      </c>
      <c r="B33" s="768" t="s">
        <v>517</v>
      </c>
      <c r="C33" s="769" t="s">
        <v>545</v>
      </c>
      <c r="D33" s="770"/>
      <c r="E33" s="768">
        <v>1</v>
      </c>
      <c r="F33" s="771" t="s">
        <v>546</v>
      </c>
      <c r="G33" s="772"/>
      <c r="H33" s="764"/>
      <c r="I33" s="764"/>
    </row>
    <row r="34" spans="1:9" s="773" customFormat="1" ht="19.5" customHeight="1">
      <c r="A34" s="3596"/>
      <c r="B34" s="768" t="s">
        <v>520</v>
      </c>
      <c r="C34" s="769" t="s">
        <v>547</v>
      </c>
      <c r="D34" s="770"/>
      <c r="E34" s="768">
        <v>1.5</v>
      </c>
      <c r="F34" s="771" t="s">
        <v>548</v>
      </c>
      <c r="G34" s="772"/>
      <c r="H34" s="764"/>
      <c r="I34" s="764"/>
    </row>
    <row r="35" spans="1:9" s="773" customFormat="1" ht="19.5" customHeight="1">
      <c r="A35" s="3596" t="s">
        <v>135</v>
      </c>
      <c r="B35" s="768" t="s">
        <v>517</v>
      </c>
      <c r="C35" s="769" t="s">
        <v>549</v>
      </c>
      <c r="D35" s="770"/>
      <c r="E35" s="768">
        <v>1</v>
      </c>
      <c r="F35" s="771" t="s">
        <v>550</v>
      </c>
      <c r="G35" s="772"/>
      <c r="H35" s="764"/>
      <c r="I35" s="764"/>
    </row>
    <row r="36" spans="1:9" s="773" customFormat="1" ht="19.5" customHeight="1">
      <c r="A36" s="3596"/>
      <c r="B36" s="3596" t="s">
        <v>520</v>
      </c>
      <c r="C36" s="769" t="s">
        <v>551</v>
      </c>
      <c r="D36" s="770"/>
      <c r="E36" s="768">
        <v>1</v>
      </c>
      <c r="F36" s="771" t="s">
        <v>552</v>
      </c>
      <c r="G36" s="772"/>
      <c r="H36" s="764"/>
      <c r="I36" s="764"/>
    </row>
    <row r="37" spans="1:9" s="773" customFormat="1" ht="19.5" customHeight="1">
      <c r="A37" s="3596"/>
      <c r="B37" s="3596"/>
      <c r="C37" s="769" t="s">
        <v>553</v>
      </c>
      <c r="D37" s="770"/>
      <c r="E37" s="768">
        <v>1.5</v>
      </c>
      <c r="F37" s="771" t="s">
        <v>554</v>
      </c>
      <c r="G37" s="772"/>
      <c r="H37" s="764"/>
      <c r="I37" s="764"/>
    </row>
    <row r="38" spans="1:9" s="773" customFormat="1" ht="19.5" customHeight="1">
      <c r="A38" s="3596"/>
      <c r="B38" s="3596"/>
      <c r="C38" s="769" t="s">
        <v>555</v>
      </c>
      <c r="D38" s="770"/>
      <c r="E38" s="768">
        <v>1</v>
      </c>
      <c r="F38" s="771" t="s">
        <v>556</v>
      </c>
      <c r="G38" s="772"/>
      <c r="H38" s="764"/>
      <c r="I38" s="764"/>
    </row>
    <row r="39" spans="1:9" s="773" customFormat="1" ht="19.5" customHeight="1">
      <c r="A39" s="3596"/>
      <c r="B39" s="359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96" t="s">
        <v>571</v>
      </c>
      <c r="C61" s="682" t="s">
        <v>572</v>
      </c>
      <c r="D61" s="682" t="s">
        <v>573</v>
      </c>
      <c r="E61" s="781">
        <v>0.5</v>
      </c>
      <c r="F61" s="768">
        <v>80</v>
      </c>
    </row>
    <row r="62" spans="1:8" s="764" customFormat="1" ht="36">
      <c r="A62" s="768">
        <v>2</v>
      </c>
      <c r="B62" s="3596"/>
      <c r="C62" s="682" t="s">
        <v>574</v>
      </c>
      <c r="D62" s="682" t="s">
        <v>575</v>
      </c>
      <c r="E62" s="781">
        <v>0.5</v>
      </c>
      <c r="F62" s="768">
        <v>80</v>
      </c>
    </row>
    <row r="63" spans="1:8" s="764" customFormat="1" ht="48">
      <c r="A63" s="768">
        <v>3</v>
      </c>
      <c r="B63" s="3596"/>
      <c r="C63" s="682" t="s">
        <v>576</v>
      </c>
      <c r="D63" s="682" t="s">
        <v>577</v>
      </c>
      <c r="E63" s="781">
        <v>0.5</v>
      </c>
      <c r="F63" s="768">
        <v>80</v>
      </c>
    </row>
    <row r="64" spans="1:8" s="764" customFormat="1" ht="48">
      <c r="A64" s="768">
        <v>4</v>
      </c>
      <c r="B64" s="3596"/>
      <c r="C64" s="682" t="s">
        <v>578</v>
      </c>
      <c r="D64" s="682" t="s">
        <v>579</v>
      </c>
      <c r="E64" s="781">
        <v>0.4</v>
      </c>
      <c r="F64" s="768">
        <v>60</v>
      </c>
    </row>
    <row r="65" spans="1:6" s="764" customFormat="1" ht="48">
      <c r="A65" s="768">
        <v>5</v>
      </c>
      <c r="B65" s="3596"/>
      <c r="C65" s="682" t="s">
        <v>580</v>
      </c>
      <c r="D65" s="682" t="s">
        <v>581</v>
      </c>
      <c r="E65" s="781">
        <v>0.2</v>
      </c>
      <c r="F65" s="768">
        <v>30</v>
      </c>
    </row>
    <row r="66" spans="1:6" s="764" customFormat="1" ht="48">
      <c r="A66" s="768">
        <v>6</v>
      </c>
      <c r="B66" s="3596"/>
      <c r="C66" s="682" t="s">
        <v>582</v>
      </c>
      <c r="D66" s="682" t="s">
        <v>583</v>
      </c>
      <c r="E66" s="781">
        <v>0.3</v>
      </c>
      <c r="F66" s="768">
        <v>50</v>
      </c>
    </row>
    <row r="67" spans="1:6" s="764" customFormat="1" ht="48">
      <c r="A67" s="768">
        <v>7</v>
      </c>
      <c r="B67" s="3596"/>
      <c r="C67" s="682" t="s">
        <v>584</v>
      </c>
      <c r="D67" s="682" t="s">
        <v>585</v>
      </c>
      <c r="E67" s="781">
        <v>0.2</v>
      </c>
      <c r="F67" s="768">
        <v>30</v>
      </c>
    </row>
    <row r="68" spans="1:6" s="764" customFormat="1" ht="48">
      <c r="A68" s="768">
        <v>8</v>
      </c>
      <c r="B68" s="3596"/>
      <c r="C68" s="682" t="s">
        <v>586</v>
      </c>
      <c r="D68" s="682" t="s">
        <v>587</v>
      </c>
      <c r="E68" s="781">
        <v>0.2</v>
      </c>
      <c r="F68" s="768">
        <v>30</v>
      </c>
    </row>
    <row r="69" spans="1:6" s="764" customFormat="1" ht="48">
      <c r="A69" s="768">
        <v>9</v>
      </c>
      <c r="B69" s="3596"/>
      <c r="C69" s="682" t="s">
        <v>588</v>
      </c>
      <c r="D69" s="682" t="s">
        <v>589</v>
      </c>
      <c r="E69" s="781">
        <v>0.2</v>
      </c>
      <c r="F69" s="768">
        <v>30</v>
      </c>
    </row>
    <row r="70" spans="1:6" s="764" customFormat="1" ht="60">
      <c r="A70" s="768">
        <v>10</v>
      </c>
      <c r="B70" s="3596"/>
      <c r="C70" s="682" t="s">
        <v>590</v>
      </c>
      <c r="D70" s="682" t="s">
        <v>591</v>
      </c>
      <c r="E70" s="781">
        <v>0.2</v>
      </c>
      <c r="F70" s="768">
        <v>30</v>
      </c>
    </row>
    <row r="71" spans="1:6" s="764" customFormat="1" ht="60">
      <c r="A71" s="768">
        <v>11</v>
      </c>
      <c r="B71" s="3596"/>
      <c r="C71" s="682" t="s">
        <v>592</v>
      </c>
      <c r="D71" s="682" t="s">
        <v>593</v>
      </c>
      <c r="E71" s="781">
        <v>0.2</v>
      </c>
      <c r="F71" s="768">
        <v>30</v>
      </c>
    </row>
    <row r="72" spans="1:6" s="764" customFormat="1" ht="36">
      <c r="A72" s="768">
        <v>12</v>
      </c>
      <c r="B72" s="3596"/>
      <c r="C72" s="682" t="s">
        <v>594</v>
      </c>
      <c r="D72" s="682" t="s">
        <v>595</v>
      </c>
      <c r="E72" s="781">
        <v>0.5</v>
      </c>
      <c r="F72" s="768">
        <v>80</v>
      </c>
    </row>
    <row r="73" spans="1:6" s="764" customFormat="1" ht="36">
      <c r="A73" s="768">
        <v>13</v>
      </c>
      <c r="B73" s="3596"/>
      <c r="C73" s="682" t="s">
        <v>596</v>
      </c>
      <c r="D73" s="682" t="s">
        <v>597</v>
      </c>
      <c r="E73" s="781">
        <v>0.4</v>
      </c>
      <c r="F73" s="768">
        <v>60</v>
      </c>
    </row>
    <row r="74" spans="1:6" s="764" customFormat="1" ht="36">
      <c r="A74" s="768">
        <v>14</v>
      </c>
      <c r="B74" s="3596"/>
      <c r="C74" s="682" t="s">
        <v>598</v>
      </c>
      <c r="D74" s="682" t="s">
        <v>599</v>
      </c>
      <c r="E74" s="781">
        <v>0.2</v>
      </c>
      <c r="F74" s="768">
        <v>30</v>
      </c>
    </row>
    <row r="75" spans="1:6" s="764" customFormat="1" ht="36">
      <c r="A75" s="768">
        <v>15</v>
      </c>
      <c r="B75" s="3596"/>
      <c r="C75" s="682" t="s">
        <v>600</v>
      </c>
      <c r="D75" s="682" t="s">
        <v>601</v>
      </c>
      <c r="E75" s="781">
        <v>0.2</v>
      </c>
      <c r="F75" s="768">
        <v>30</v>
      </c>
    </row>
    <row r="76" spans="1:6" s="764" customFormat="1" ht="36">
      <c r="A76" s="768">
        <v>16</v>
      </c>
      <c r="B76" s="3596" t="s">
        <v>602</v>
      </c>
      <c r="C76" s="682" t="s">
        <v>603</v>
      </c>
      <c r="D76" s="682" t="s">
        <v>604</v>
      </c>
      <c r="E76" s="781">
        <v>0.5</v>
      </c>
      <c r="F76" s="768">
        <v>80</v>
      </c>
    </row>
    <row r="77" spans="1:6" s="764" customFormat="1" ht="36">
      <c r="A77" s="768">
        <v>17</v>
      </c>
      <c r="B77" s="3596"/>
      <c r="C77" s="682" t="s">
        <v>605</v>
      </c>
      <c r="D77" s="682" t="s">
        <v>606</v>
      </c>
      <c r="E77" s="781">
        <v>0.5</v>
      </c>
      <c r="F77" s="768">
        <v>80</v>
      </c>
    </row>
    <row r="78" spans="1:6" s="764" customFormat="1" ht="36">
      <c r="A78" s="768">
        <v>18</v>
      </c>
      <c r="B78" s="3596"/>
      <c r="C78" s="682" t="s">
        <v>607</v>
      </c>
      <c r="D78" s="682" t="s">
        <v>608</v>
      </c>
      <c r="E78" s="781">
        <v>0.2</v>
      </c>
      <c r="F78" s="768">
        <v>30</v>
      </c>
    </row>
    <row r="79" spans="1:6" s="764" customFormat="1" ht="36">
      <c r="A79" s="768">
        <v>19</v>
      </c>
      <c r="B79" s="3596"/>
      <c r="C79" s="682" t="s">
        <v>609</v>
      </c>
      <c r="D79" s="682" t="s">
        <v>610</v>
      </c>
      <c r="E79" s="781">
        <v>0.5</v>
      </c>
      <c r="F79" s="768">
        <v>80</v>
      </c>
    </row>
    <row r="80" spans="1:6" s="764" customFormat="1" ht="36">
      <c r="A80" s="768">
        <v>20</v>
      </c>
      <c r="B80" s="3596"/>
      <c r="C80" s="682" t="s">
        <v>611</v>
      </c>
      <c r="D80" s="682" t="s">
        <v>612</v>
      </c>
      <c r="E80" s="781">
        <v>0.2</v>
      </c>
      <c r="F80" s="768">
        <v>30</v>
      </c>
    </row>
    <row r="81" spans="1:6" s="764" customFormat="1" ht="36">
      <c r="A81" s="768">
        <v>21</v>
      </c>
      <c r="B81" s="3596"/>
      <c r="C81" s="682" t="s">
        <v>613</v>
      </c>
      <c r="D81" s="682" t="s">
        <v>614</v>
      </c>
      <c r="E81" s="781">
        <v>0.2</v>
      </c>
      <c r="F81" s="768">
        <v>30</v>
      </c>
    </row>
    <row r="82" spans="1:6" s="764" customFormat="1" ht="60">
      <c r="A82" s="768">
        <v>22</v>
      </c>
      <c r="B82" s="3596"/>
      <c r="C82" s="682" t="s">
        <v>615</v>
      </c>
      <c r="D82" s="682" t="s">
        <v>616</v>
      </c>
      <c r="E82" s="781">
        <v>0.2</v>
      </c>
      <c r="F82" s="768">
        <v>30</v>
      </c>
    </row>
    <row r="83" spans="1:6" s="764" customFormat="1" ht="60">
      <c r="A83" s="768">
        <v>23</v>
      </c>
      <c r="B83" s="3596"/>
      <c r="C83" s="682" t="s">
        <v>617</v>
      </c>
      <c r="D83" s="682" t="s">
        <v>618</v>
      </c>
      <c r="E83" s="781">
        <v>0.2</v>
      </c>
      <c r="F83" s="768">
        <v>30</v>
      </c>
    </row>
    <row r="84" spans="1:6" s="764" customFormat="1" ht="48">
      <c r="A84" s="768">
        <v>24</v>
      </c>
      <c r="B84" s="3596"/>
      <c r="C84" s="682" t="s">
        <v>619</v>
      </c>
      <c r="D84" s="682" t="s">
        <v>620</v>
      </c>
      <c r="E84" s="781">
        <v>0.2</v>
      </c>
      <c r="F84" s="768">
        <v>30</v>
      </c>
    </row>
    <row r="85" spans="1:6" s="764" customFormat="1" ht="36">
      <c r="A85" s="768">
        <v>25</v>
      </c>
      <c r="B85" s="3596"/>
      <c r="C85" s="682" t="s">
        <v>621</v>
      </c>
      <c r="D85" s="682" t="s">
        <v>622</v>
      </c>
      <c r="E85" s="781">
        <v>0.5</v>
      </c>
      <c r="F85" s="768">
        <v>80</v>
      </c>
    </row>
    <row r="86" spans="1:6" s="764" customFormat="1" ht="36">
      <c r="A86" s="768">
        <v>26</v>
      </c>
      <c r="B86" s="3596"/>
      <c r="C86" s="682" t="s">
        <v>623</v>
      </c>
      <c r="D86" s="682" t="s">
        <v>624</v>
      </c>
      <c r="E86" s="781">
        <v>0.2</v>
      </c>
      <c r="F86" s="768">
        <v>30</v>
      </c>
    </row>
    <row r="87" spans="1:6" s="764" customFormat="1" ht="36">
      <c r="A87" s="768">
        <v>27</v>
      </c>
      <c r="B87" s="3596"/>
      <c r="C87" s="682" t="s">
        <v>625</v>
      </c>
      <c r="D87" s="682" t="s">
        <v>626</v>
      </c>
      <c r="E87" s="781">
        <v>0.2</v>
      </c>
      <c r="F87" s="768">
        <v>30</v>
      </c>
    </row>
    <row r="88" spans="1:6" s="764" customFormat="1" ht="36">
      <c r="A88" s="768">
        <v>28</v>
      </c>
      <c r="B88" s="3596"/>
      <c r="C88" s="682" t="s">
        <v>627</v>
      </c>
      <c r="D88" s="682" t="s">
        <v>628</v>
      </c>
      <c r="E88" s="781">
        <v>0.2</v>
      </c>
      <c r="F88" s="768">
        <v>30</v>
      </c>
    </row>
    <row r="89" spans="1:6" s="764" customFormat="1" ht="36">
      <c r="A89" s="768">
        <v>29</v>
      </c>
      <c r="B89" s="3596"/>
      <c r="C89" s="682" t="s">
        <v>629</v>
      </c>
      <c r="D89" s="682" t="s">
        <v>630</v>
      </c>
      <c r="E89" s="781">
        <v>0.2</v>
      </c>
      <c r="F89" s="768">
        <v>30</v>
      </c>
    </row>
    <row r="90" spans="1:6" s="764" customFormat="1" ht="36">
      <c r="A90" s="768">
        <v>30</v>
      </c>
      <c r="B90" s="3596"/>
      <c r="C90" s="682" t="s">
        <v>631</v>
      </c>
      <c r="D90" s="682" t="s">
        <v>632</v>
      </c>
      <c r="E90" s="781">
        <v>0.2</v>
      </c>
      <c r="F90" s="768">
        <v>30</v>
      </c>
    </row>
    <row r="91" spans="1:6" s="764" customFormat="1" ht="48">
      <c r="A91" s="768">
        <v>31</v>
      </c>
      <c r="B91" s="3596"/>
      <c r="C91" s="682" t="s">
        <v>633</v>
      </c>
      <c r="D91" s="682" t="s">
        <v>634</v>
      </c>
      <c r="E91" s="781">
        <v>0.2</v>
      </c>
      <c r="F91" s="768">
        <v>30</v>
      </c>
    </row>
    <row r="92" spans="1:6" s="764" customFormat="1" ht="36">
      <c r="A92" s="768">
        <v>32</v>
      </c>
      <c r="B92" s="3596" t="s">
        <v>635</v>
      </c>
      <c r="C92" s="768" t="s">
        <v>636</v>
      </c>
      <c r="D92" s="682" t="s">
        <v>637</v>
      </c>
      <c r="E92" s="781">
        <v>0.2</v>
      </c>
      <c r="F92" s="768">
        <v>30</v>
      </c>
    </row>
    <row r="93" spans="1:6" s="764" customFormat="1" ht="36">
      <c r="A93" s="768">
        <v>33</v>
      </c>
      <c r="B93" s="3596"/>
      <c r="C93" s="768" t="s">
        <v>638</v>
      </c>
      <c r="D93" s="682" t="s">
        <v>639</v>
      </c>
      <c r="E93" s="781">
        <v>0.2</v>
      </c>
      <c r="F93" s="768">
        <v>30</v>
      </c>
    </row>
    <row r="94" spans="1:6" s="764" customFormat="1" ht="60">
      <c r="A94" s="768">
        <v>34</v>
      </c>
      <c r="B94" s="3596"/>
      <c r="C94" s="768" t="s">
        <v>640</v>
      </c>
      <c r="D94" s="682" t="s">
        <v>641</v>
      </c>
      <c r="E94" s="781">
        <v>0.2</v>
      </c>
      <c r="F94" s="768">
        <v>30</v>
      </c>
    </row>
    <row r="95" spans="1:6" s="764" customFormat="1" ht="48">
      <c r="A95" s="768">
        <v>35</v>
      </c>
      <c r="B95" s="3596"/>
      <c r="C95" s="768" t="s">
        <v>642</v>
      </c>
      <c r="D95" s="682" t="s">
        <v>643</v>
      </c>
      <c r="E95" s="781">
        <v>0.2</v>
      </c>
      <c r="F95" s="768">
        <v>30</v>
      </c>
    </row>
    <row r="96" spans="1:6" s="764" customFormat="1" ht="72">
      <c r="A96" s="768">
        <v>36</v>
      </c>
      <c r="B96" s="3596"/>
      <c r="C96" s="682" t="s">
        <v>644</v>
      </c>
      <c r="D96" s="682" t="s">
        <v>645</v>
      </c>
      <c r="E96" s="781">
        <v>0.2</v>
      </c>
      <c r="F96" s="768">
        <v>30</v>
      </c>
    </row>
    <row r="97" spans="1:6" s="764" customFormat="1" ht="36">
      <c r="A97" s="768">
        <v>37</v>
      </c>
      <c r="B97" s="3596"/>
      <c r="C97" s="768" t="s">
        <v>646</v>
      </c>
      <c r="D97" s="682" t="s">
        <v>647</v>
      </c>
      <c r="E97" s="781">
        <v>0.2</v>
      </c>
      <c r="F97" s="768">
        <v>30</v>
      </c>
    </row>
    <row r="98" spans="1:6" s="764" customFormat="1" ht="36">
      <c r="A98" s="768">
        <v>38</v>
      </c>
      <c r="B98" s="3596"/>
      <c r="C98" s="768" t="s">
        <v>648</v>
      </c>
      <c r="D98" s="682" t="s">
        <v>649</v>
      </c>
      <c r="E98" s="781">
        <v>0.2</v>
      </c>
      <c r="F98" s="768">
        <v>30</v>
      </c>
    </row>
    <row r="99" spans="1:6" s="764" customFormat="1" ht="36">
      <c r="A99" s="768">
        <v>39</v>
      </c>
      <c r="B99" s="3596" t="s">
        <v>650</v>
      </c>
      <c r="C99" s="768" t="s">
        <v>651</v>
      </c>
      <c r="D99" s="682" t="s">
        <v>652</v>
      </c>
      <c r="E99" s="781">
        <v>0.3</v>
      </c>
      <c r="F99" s="768">
        <v>50</v>
      </c>
    </row>
    <row r="100" spans="1:6" s="764" customFormat="1" ht="36">
      <c r="A100" s="768">
        <v>40</v>
      </c>
      <c r="B100" s="3596"/>
      <c r="C100" s="768" t="s">
        <v>653</v>
      </c>
      <c r="D100" s="682" t="s">
        <v>654</v>
      </c>
      <c r="E100" s="781">
        <v>0.2</v>
      </c>
      <c r="F100" s="768">
        <v>30</v>
      </c>
    </row>
    <row r="101" spans="1:6" s="764" customFormat="1" ht="36">
      <c r="A101" s="768">
        <v>41</v>
      </c>
      <c r="B101" s="3596"/>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96" t="s">
        <v>665</v>
      </c>
      <c r="C105" s="768" t="s">
        <v>666</v>
      </c>
      <c r="D105" s="682" t="s">
        <v>667</v>
      </c>
      <c r="E105" s="781">
        <v>0.2</v>
      </c>
      <c r="F105" s="768">
        <v>30</v>
      </c>
    </row>
    <row r="106" spans="1:6" s="764" customFormat="1" ht="48">
      <c r="A106" s="768">
        <v>46</v>
      </c>
      <c r="B106" s="3596"/>
      <c r="C106" s="768" t="s">
        <v>668</v>
      </c>
      <c r="D106" s="682" t="s">
        <v>669</v>
      </c>
      <c r="E106" s="781">
        <v>0.2</v>
      </c>
      <c r="F106" s="768">
        <v>30</v>
      </c>
    </row>
    <row r="107" spans="1:6" s="764" customFormat="1" ht="36">
      <c r="A107" s="768">
        <v>47</v>
      </c>
      <c r="B107" s="3596" t="s">
        <v>670</v>
      </c>
      <c r="C107" s="768" t="s">
        <v>671</v>
      </c>
      <c r="D107" s="682" t="s">
        <v>672</v>
      </c>
      <c r="E107" s="781">
        <v>0.3</v>
      </c>
      <c r="F107" s="768">
        <v>50</v>
      </c>
    </row>
    <row r="108" spans="1:6" s="764" customFormat="1" ht="48">
      <c r="A108" s="768">
        <v>48</v>
      </c>
      <c r="B108" s="359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96" t="s">
        <v>681</v>
      </c>
      <c r="C111" s="768" t="s">
        <v>682</v>
      </c>
      <c r="D111" s="682" t="s">
        <v>683</v>
      </c>
      <c r="E111" s="781">
        <v>0.2</v>
      </c>
      <c r="F111" s="768">
        <v>30</v>
      </c>
    </row>
    <row r="112" spans="1:6" s="764" customFormat="1" ht="36">
      <c r="A112" s="768">
        <v>52</v>
      </c>
      <c r="B112" s="3596"/>
      <c r="C112" s="768" t="s">
        <v>684</v>
      </c>
      <c r="D112" s="682" t="s">
        <v>685</v>
      </c>
      <c r="E112" s="781">
        <v>0.2</v>
      </c>
      <c r="F112" s="768">
        <v>30</v>
      </c>
    </row>
    <row r="113" spans="1:6" s="764" customFormat="1" ht="36">
      <c r="A113" s="768">
        <v>53</v>
      </c>
      <c r="B113" s="3596"/>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96" t="s">
        <v>694</v>
      </c>
      <c r="C116" s="768" t="s">
        <v>695</v>
      </c>
      <c r="D116" s="682" t="s">
        <v>696</v>
      </c>
      <c r="E116" s="781">
        <v>0.2</v>
      </c>
      <c r="F116" s="768">
        <v>30</v>
      </c>
    </row>
    <row r="117" spans="1:6" ht="36">
      <c r="A117" s="768">
        <v>57</v>
      </c>
      <c r="B117" s="3596"/>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15"/>
  <sheetViews>
    <sheetView zoomScale="80" zoomScaleNormal="80" workbookViewId="0">
      <selection activeCell="I6" sqref="I6:L6"/>
    </sheetView>
  </sheetViews>
  <sheetFormatPr defaultColWidth="9" defaultRowHeight="13.2"/>
  <cols>
    <col min="1" max="1" width="9" style="2356"/>
    <col min="2" max="6" width="9" style="2356" customWidth="1"/>
    <col min="7" max="7" width="9" style="2400"/>
    <col min="8" max="8" width="9" style="2356"/>
    <col min="9" max="12" width="9" style="2356" customWidth="1"/>
    <col min="13" max="13" width="2.109375" style="2356" customWidth="1"/>
    <col min="14" max="14" width="9" style="2400" customWidth="1"/>
    <col min="15" max="17" width="9" style="2356" customWidth="1"/>
    <col min="18" max="18" width="2.33203125" style="2356" customWidth="1"/>
    <col min="19" max="19" width="7.109375" style="2400" customWidth="1"/>
    <col min="20" max="22" width="7.109375" style="2356" customWidth="1"/>
    <col min="23" max="23" width="23.88671875" style="2356" customWidth="1"/>
    <col min="24" max="25" width="9" style="2356"/>
    <col min="26" max="27" width="11.6640625" style="2356" customWidth="1"/>
    <col min="28" max="28" width="9" style="2356"/>
    <col min="29" max="29" width="2" style="2356" customWidth="1"/>
    <col min="30" max="16384" width="9" style="2356"/>
  </cols>
  <sheetData>
    <row r="1" spans="1:34" s="2334" customFormat="1">
      <c r="B1" s="3602" t="s">
        <v>1020</v>
      </c>
      <c r="C1" s="3602"/>
      <c r="D1" s="3602"/>
      <c r="E1" s="3602"/>
      <c r="F1" s="3602"/>
      <c r="G1" s="3598" t="s">
        <v>1021</v>
      </c>
      <c r="H1" s="3598"/>
      <c r="I1" s="3598"/>
      <c r="J1" s="3598"/>
      <c r="K1" s="3598"/>
      <c r="L1" s="3598"/>
      <c r="N1" s="3598" t="s">
        <v>1022</v>
      </c>
      <c r="O1" s="3598"/>
      <c r="P1" s="3598"/>
      <c r="Q1" s="3598"/>
      <c r="S1" s="3598" t="s">
        <v>1023</v>
      </c>
      <c r="T1" s="3598"/>
      <c r="U1" s="3598"/>
      <c r="V1" s="3598"/>
      <c r="X1" s="3597" t="s">
        <v>1024</v>
      </c>
      <c r="Y1" s="3598"/>
      <c r="Z1" s="3598"/>
      <c r="AA1" s="3598"/>
      <c r="AB1" s="3598"/>
      <c r="AD1" s="3597" t="s">
        <v>1025</v>
      </c>
      <c r="AE1" s="3598"/>
      <c r="AF1" s="3598"/>
      <c r="AG1" s="3598"/>
      <c r="AH1" s="3598"/>
    </row>
    <row r="2" spans="1:34" s="2335" customFormat="1" ht="15" thickBot="1">
      <c r="B2" s="2336" t="s">
        <v>1026</v>
      </c>
      <c r="C2" s="2336" t="s">
        <v>1027</v>
      </c>
      <c r="D2" s="2337" t="s">
        <v>1028</v>
      </c>
      <c r="E2" s="2337" t="s">
        <v>1029</v>
      </c>
      <c r="F2" s="2336" t="s">
        <v>1030</v>
      </c>
      <c r="G2" s="2338"/>
      <c r="I2" s="2336" t="s">
        <v>1246</v>
      </c>
      <c r="J2" s="2337" t="s">
        <v>1247</v>
      </c>
      <c r="K2" s="2337" t="s">
        <v>1248</v>
      </c>
      <c r="L2" s="2336" t="s">
        <v>1249</v>
      </c>
      <c r="N2" s="2336" t="s">
        <v>1026</v>
      </c>
      <c r="O2" s="2337" t="s">
        <v>1250</v>
      </c>
      <c r="P2" s="2337" t="s">
        <v>728</v>
      </c>
      <c r="Q2" s="2336" t="s">
        <v>1030</v>
      </c>
      <c r="S2" s="2336" t="s">
        <v>1026</v>
      </c>
      <c r="T2" s="2337" t="s">
        <v>1250</v>
      </c>
      <c r="U2" s="2337" t="s">
        <v>728</v>
      </c>
      <c r="V2" s="2336" t="s">
        <v>1030</v>
      </c>
      <c r="X2" s="2336" t="s">
        <v>1031</v>
      </c>
      <c r="Y2" s="2336" t="s">
        <v>1032</v>
      </c>
      <c r="Z2" s="2337" t="s">
        <v>1033</v>
      </c>
      <c r="AA2" s="2337" t="s">
        <v>1034</v>
      </c>
      <c r="AB2" s="2336" t="s">
        <v>1035</v>
      </c>
      <c r="AD2" s="2336" t="s">
        <v>1031</v>
      </c>
      <c r="AE2" s="2336" t="s">
        <v>1032</v>
      </c>
      <c r="AF2" s="2337" t="s">
        <v>1033</v>
      </c>
      <c r="AG2" s="2337" t="s">
        <v>1034</v>
      </c>
      <c r="AH2" s="2336" t="s">
        <v>1035</v>
      </c>
    </row>
    <row r="3" spans="1:34" s="2346" customFormat="1" ht="14.4">
      <c r="A3" s="2339" t="s">
        <v>2712</v>
      </c>
      <c r="B3" s="2340"/>
      <c r="C3" s="2340"/>
      <c r="D3" s="2341"/>
      <c r="E3" s="2341"/>
      <c r="F3" s="2340"/>
      <c r="G3" s="2342"/>
      <c r="H3" s="2343"/>
      <c r="I3" s="2344">
        <f>ROUND(AVERAGE(I4:I32),2)</f>
        <v>1.74</v>
      </c>
      <c r="J3" s="2344">
        <f>ROUND(AVERAGE(J4:J32),2)</f>
        <v>1.1399999999999999</v>
      </c>
      <c r="K3" s="2344">
        <f>ROUND(AVERAGE(K4:K32),2)</f>
        <v>1.92</v>
      </c>
      <c r="L3" s="2345">
        <f>ROUND(AVERAGE(L4:L32),2)</f>
        <v>1.23</v>
      </c>
      <c r="N3" s="2342"/>
      <c r="S3" s="2342"/>
      <c r="W3" s="2347"/>
      <c r="X3" s="2348">
        <f>ROUND(SUMPRODUCT(PRODUCT(1+N3:N$31)),4)</f>
        <v>1.571</v>
      </c>
      <c r="Y3" s="2348">
        <f>ROUND(SUMPRODUCT(PRODUCT(1+O3:O$31)),4)</f>
        <v>1.3420000000000001</v>
      </c>
      <c r="Z3" s="2348">
        <f t="shared" ref="Z3:Z29" si="0">Y3</f>
        <v>1.3420000000000001</v>
      </c>
      <c r="AA3" s="2348">
        <f>ROUND(SUMPRODUCT(PRODUCT(1+P3:P$31)),4)</f>
        <v>1.6415999999999999</v>
      </c>
      <c r="AB3" s="2348">
        <f>ROUND(SUMPRODUCT(PRODUCT(1+Q3:Q$31)),4)</f>
        <v>1.389</v>
      </c>
      <c r="AD3" s="2349">
        <f>ROUND(AVERAGE(I3:I$32)/100,4)</f>
        <v>1.7399999999999999E-2</v>
      </c>
      <c r="AE3" s="2349">
        <f>ROUND(AVERAGE(J3:J$32)/100,4)</f>
        <v>1.14E-2</v>
      </c>
      <c r="AF3" s="2349">
        <f t="shared" ref="AF3:AF20" si="1">AE3</f>
        <v>1.14E-2</v>
      </c>
      <c r="AG3" s="2349">
        <f>ROUND(AVERAGE(K3:K$32)/100,4)</f>
        <v>1.9199999999999998E-2</v>
      </c>
      <c r="AH3" s="2349">
        <f>ROUND(AVERAGE(L3:L$32)/100,4)</f>
        <v>1.23E-2</v>
      </c>
    </row>
    <row r="4" spans="1:34" s="2350" customFormat="1" ht="14.4">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5" customFormat="1">
      <c r="A5" s="2358" t="s">
        <v>2891</v>
      </c>
      <c r="B5" s="2359">
        <f t="shared" ref="B5" si="2">B6*(1+N5)</f>
        <v>483.1434279321756</v>
      </c>
      <c r="C5" s="2359">
        <f t="shared" ref="C5" si="3">C6*(1+O5)</f>
        <v>345.93622669144776</v>
      </c>
      <c r="D5" s="2360">
        <f t="shared" ref="D5" si="4">C5</f>
        <v>345.93622669144776</v>
      </c>
      <c r="E5" s="2359">
        <f t="shared" ref="E5" si="5">E6*(1+P5)</f>
        <v>694.24498562544113</v>
      </c>
      <c r="F5" s="2359">
        <f t="shared" ref="F5" si="6">F6*(1+Q5)</f>
        <v>319.35475932716082</v>
      </c>
      <c r="G5" s="3149">
        <v>2020</v>
      </c>
      <c r="H5" s="2362">
        <v>4</v>
      </c>
      <c r="I5" s="2363">
        <v>0</v>
      </c>
      <c r="J5" s="2363">
        <v>0</v>
      </c>
      <c r="K5" s="2363">
        <v>0</v>
      </c>
      <c r="L5" s="2364">
        <v>0</v>
      </c>
      <c r="N5" s="2366">
        <f t="shared" ref="N5" si="7">I5/100</f>
        <v>0</v>
      </c>
      <c r="O5" s="2366">
        <f t="shared" ref="O5" si="8">J5/100</f>
        <v>0</v>
      </c>
      <c r="P5" s="2366">
        <f t="shared" ref="P5" si="9">K5/100</f>
        <v>0</v>
      </c>
      <c r="Q5" s="2366">
        <f t="shared" ref="Q5" si="10">L5/100</f>
        <v>0</v>
      </c>
      <c r="S5" s="2367"/>
      <c r="W5" s="2368" t="s">
        <v>2711</v>
      </c>
      <c r="X5" s="2369">
        <f>ROUND(SUMPRODUCT(PRODUCT(1+N5:N$31)),4)</f>
        <v>1.571</v>
      </c>
      <c r="Y5" s="2369">
        <f>ROUND(SUMPRODUCT(PRODUCT(1+O5:O$31)),4)</f>
        <v>1.3420000000000001</v>
      </c>
      <c r="Z5" s="2369">
        <f t="shared" ref="Z5" si="11">Y5</f>
        <v>1.3420000000000001</v>
      </c>
      <c r="AA5" s="2369">
        <f>ROUND(SUMPRODUCT(PRODUCT(1+P5:P$31)),4)</f>
        <v>1.6415999999999999</v>
      </c>
      <c r="AB5" s="2369">
        <f>ROUND(SUMPRODUCT(PRODUCT(1+Q5:Q$31)),4)</f>
        <v>1.389</v>
      </c>
      <c r="AD5" s="2370">
        <f>ROUND(AVERAGE(I5:I$32)/100,4)</f>
        <v>1.7399999999999999E-2</v>
      </c>
      <c r="AE5" s="2370">
        <f>ROUND(AVERAGE(J5:J$32)/100,4)</f>
        <v>1.14E-2</v>
      </c>
      <c r="AF5" s="2370">
        <f t="shared" ref="AF5" si="12">AE5</f>
        <v>1.14E-2</v>
      </c>
      <c r="AG5" s="2370">
        <f>ROUND(AVERAGE(K5:K$32)/100,4)</f>
        <v>1.9199999999999998E-2</v>
      </c>
      <c r="AH5" s="2370">
        <f>ROUND(AVERAGE(L5:L$32)/100,4)</f>
        <v>1.23E-2</v>
      </c>
    </row>
    <row r="6" spans="1:34" s="2378" customFormat="1" ht="14.4" customHeight="1">
      <c r="A6" s="2371" t="s">
        <v>2892</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49">
        <v>2020</v>
      </c>
      <c r="H6" s="2373">
        <v>3</v>
      </c>
      <c r="I6" s="2373">
        <v>0.36</v>
      </c>
      <c r="J6" s="2373">
        <v>-0.39</v>
      </c>
      <c r="K6" s="2373">
        <v>0.49</v>
      </c>
      <c r="L6" s="2374">
        <v>7.0000000000000007E-2</v>
      </c>
      <c r="M6" s="2375"/>
      <c r="N6" s="2376">
        <f t="shared" ref="N6" si="18">I6/100</f>
        <v>3.5999999999999999E-3</v>
      </c>
      <c r="O6" s="2377">
        <f t="shared" ref="O6" si="19">J6/100</f>
        <v>-3.9000000000000003E-3</v>
      </c>
      <c r="P6" s="2377">
        <f t="shared" ref="P6" si="20">K6/100</f>
        <v>4.8999999999999998E-3</v>
      </c>
      <c r="Q6" s="2377">
        <f t="shared" ref="Q6" si="21">L6/100</f>
        <v>7.000000000000001E-4</v>
      </c>
      <c r="R6" s="2375"/>
      <c r="S6" s="2376"/>
      <c r="T6" s="2377"/>
      <c r="U6" s="2377"/>
      <c r="V6" s="2377"/>
      <c r="W6" s="2375"/>
      <c r="X6" s="2375">
        <f>ROUND(SUMPRODUCT(PRODUCT(1+N6:N$31)),4)</f>
        <v>1.571</v>
      </c>
      <c r="Y6" s="2375">
        <f>ROUND(SUMPRODUCT(PRODUCT(1+O6:O$31)),4)</f>
        <v>1.3420000000000001</v>
      </c>
      <c r="Z6" s="2375">
        <f t="shared" ref="Z6" si="22">Y6</f>
        <v>1.3420000000000001</v>
      </c>
      <c r="AA6" s="2375">
        <f>ROUND(SUMPRODUCT(PRODUCT(1+P6:P$31)),4)</f>
        <v>1.6415999999999999</v>
      </c>
      <c r="AB6" s="2375">
        <f>ROUND(SUMPRODUCT(PRODUCT(1+Q6:Q$31)),4)</f>
        <v>1.389</v>
      </c>
      <c r="AC6" s="2375"/>
      <c r="AD6" s="2377">
        <f>ROUND(AVERAGE(I6:I$32)/100,4)</f>
        <v>1.8100000000000002E-2</v>
      </c>
      <c r="AE6" s="2377">
        <f>ROUND(AVERAGE(J6:J$32)/100,4)</f>
        <v>1.1900000000000001E-2</v>
      </c>
      <c r="AF6" s="2377">
        <f t="shared" ref="AF6" si="23">AE6</f>
        <v>1.1900000000000001E-2</v>
      </c>
      <c r="AG6" s="2377">
        <f>ROUND(AVERAGE(K6:K$32)/100,4)</f>
        <v>1.9900000000000001E-2</v>
      </c>
      <c r="AH6" s="2377">
        <f>ROUND(AVERAGE(L6:L$32)/100,4)</f>
        <v>1.2800000000000001E-2</v>
      </c>
    </row>
    <row r="7" spans="1:34" s="2378" customFormat="1" ht="14.4" customHeight="1">
      <c r="A7" s="2371" t="s">
        <v>2745</v>
      </c>
      <c r="B7" s="2372">
        <f t="shared" ref="B7" si="24">B8*(1+N7)</f>
        <v>481.4103506697644</v>
      </c>
      <c r="C7" s="2372">
        <f t="shared" ref="C7" si="25">C8*(1+O7)</f>
        <v>347.29066026648707</v>
      </c>
      <c r="D7" s="2372">
        <f t="shared" ref="D7" si="26">C7</f>
        <v>347.29066026648707</v>
      </c>
      <c r="E7" s="2372">
        <f t="shared" ref="E7" si="27">E8*(1+P7)</f>
        <v>690.85977273901995</v>
      </c>
      <c r="F7" s="2372">
        <f t="shared" ref="F7" si="28">F8*(1+Q7)</f>
        <v>319.13136737000184</v>
      </c>
      <c r="G7" s="2361">
        <v>2020</v>
      </c>
      <c r="H7" s="2373">
        <v>2</v>
      </c>
      <c r="I7" s="2373">
        <v>0.31</v>
      </c>
      <c r="J7" s="2373">
        <v>-0.78</v>
      </c>
      <c r="K7" s="2373">
        <v>0.5</v>
      </c>
      <c r="L7" s="2374">
        <v>0.47</v>
      </c>
      <c r="M7" s="2375"/>
      <c r="N7" s="2376">
        <f t="shared" ref="N7" si="29">I7/100</f>
        <v>3.0999999999999999E-3</v>
      </c>
      <c r="O7" s="2377">
        <f t="shared" ref="O7" si="30">J7/100</f>
        <v>-7.8000000000000005E-3</v>
      </c>
      <c r="P7" s="2377">
        <f t="shared" ref="P7" si="31">K7/100</f>
        <v>5.0000000000000001E-3</v>
      </c>
      <c r="Q7" s="2377">
        <f t="shared" ref="Q7" si="32">L7/100</f>
        <v>4.6999999999999993E-3</v>
      </c>
      <c r="R7" s="2375"/>
      <c r="S7" s="2376"/>
      <c r="T7" s="2377"/>
      <c r="U7" s="2377"/>
      <c r="V7" s="2377"/>
      <c r="W7" s="2375"/>
      <c r="X7" s="2375">
        <f>ROUND(SUMPRODUCT(PRODUCT(1+N7:N$31)),4)</f>
        <v>1.5652999999999999</v>
      </c>
      <c r="Y7" s="2375">
        <f>ROUND(SUMPRODUCT(PRODUCT(1+O7:O$31)),4)</f>
        <v>1.3472</v>
      </c>
      <c r="Z7" s="2375">
        <f t="shared" ref="Z7" si="33">Y7</f>
        <v>1.3472</v>
      </c>
      <c r="AA7" s="2375">
        <f>ROUND(SUMPRODUCT(PRODUCT(1+P7:P$31)),4)</f>
        <v>1.6335999999999999</v>
      </c>
      <c r="AB7" s="2375">
        <f>ROUND(SUMPRODUCT(PRODUCT(1+Q7:Q$31)),4)</f>
        <v>1.3880999999999999</v>
      </c>
      <c r="AC7" s="2375"/>
      <c r="AD7" s="2377">
        <f>ROUND(AVERAGE(I7:I$32)/100,4)</f>
        <v>1.8599999999999998E-2</v>
      </c>
      <c r="AE7" s="2377">
        <f>ROUND(AVERAGE(J7:J$32)/100,4)</f>
        <v>1.2500000000000001E-2</v>
      </c>
      <c r="AF7" s="2377">
        <f t="shared" ref="AF7" si="34">AE7</f>
        <v>1.2500000000000001E-2</v>
      </c>
      <c r="AG7" s="2377">
        <f>ROUND(AVERAGE(K7:K$32)/100,4)</f>
        <v>2.0400000000000001E-2</v>
      </c>
      <c r="AH7" s="2377">
        <f>ROUND(AVERAGE(L7:L$32)/100,4)</f>
        <v>1.32E-2</v>
      </c>
    </row>
    <row r="8" spans="1:34" s="2378" customFormat="1" ht="14.4" customHeight="1">
      <c r="A8" s="2371" t="s">
        <v>2742</v>
      </c>
      <c r="B8" s="2372">
        <f t="shared" ref="B8" si="35">B9*(1+N8)</f>
        <v>479.92259063878413</v>
      </c>
      <c r="C8" s="2372">
        <f t="shared" ref="C8" si="36">C9*(1+O8)</f>
        <v>350.02082268341775</v>
      </c>
      <c r="D8" s="2372">
        <f t="shared" ref="D8" si="37">C8</f>
        <v>350.02082268341775</v>
      </c>
      <c r="E8" s="2372">
        <f t="shared" ref="E8" si="38">E9*(1+P8)</f>
        <v>687.42265944181099</v>
      </c>
      <c r="F8" s="2372">
        <f t="shared" ref="F8" si="39">F9*(1+Q8)</f>
        <v>317.63846657708956</v>
      </c>
      <c r="G8" s="2361">
        <v>2020</v>
      </c>
      <c r="H8" s="2373">
        <v>1</v>
      </c>
      <c r="I8" s="2373">
        <v>0.12</v>
      </c>
      <c r="J8" s="2373">
        <v>-0.4</v>
      </c>
      <c r="K8" s="2373">
        <v>0.21</v>
      </c>
      <c r="L8" s="2374">
        <v>0.27</v>
      </c>
      <c r="M8" s="2375"/>
      <c r="N8" s="2376">
        <f t="shared" ref="N8" si="40">I8/100</f>
        <v>1.1999999999999999E-3</v>
      </c>
      <c r="O8" s="2377">
        <f t="shared" ref="O8" si="41">J8/100</f>
        <v>-4.0000000000000001E-3</v>
      </c>
      <c r="P8" s="2377">
        <f t="shared" ref="P8" si="42">K8/100</f>
        <v>2.0999999999999999E-3</v>
      </c>
      <c r="Q8" s="2377">
        <f t="shared" ref="Q8" si="43">L8/100</f>
        <v>2.7000000000000001E-3</v>
      </c>
      <c r="R8" s="2375"/>
      <c r="S8" s="2376">
        <f>B8/B9-1</f>
        <v>1.2000000000000899E-3</v>
      </c>
      <c r="T8" s="2377">
        <f>C8/C9-1</f>
        <v>-4.0000000000000036E-3</v>
      </c>
      <c r="U8" s="2377">
        <f>E8/E9-1</f>
        <v>2.0999999999999908E-3</v>
      </c>
      <c r="V8" s="2377">
        <f>F8/F9-1</f>
        <v>2.6999999999999247E-3</v>
      </c>
      <c r="W8" s="2375"/>
      <c r="X8" s="2375">
        <f>ROUND(SUMPRODUCT(PRODUCT(1+N8:N$31)),4)</f>
        <v>1.5605</v>
      </c>
      <c r="Y8" s="2375">
        <f>ROUND(SUMPRODUCT(PRODUCT(1+O8:O$31)),4)</f>
        <v>1.3577999999999999</v>
      </c>
      <c r="Z8" s="2375">
        <f t="shared" ref="Z8" si="44">Y8</f>
        <v>1.3577999999999999</v>
      </c>
      <c r="AA8" s="2375">
        <f>ROUND(SUMPRODUCT(PRODUCT(1+P8:P$31)),4)</f>
        <v>1.6254999999999999</v>
      </c>
      <c r="AB8" s="2375">
        <f>ROUND(SUMPRODUCT(PRODUCT(1+Q8:Q$31)),4)</f>
        <v>1.3815999999999999</v>
      </c>
      <c r="AC8" s="2375"/>
      <c r="AD8" s="2377">
        <f>ROUND(AVERAGE(I8:I$32)/100,4)</f>
        <v>1.9199999999999998E-2</v>
      </c>
      <c r="AE8" s="2377">
        <f>ROUND(AVERAGE(J8:J$32)/100,4)</f>
        <v>1.3299999999999999E-2</v>
      </c>
      <c r="AF8" s="2377">
        <f t="shared" ref="AF8" si="45">AE8</f>
        <v>1.3299999999999999E-2</v>
      </c>
      <c r="AG8" s="2377">
        <f>ROUND(AVERAGE(K8:K$32)/100,4)</f>
        <v>2.1100000000000001E-2</v>
      </c>
      <c r="AH8" s="2377">
        <f>ROUND(AVERAGE(L8:L$32)/100,4)</f>
        <v>1.3599999999999999E-2</v>
      </c>
    </row>
    <row r="9" spans="1:34" s="2378" customFormat="1" ht="14.4" customHeight="1">
      <c r="A9" s="2371" t="s">
        <v>2740</v>
      </c>
      <c r="B9" s="2372">
        <f t="shared" ref="B9:B14" si="46">B10*(1+N9)</f>
        <v>479.34737379023579</v>
      </c>
      <c r="C9" s="2372">
        <f t="shared" ref="C9" si="47">C10*(1+O9)</f>
        <v>351.4265287986122</v>
      </c>
      <c r="D9" s="2372">
        <f t="shared" ref="D9" si="48">C9</f>
        <v>351.4265287986122</v>
      </c>
      <c r="E9" s="2372">
        <f t="shared" ref="E9" si="49">E10*(1+P9)</f>
        <v>685.98209703803116</v>
      </c>
      <c r="F9" s="2372">
        <f t="shared" ref="F9" si="50">F10*(1+Q9)</f>
        <v>316.78315206651001</v>
      </c>
      <c r="G9" s="2361">
        <v>2019</v>
      </c>
      <c r="H9" s="2373">
        <v>4</v>
      </c>
      <c r="I9" s="2373">
        <v>0.45</v>
      </c>
      <c r="J9" s="2373">
        <v>-0.12</v>
      </c>
      <c r="K9" s="2373">
        <v>0.54</v>
      </c>
      <c r="L9" s="2374">
        <v>0.48</v>
      </c>
      <c r="M9" s="2375"/>
      <c r="N9" s="2376">
        <f t="shared" ref="N9:N14" si="51">I9/100</f>
        <v>4.5000000000000005E-3</v>
      </c>
      <c r="O9" s="2377">
        <f t="shared" ref="O9" si="52">J9/100</f>
        <v>-1.1999999999999999E-3</v>
      </c>
      <c r="P9" s="2377">
        <f t="shared" ref="P9" si="53">K9/100</f>
        <v>5.4000000000000003E-3</v>
      </c>
      <c r="Q9" s="2377">
        <f t="shared" ref="Q9" si="54">L9/100</f>
        <v>4.7999999999999996E-3</v>
      </c>
      <c r="R9" s="2375"/>
      <c r="S9" s="2376"/>
      <c r="T9" s="2377"/>
      <c r="U9" s="2377"/>
      <c r="V9" s="2377"/>
      <c r="W9" s="2375"/>
      <c r="X9" s="2375">
        <f>ROUND(SUMPRODUCT(PRODUCT(1+N9:N$31)),4)</f>
        <v>1.5586</v>
      </c>
      <c r="Y9" s="2375">
        <f>ROUND(SUMPRODUCT(PRODUCT(1+O9:O$31)),4)</f>
        <v>1.3633</v>
      </c>
      <c r="Z9" s="2375">
        <f t="shared" ref="Z9" si="55">Y9</f>
        <v>1.3633</v>
      </c>
      <c r="AA9" s="2375">
        <f>ROUND(SUMPRODUCT(PRODUCT(1+P9:P$31)),4)</f>
        <v>1.6221000000000001</v>
      </c>
      <c r="AB9" s="2375">
        <f>ROUND(SUMPRODUCT(PRODUCT(1+Q9:Q$31)),4)</f>
        <v>1.3777999999999999</v>
      </c>
      <c r="AC9" s="2375"/>
      <c r="AD9" s="2377">
        <f>ROUND(AVERAGE(I9:I$32)/100,4)</f>
        <v>0.02</v>
      </c>
      <c r="AE9" s="2377">
        <f>ROUND(AVERAGE(J9:J$32)/100,4)</f>
        <v>1.4E-2</v>
      </c>
      <c r="AF9" s="2377">
        <f t="shared" ref="AF9" si="56">AE9</f>
        <v>1.4E-2</v>
      </c>
      <c r="AG9" s="2377">
        <f>ROUND(AVERAGE(K9:K$32)/100,4)</f>
        <v>2.1899999999999999E-2</v>
      </c>
      <c r="AH9" s="2377">
        <f>ROUND(AVERAGE(L9:L$32)/100,4)</f>
        <v>1.4E-2</v>
      </c>
    </row>
    <row r="10" spans="1:34" s="2378" customFormat="1" ht="14.4" customHeight="1" thickBot="1">
      <c r="A10" s="2371" t="s">
        <v>2737</v>
      </c>
      <c r="B10" s="2372">
        <f t="shared" si="46"/>
        <v>477.19997390765138</v>
      </c>
      <c r="C10" s="2372">
        <f t="shared" ref="C10" si="57">C11*(1+O10)</f>
        <v>351.84874729536665</v>
      </c>
      <c r="D10" s="2372">
        <f t="shared" ref="D10" si="58">C10</f>
        <v>351.84874729536665</v>
      </c>
      <c r="E10" s="2372">
        <f t="shared" ref="E10" si="59">E11*(1+P10)</f>
        <v>682.29768951465201</v>
      </c>
      <c r="F10" s="2372">
        <f t="shared" ref="F10" si="60">F11*(1+Q10)</f>
        <v>315.26985675409043</v>
      </c>
      <c r="G10" s="2361">
        <v>2019</v>
      </c>
      <c r="H10" s="2373">
        <v>3</v>
      </c>
      <c r="I10" s="2373">
        <v>0.61</v>
      </c>
      <c r="J10" s="2373">
        <v>0.67</v>
      </c>
      <c r="K10" s="2373">
        <v>0.6</v>
      </c>
      <c r="L10" s="2374">
        <v>1.03</v>
      </c>
      <c r="M10" s="2375"/>
      <c r="N10" s="2376">
        <f t="shared" si="51"/>
        <v>6.0999999999999995E-3</v>
      </c>
      <c r="O10" s="2377">
        <f t="shared" ref="O10" si="61">J10/100</f>
        <v>6.7000000000000002E-3</v>
      </c>
      <c r="P10" s="2377">
        <f t="shared" ref="P10" si="62">K10/100</f>
        <v>6.0000000000000001E-3</v>
      </c>
      <c r="Q10" s="2377">
        <f t="shared" ref="Q10" si="63">L10/100</f>
        <v>1.03E-2</v>
      </c>
      <c r="R10" s="2375"/>
      <c r="S10" s="2376"/>
      <c r="T10" s="2377"/>
      <c r="U10" s="2377"/>
      <c r="V10" s="2377"/>
      <c r="W10" s="2375"/>
      <c r="X10" s="2375">
        <f>ROUND(SUMPRODUCT(PRODUCT(1+N10:N$31)),4)</f>
        <v>1.5516000000000001</v>
      </c>
      <c r="Y10" s="2375">
        <f>ROUND(SUMPRODUCT(PRODUCT(1+O10:O$31)),4)</f>
        <v>1.3649</v>
      </c>
      <c r="Z10" s="2375">
        <f t="shared" ref="Z10" si="64">Y10</f>
        <v>1.3649</v>
      </c>
      <c r="AA10" s="2375">
        <f>ROUND(SUMPRODUCT(PRODUCT(1+P10:P$31)),4)</f>
        <v>1.6133999999999999</v>
      </c>
      <c r="AB10" s="2375">
        <f>ROUND(SUMPRODUCT(PRODUCT(1+Q10:Q$31)),4)</f>
        <v>1.3713</v>
      </c>
      <c r="AC10" s="2375"/>
      <c r="AD10" s="2377">
        <f>ROUND(AVERAGE(I10:I$32)/100,4)</f>
        <v>2.07E-2</v>
      </c>
      <c r="AE10" s="2377">
        <f>ROUND(AVERAGE(J10:J$32)/100,4)</f>
        <v>1.47E-2</v>
      </c>
      <c r="AF10" s="2377">
        <f t="shared" ref="AF10" si="65">AE10</f>
        <v>1.47E-2</v>
      </c>
      <c r="AG10" s="2377">
        <f>ROUND(AVERAGE(K10:K$32)/100,4)</f>
        <v>2.2599999999999999E-2</v>
      </c>
      <c r="AH10" s="2377">
        <f>ROUND(AVERAGE(L10:L$32)/100,4)</f>
        <v>1.44E-2</v>
      </c>
    </row>
    <row r="11" spans="1:34" s="2378" customFormat="1" ht="14.4" customHeight="1">
      <c r="A11" s="2371" t="s">
        <v>2731</v>
      </c>
      <c r="B11" s="2372">
        <f t="shared" si="46"/>
        <v>474.30670301923408</v>
      </c>
      <c r="C11" s="2372">
        <f t="shared" ref="C11" si="66">C12*(1+O11)</f>
        <v>349.50705005996491</v>
      </c>
      <c r="D11" s="2372">
        <f t="shared" ref="D11" si="67">C11</f>
        <v>349.50705005996491</v>
      </c>
      <c r="E11" s="2372">
        <f t="shared" ref="E11" si="68">E12*(1+P11)</f>
        <v>678.22831959706957</v>
      </c>
      <c r="F11" s="2372">
        <f t="shared" ref="F11" si="69">F12*(1+Q11)</f>
        <v>312.0556832169558</v>
      </c>
      <c r="G11" s="2361">
        <v>2019</v>
      </c>
      <c r="H11" s="2379">
        <v>2</v>
      </c>
      <c r="I11" s="2379">
        <v>1.53</v>
      </c>
      <c r="J11" s="2379">
        <v>1.01</v>
      </c>
      <c r="K11" s="2379">
        <v>1.62</v>
      </c>
      <c r="L11" s="2380">
        <v>1.25</v>
      </c>
      <c r="M11" s="2375"/>
      <c r="N11" s="2376">
        <f t="shared" si="51"/>
        <v>1.5300000000000001E-2</v>
      </c>
      <c r="O11" s="2377">
        <f t="shared" ref="O11" si="70">J11/100</f>
        <v>1.01E-2</v>
      </c>
      <c r="P11" s="2377">
        <f t="shared" ref="P11" si="71">K11/100</f>
        <v>1.6200000000000003E-2</v>
      </c>
      <c r="Q11" s="2377">
        <f t="shared" ref="Q11" si="72">L11/100</f>
        <v>1.2500000000000001E-2</v>
      </c>
      <c r="R11" s="2375"/>
      <c r="S11" s="2376"/>
      <c r="T11" s="2377"/>
      <c r="U11" s="2377"/>
      <c r="V11" s="2377"/>
      <c r="W11" s="2375"/>
      <c r="X11" s="2375">
        <f>ROUND(SUMPRODUCT(PRODUCT(1+N11:N$31)),4)</f>
        <v>1.5422</v>
      </c>
      <c r="Y11" s="2375">
        <f>ROUND(SUMPRODUCT(PRODUCT(1+O11:O$31)),4)</f>
        <v>1.3557999999999999</v>
      </c>
      <c r="Z11" s="2375">
        <f t="shared" ref="Z11" si="73">Y11</f>
        <v>1.3557999999999999</v>
      </c>
      <c r="AA11" s="2375">
        <f>ROUND(SUMPRODUCT(PRODUCT(1+P11:P$31)),4)</f>
        <v>1.6036999999999999</v>
      </c>
      <c r="AB11" s="2375">
        <f>ROUND(SUMPRODUCT(PRODUCT(1+Q11:Q$31)),4)</f>
        <v>1.3573</v>
      </c>
      <c r="AC11" s="2375"/>
      <c r="AD11" s="2377">
        <f>ROUND(AVERAGE(I11:I$32)/100,4)</f>
        <v>2.1299999999999999E-2</v>
      </c>
      <c r="AE11" s="2377">
        <f>ROUND(AVERAGE(J11:J$32)/100,4)</f>
        <v>1.4999999999999999E-2</v>
      </c>
      <c r="AF11" s="2377">
        <f t="shared" ref="AF11" si="74">AE11</f>
        <v>1.4999999999999999E-2</v>
      </c>
      <c r="AG11" s="2377">
        <f>ROUND(AVERAGE(K11:K$32)/100,4)</f>
        <v>2.3300000000000001E-2</v>
      </c>
      <c r="AH11" s="2377">
        <f>ROUND(AVERAGE(L11:L$32)/100,4)</f>
        <v>1.46E-2</v>
      </c>
    </row>
    <row r="12" spans="1:34" s="2378" customFormat="1" ht="14.4" customHeight="1" thickBot="1">
      <c r="A12" s="2371" t="s">
        <v>2732</v>
      </c>
      <c r="B12" s="2372">
        <f t="shared" si="46"/>
        <v>467.15916775261894</v>
      </c>
      <c r="C12" s="2372">
        <f t="shared" ref="C12" si="75">C13*(1+O12)</f>
        <v>346.01232557169084</v>
      </c>
      <c r="D12" s="2372">
        <f t="shared" ref="D12" si="76">C12</f>
        <v>346.01232557169084</v>
      </c>
      <c r="E12" s="2372">
        <f t="shared" ref="E12" si="77">E13*(1+P12)</f>
        <v>667.41617752122568</v>
      </c>
      <c r="F12" s="2372">
        <f t="shared" ref="F12" si="78">F13*(1+Q12)</f>
        <v>308.20314391798104</v>
      </c>
      <c r="G12" s="2361">
        <v>2019</v>
      </c>
      <c r="H12" s="2373">
        <v>1</v>
      </c>
      <c r="I12" s="2373">
        <v>0.6</v>
      </c>
      <c r="J12" s="2373">
        <v>0.37</v>
      </c>
      <c r="K12" s="2373">
        <v>0.63</v>
      </c>
      <c r="L12" s="2374">
        <v>1.1299999999999999</v>
      </c>
      <c r="M12" s="2375"/>
      <c r="N12" s="2376">
        <f t="shared" si="51"/>
        <v>6.0000000000000001E-3</v>
      </c>
      <c r="O12" s="2377">
        <f t="shared" ref="O12" si="79">J12/100</f>
        <v>3.7000000000000002E-3</v>
      </c>
      <c r="P12" s="2377">
        <f t="shared" ref="P12" si="80">K12/100</f>
        <v>6.3E-3</v>
      </c>
      <c r="Q12" s="2377">
        <f t="shared" ref="Q12" si="81">L12/100</f>
        <v>1.1299999999999999E-2</v>
      </c>
      <c r="R12" s="2375"/>
      <c r="S12" s="2376">
        <f>B12/B13-1</f>
        <v>6.0000000000000053E-3</v>
      </c>
      <c r="T12" s="2377">
        <f>C12/C13-1</f>
        <v>3.7000000000000366E-3</v>
      </c>
      <c r="U12" s="2377">
        <f>E12/E13-1</f>
        <v>6.2999999999999723E-3</v>
      </c>
      <c r="V12" s="2377">
        <f>F12/F13-1</f>
        <v>1.1300000000000088E-2</v>
      </c>
      <c r="W12" s="2375"/>
      <c r="X12" s="2375">
        <f>ROUND(SUMPRODUCT(PRODUCT(1+N12:N$31)),4)</f>
        <v>1.5189999999999999</v>
      </c>
      <c r="Y12" s="2375">
        <f>ROUND(SUMPRODUCT(PRODUCT(1+O12:O$31)),4)</f>
        <v>1.3423</v>
      </c>
      <c r="Z12" s="2375">
        <f t="shared" ref="Z12" si="82">Y12</f>
        <v>1.3423</v>
      </c>
      <c r="AA12" s="2375">
        <f>ROUND(SUMPRODUCT(PRODUCT(1+P12:P$31)),4)</f>
        <v>1.5782</v>
      </c>
      <c r="AB12" s="2375">
        <f>ROUND(SUMPRODUCT(PRODUCT(1+Q12:Q$31)),4)</f>
        <v>1.3405</v>
      </c>
      <c r="AC12" s="2375"/>
      <c r="AD12" s="2377">
        <f>ROUND(AVERAGE(I12:I$32)/100,4)</f>
        <v>2.1600000000000001E-2</v>
      </c>
      <c r="AE12" s="2377">
        <f>ROUND(AVERAGE(J12:J$32)/100,4)</f>
        <v>1.5299999999999999E-2</v>
      </c>
      <c r="AF12" s="2377">
        <f t="shared" ref="AF12" si="83">AE12</f>
        <v>1.5299999999999999E-2</v>
      </c>
      <c r="AG12" s="2377">
        <f>ROUND(AVERAGE(K12:K$32)/100,4)</f>
        <v>2.3699999999999999E-2</v>
      </c>
      <c r="AH12" s="2377">
        <f>ROUND(AVERAGE(L12:L$32)/100,4)</f>
        <v>1.47E-2</v>
      </c>
    </row>
    <row r="13" spans="1:34">
      <c r="A13" s="2371" t="s">
        <v>2725</v>
      </c>
      <c r="B13" s="2381">
        <f t="shared" si="46"/>
        <v>464.37293017158942</v>
      </c>
      <c r="C13" s="2381">
        <f t="shared" ref="C13" si="84">C14*(1+O13)</f>
        <v>344.73679941385956</v>
      </c>
      <c r="D13" s="2381">
        <f t="shared" ref="D13" si="85">C13</f>
        <v>344.73679941385956</v>
      </c>
      <c r="E13" s="2381">
        <f t="shared" ref="E13" si="86">E14*(1+P13)</f>
        <v>663.2377795103107</v>
      </c>
      <c r="F13" s="2382">
        <f t="shared" ref="F13" si="87">F14*(1+Q13)</f>
        <v>304.75936311478398</v>
      </c>
      <c r="G13" s="3600">
        <v>2018</v>
      </c>
      <c r="H13" s="2379">
        <v>4</v>
      </c>
      <c r="I13" s="2379">
        <v>0.96</v>
      </c>
      <c r="J13" s="2379">
        <v>1.03</v>
      </c>
      <c r="K13" s="2379">
        <v>0.92</v>
      </c>
      <c r="L13" s="2380">
        <v>1.29</v>
      </c>
      <c r="N13" s="2383">
        <f t="shared" si="51"/>
        <v>9.5999999999999992E-3</v>
      </c>
      <c r="O13" s="2384">
        <f t="shared" ref="O13" si="88">J13/100</f>
        <v>1.03E-2</v>
      </c>
      <c r="P13" s="2384">
        <f t="shared" ref="P13" si="89">K13/100</f>
        <v>9.1999999999999998E-3</v>
      </c>
      <c r="Q13" s="2384">
        <f t="shared" ref="Q13" si="90">L13/100</f>
        <v>1.29E-2</v>
      </c>
      <c r="R13" s="2385"/>
      <c r="S13" s="2386"/>
      <c r="T13" s="2387"/>
      <c r="U13" s="2387"/>
      <c r="V13" s="2387"/>
      <c r="X13" s="2356">
        <f>ROUND(SUMPRODUCT(PRODUCT(1+N13:N$31)),4)</f>
        <v>1.5099</v>
      </c>
      <c r="Y13" s="2356">
        <f>ROUND(SUMPRODUCT(PRODUCT(1+O13:O$31)),4)</f>
        <v>1.3372999999999999</v>
      </c>
      <c r="Z13" s="2356">
        <f t="shared" ref="Z13" si="91">Y13</f>
        <v>1.3372999999999999</v>
      </c>
      <c r="AA13" s="2356">
        <f>ROUND(SUMPRODUCT(PRODUCT(1+P13:P$31)),4)</f>
        <v>1.5683</v>
      </c>
      <c r="AB13" s="2356">
        <f>ROUND(SUMPRODUCT(PRODUCT(1+Q13:Q$31)),4)</f>
        <v>1.3255999999999999</v>
      </c>
      <c r="AD13" s="2357">
        <f>ROUND(AVERAGE(I13:I$32)/100,4)</f>
        <v>2.24E-2</v>
      </c>
      <c r="AE13" s="2357">
        <f>ROUND(AVERAGE(J13:J$32)/100,4)</f>
        <v>1.5800000000000002E-2</v>
      </c>
      <c r="AF13" s="2357">
        <f t="shared" ref="AF13" si="92">AE13</f>
        <v>1.5800000000000002E-2</v>
      </c>
      <c r="AG13" s="2357">
        <f>ROUND(AVERAGE(K13:K$32)/100,4)</f>
        <v>2.4500000000000001E-2</v>
      </c>
      <c r="AH13" s="2357">
        <f>ROUND(AVERAGE(L13:L$32)/100,4)</f>
        <v>1.49E-2</v>
      </c>
    </row>
    <row r="14" spans="1:34" s="2390" customFormat="1" ht="14.4" customHeight="1">
      <c r="A14" s="2371" t="s">
        <v>2720</v>
      </c>
      <c r="B14" s="2388">
        <f t="shared" si="46"/>
        <v>459.95733971036987</v>
      </c>
      <c r="C14" s="2388">
        <f t="shared" ref="C14" si="93">C15*(1+O14)</f>
        <v>341.22221064422405</v>
      </c>
      <c r="D14" s="2388">
        <f t="shared" ref="D14" si="94">C14</f>
        <v>341.22221064422405</v>
      </c>
      <c r="E14" s="2388">
        <f t="shared" ref="E14" si="95">E15*(1+P14)</f>
        <v>657.19161663724799</v>
      </c>
      <c r="F14" s="2388">
        <f t="shared" ref="F14" si="96">F15*(1+Q14)</f>
        <v>300.87803644464805</v>
      </c>
      <c r="G14" s="3600"/>
      <c r="H14" s="2373">
        <v>3</v>
      </c>
      <c r="I14" s="2373">
        <v>1.51</v>
      </c>
      <c r="J14" s="2373">
        <v>1.41</v>
      </c>
      <c r="K14" s="2373">
        <v>1.52</v>
      </c>
      <c r="L14" s="2374">
        <v>1.74</v>
      </c>
      <c r="M14" s="2356"/>
      <c r="N14" s="2389">
        <f t="shared" si="51"/>
        <v>1.5100000000000001E-2</v>
      </c>
      <c r="O14" s="2357">
        <f t="shared" ref="O14" si="97">J14/100</f>
        <v>1.41E-2</v>
      </c>
      <c r="P14" s="2357">
        <f t="shared" ref="P14" si="98">K14/100</f>
        <v>1.52E-2</v>
      </c>
      <c r="Q14" s="2357">
        <f t="shared" ref="Q14" si="99">L14/100</f>
        <v>1.7399999999999999E-2</v>
      </c>
      <c r="R14" s="2356"/>
      <c r="S14" s="2389"/>
      <c r="T14" s="2357"/>
      <c r="U14" s="2357"/>
      <c r="V14" s="2357"/>
      <c r="W14" s="2356"/>
      <c r="X14" s="2356">
        <f>ROUND(SUMPRODUCT(PRODUCT(1+N14:N$31)),4)</f>
        <v>1.4956</v>
      </c>
      <c r="Y14" s="2356">
        <f>ROUND(SUMPRODUCT(PRODUCT(1+O14:O$31)),4)</f>
        <v>1.3237000000000001</v>
      </c>
      <c r="Z14" s="2356">
        <f t="shared" ref="Z14" si="100">Y14</f>
        <v>1.3237000000000001</v>
      </c>
      <c r="AA14" s="2356">
        <f>ROUND(SUMPRODUCT(PRODUCT(1+P14:P$31)),4)</f>
        <v>1.554</v>
      </c>
      <c r="AB14" s="2356">
        <f>ROUND(SUMPRODUCT(PRODUCT(1+Q14:Q$31)),4)</f>
        <v>1.3087</v>
      </c>
      <c r="AC14" s="2356"/>
      <c r="AD14" s="2357">
        <f>ROUND(AVERAGE(I14:I$32)/100,4)</f>
        <v>2.3099999999999999E-2</v>
      </c>
      <c r="AE14" s="2357">
        <f>ROUND(AVERAGE(J14:J$32)/100,4)</f>
        <v>1.61E-2</v>
      </c>
      <c r="AF14" s="2357">
        <f t="shared" ref="AF14" si="101">AE14</f>
        <v>1.61E-2</v>
      </c>
      <c r="AG14" s="2357">
        <f>ROUND(AVERAGE(K14:K$32)/100,4)</f>
        <v>2.53E-2</v>
      </c>
      <c r="AH14" s="2357">
        <f>ROUND(AVERAGE(L14:L$32)/100,4)</f>
        <v>1.4999999999999999E-2</v>
      </c>
    </row>
    <row r="15" spans="1:34" s="2390" customFormat="1" ht="14.4" customHeight="1">
      <c r="A15" s="2371" t="s">
        <v>2719</v>
      </c>
      <c r="B15" s="2388">
        <f t="shared" ref="B15:B20" si="102">B16*(1+N15)</f>
        <v>453.11529869999993</v>
      </c>
      <c r="C15" s="2388">
        <f t="shared" ref="C15" si="103">C16*(1+O15)</f>
        <v>336.47787264000004</v>
      </c>
      <c r="D15" s="2388">
        <f t="shared" ref="D15" si="104">C15</f>
        <v>336.47787264000004</v>
      </c>
      <c r="E15" s="2388">
        <f t="shared" ref="E15" si="105">E16*(1+P15)</f>
        <v>647.35186823999993</v>
      </c>
      <c r="F15" s="2388">
        <f t="shared" ref="F15" si="106">F16*(1+Q15)</f>
        <v>295.73229452000004</v>
      </c>
      <c r="G15" s="3600"/>
      <c r="H15" s="2391">
        <v>2</v>
      </c>
      <c r="I15" s="2391">
        <v>1.49</v>
      </c>
      <c r="J15" s="2391">
        <v>0.96</v>
      </c>
      <c r="K15" s="2391">
        <v>1.58</v>
      </c>
      <c r="L15" s="2392">
        <v>2.44</v>
      </c>
      <c r="M15" s="2356"/>
      <c r="N15" s="2389">
        <f t="shared" ref="N15" si="107">I15/100</f>
        <v>1.49E-2</v>
      </c>
      <c r="O15" s="2357">
        <f t="shared" ref="O15" si="108">J15/100</f>
        <v>9.5999999999999992E-3</v>
      </c>
      <c r="P15" s="2357">
        <f t="shared" ref="P15" si="109">K15/100</f>
        <v>1.5800000000000002E-2</v>
      </c>
      <c r="Q15" s="2357">
        <f t="shared" ref="Q15" si="110">L15/100</f>
        <v>2.4399999999999998E-2</v>
      </c>
      <c r="R15" s="2356"/>
      <c r="S15" s="2389"/>
      <c r="T15" s="2357"/>
      <c r="U15" s="2357"/>
      <c r="V15" s="2357"/>
      <c r="W15" s="2356"/>
      <c r="X15" s="2356">
        <f>ROUND(SUMPRODUCT(PRODUCT(1+N15:N$31)),4)</f>
        <v>1.4733000000000001</v>
      </c>
      <c r="Y15" s="2356">
        <f>ROUND(SUMPRODUCT(PRODUCT(1+O15:O$31)),4)</f>
        <v>1.3052999999999999</v>
      </c>
      <c r="Z15" s="2356">
        <f t="shared" ref="Z15" si="111">Y15</f>
        <v>1.3052999999999999</v>
      </c>
      <c r="AA15" s="2356">
        <f>ROUND(SUMPRODUCT(PRODUCT(1+P15:P$31)),4)</f>
        <v>1.5306999999999999</v>
      </c>
      <c r="AB15" s="2356">
        <f>ROUND(SUMPRODUCT(PRODUCT(1+Q15:Q$31)),4)</f>
        <v>1.2863</v>
      </c>
      <c r="AC15" s="2356"/>
      <c r="AD15" s="2357">
        <f>ROUND(AVERAGE(I15:I$32)/100,4)</f>
        <v>2.35E-2</v>
      </c>
      <c r="AE15" s="2357">
        <f>ROUND(AVERAGE(J15:J$32)/100,4)</f>
        <v>1.6199999999999999E-2</v>
      </c>
      <c r="AF15" s="2357">
        <f t="shared" ref="AF15" si="112">AE15</f>
        <v>1.6199999999999999E-2</v>
      </c>
      <c r="AG15" s="2357">
        <f>ROUND(AVERAGE(K15:K$32)/100,4)</f>
        <v>2.5899999999999999E-2</v>
      </c>
      <c r="AH15" s="2357">
        <f>ROUND(AVERAGE(L15:L$32)/100,4)</f>
        <v>1.49E-2</v>
      </c>
    </row>
    <row r="16" spans="1:34" s="2390" customFormat="1" ht="15" customHeight="1" thickBot="1">
      <c r="A16" s="2371" t="s">
        <v>2716</v>
      </c>
      <c r="B16" s="2388">
        <f t="shared" si="102"/>
        <v>446.46299999999997</v>
      </c>
      <c r="C16" s="2388">
        <f t="shared" ref="C16" si="113">C17*(1+O16)</f>
        <v>333.27840000000003</v>
      </c>
      <c r="D16" s="2388">
        <f t="shared" ref="D16:D21" si="114">C16</f>
        <v>333.27840000000003</v>
      </c>
      <c r="E16" s="2388">
        <f t="shared" ref="E16" si="115">E17*(1+P16)</f>
        <v>637.28279999999995</v>
      </c>
      <c r="F16" s="2388">
        <f t="shared" ref="F16" si="116">F17*(1+Q16)</f>
        <v>288.68830000000003</v>
      </c>
      <c r="G16" s="3607"/>
      <c r="H16" s="2373">
        <v>1</v>
      </c>
      <c r="I16" s="2373">
        <v>1.7</v>
      </c>
      <c r="J16" s="2373">
        <v>1.92</v>
      </c>
      <c r="K16" s="2373">
        <v>1.64</v>
      </c>
      <c r="L16" s="2374">
        <v>2.0099999999999998</v>
      </c>
      <c r="M16" s="2356"/>
      <c r="N16" s="2389">
        <f t="shared" ref="N16:N21" si="117">I16/100</f>
        <v>1.7000000000000001E-2</v>
      </c>
      <c r="O16" s="2357">
        <f t="shared" ref="O16" si="118">J16/100</f>
        <v>1.9199999999999998E-2</v>
      </c>
      <c r="P16" s="2357">
        <f t="shared" ref="P16" si="119">K16/100</f>
        <v>1.6399999999999998E-2</v>
      </c>
      <c r="Q16" s="2357">
        <f t="shared" ref="Q16" si="120">L16/100</f>
        <v>2.0099999999999996E-2</v>
      </c>
      <c r="R16" s="2356"/>
      <c r="S16" s="2393">
        <f>B16/B17-1</f>
        <v>1.6999999999999904E-2</v>
      </c>
      <c r="T16" s="2394">
        <f>C16/C17-1</f>
        <v>1.9200000000000106E-2</v>
      </c>
      <c r="U16" s="2394">
        <f>E16/E17-1</f>
        <v>1.639999999999997E-2</v>
      </c>
      <c r="V16" s="2394">
        <f>F16/F17-1</f>
        <v>2.0100000000000007E-2</v>
      </c>
      <c r="W16" s="2356"/>
      <c r="X16" s="2356">
        <f>ROUND(SUMPRODUCT(PRODUCT(1+N16:N$31)),4)</f>
        <v>1.4517</v>
      </c>
      <c r="Y16" s="2356">
        <f>ROUND(SUMPRODUCT(PRODUCT(1+O16:O$31)),4)</f>
        <v>1.2928999999999999</v>
      </c>
      <c r="Z16" s="2356">
        <f t="shared" ref="Z16" si="121">Y16</f>
        <v>1.2928999999999999</v>
      </c>
      <c r="AA16" s="2356">
        <f>ROUND(SUMPRODUCT(PRODUCT(1+P16:P$31)),4)</f>
        <v>1.5068999999999999</v>
      </c>
      <c r="AB16" s="2356">
        <f>ROUND(SUMPRODUCT(PRODUCT(1+Q16:Q$31)),4)</f>
        <v>1.2557</v>
      </c>
      <c r="AC16" s="2356"/>
      <c r="AD16" s="2357">
        <f>ROUND(AVERAGE(I16:I$32)/100,4)</f>
        <v>2.4E-2</v>
      </c>
      <c r="AE16" s="2357">
        <f>ROUND(AVERAGE(J16:J$32)/100,4)</f>
        <v>1.66E-2</v>
      </c>
      <c r="AF16" s="2357">
        <f t="shared" ref="AF16" si="122">AE16</f>
        <v>1.66E-2</v>
      </c>
      <c r="AG16" s="2357">
        <f>ROUND(AVERAGE(K16:K$32)/100,4)</f>
        <v>2.6499999999999999E-2</v>
      </c>
      <c r="AH16" s="2357">
        <f>ROUND(AVERAGE(L16:L$32)/100,4)</f>
        <v>1.43E-2</v>
      </c>
    </row>
    <row r="17" spans="1:34">
      <c r="A17" s="2371" t="s">
        <v>2713</v>
      </c>
      <c r="B17" s="2381">
        <v>439</v>
      </c>
      <c r="C17" s="2381">
        <v>327</v>
      </c>
      <c r="D17" s="2381">
        <f t="shared" si="114"/>
        <v>327</v>
      </c>
      <c r="E17" s="2381">
        <v>627</v>
      </c>
      <c r="F17" s="2382">
        <v>283</v>
      </c>
      <c r="G17" s="3603">
        <v>2017</v>
      </c>
      <c r="H17" s="2379">
        <v>4</v>
      </c>
      <c r="I17" s="2379">
        <v>1.71</v>
      </c>
      <c r="J17" s="2379">
        <v>1.78</v>
      </c>
      <c r="K17" s="2379">
        <v>1.71</v>
      </c>
      <c r="L17" s="2380">
        <v>1.43</v>
      </c>
      <c r="N17" s="2383">
        <f t="shared" si="117"/>
        <v>1.7100000000000001E-2</v>
      </c>
      <c r="O17" s="2384">
        <f t="shared" ref="O17" si="123">J17/100</f>
        <v>1.78E-2</v>
      </c>
      <c r="P17" s="2384">
        <f t="shared" ref="P17" si="124">K17/100</f>
        <v>1.7100000000000001E-2</v>
      </c>
      <c r="Q17" s="2384">
        <f t="shared" ref="Q17" si="125">L17/100</f>
        <v>1.43E-2</v>
      </c>
      <c r="R17" s="2385"/>
      <c r="S17" s="2386"/>
      <c r="T17" s="2387"/>
      <c r="U17" s="2387"/>
      <c r="V17" s="2387"/>
      <c r="X17" s="2356">
        <f>ROUND(SUMPRODUCT(PRODUCT(1+N17:N$31)),4)</f>
        <v>1.4274</v>
      </c>
      <c r="Y17" s="2356">
        <f>ROUND(SUMPRODUCT(PRODUCT(1+O17:O$31)),4)</f>
        <v>1.2685</v>
      </c>
      <c r="Z17" s="2356">
        <f t="shared" si="0"/>
        <v>1.2685</v>
      </c>
      <c r="AA17" s="2356">
        <f>ROUND(SUMPRODUCT(PRODUCT(1+P17:P$31)),4)</f>
        <v>1.4825999999999999</v>
      </c>
      <c r="AB17" s="2356">
        <f>ROUND(SUMPRODUCT(PRODUCT(1+Q17:Q$31)),4)</f>
        <v>1.2309000000000001</v>
      </c>
      <c r="AD17" s="2357">
        <f>ROUND(AVERAGE(I17:I$32)/100,4)</f>
        <v>2.4500000000000001E-2</v>
      </c>
      <c r="AE17" s="2357">
        <f>ROUND(AVERAGE(J17:J$32)/100,4)</f>
        <v>1.6500000000000001E-2</v>
      </c>
      <c r="AF17" s="2357">
        <f t="shared" si="1"/>
        <v>1.6500000000000001E-2</v>
      </c>
      <c r="AG17" s="2357">
        <f>ROUND(AVERAGE(K17:K$32)/100,4)</f>
        <v>2.7099999999999999E-2</v>
      </c>
      <c r="AH17" s="2357">
        <f>ROUND(AVERAGE(L17:L$32)/100,4)</f>
        <v>1.3899999999999999E-2</v>
      </c>
    </row>
    <row r="18" spans="1:34" s="2390" customFormat="1" ht="14.4" customHeight="1">
      <c r="A18" s="2371" t="s">
        <v>2710</v>
      </c>
      <c r="B18" s="2388">
        <f t="shared" si="102"/>
        <v>431.80730811680002</v>
      </c>
      <c r="C18" s="2388">
        <f t="shared" ref="C18" si="126">C19*(1+O18)</f>
        <v>320.57880516480003</v>
      </c>
      <c r="D18" s="2388">
        <f t="shared" si="114"/>
        <v>320.57880516480003</v>
      </c>
      <c r="E18" s="2388">
        <f t="shared" ref="E18:F20" si="127">E19*(1+P18)</f>
        <v>615.96110553196797</v>
      </c>
      <c r="F18" s="2388">
        <f t="shared" si="127"/>
        <v>279.46777300108801</v>
      </c>
      <c r="G18" s="3600"/>
      <c r="H18" s="2373">
        <v>3</v>
      </c>
      <c r="I18" s="2373">
        <v>2.98</v>
      </c>
      <c r="J18" s="2373">
        <v>2.11</v>
      </c>
      <c r="K18" s="2373">
        <v>3.24</v>
      </c>
      <c r="L18" s="2374">
        <v>1.72</v>
      </c>
      <c r="M18" s="2356"/>
      <c r="N18" s="2389">
        <f t="shared" si="117"/>
        <v>2.98E-2</v>
      </c>
      <c r="O18" s="2395">
        <f t="shared" ref="O18" si="128">J18/100</f>
        <v>2.1099999999999997E-2</v>
      </c>
      <c r="P18" s="2395">
        <f t="shared" ref="P18" si="129">K18/100</f>
        <v>3.2400000000000005E-2</v>
      </c>
      <c r="Q18" s="2395">
        <f t="shared" ref="Q18" si="130">L18/100</f>
        <v>1.72E-2</v>
      </c>
      <c r="R18" s="2356"/>
      <c r="S18" s="2389"/>
      <c r="T18" s="2357"/>
      <c r="U18" s="2357"/>
      <c r="V18" s="2357"/>
      <c r="W18" s="2356"/>
      <c r="X18" s="2356">
        <f>ROUND(SUMPRODUCT(PRODUCT(1+N18:N$31)),4)</f>
        <v>1.4034</v>
      </c>
      <c r="Y18" s="2356">
        <f>ROUND(SUMPRODUCT(PRODUCT(1+O18:O$31)),4)</f>
        <v>1.2463</v>
      </c>
      <c r="Z18" s="2356">
        <f t="shared" si="0"/>
        <v>1.2463</v>
      </c>
      <c r="AA18" s="2356">
        <f>ROUND(SUMPRODUCT(PRODUCT(1+P18:P$31)),4)</f>
        <v>1.4577</v>
      </c>
      <c r="AB18" s="2356">
        <f>ROUND(SUMPRODUCT(PRODUCT(1+Q18:Q$31)),4)</f>
        <v>1.2136</v>
      </c>
      <c r="AC18" s="2356"/>
      <c r="AD18" s="2357">
        <f>ROUND(AVERAGE(I18:I$32)/100,4)</f>
        <v>2.4899999999999999E-2</v>
      </c>
      <c r="AE18" s="2357">
        <f>ROUND(AVERAGE(J18:J$32)/100,4)</f>
        <v>1.6400000000000001E-2</v>
      </c>
      <c r="AF18" s="2357">
        <f t="shared" si="1"/>
        <v>1.6400000000000001E-2</v>
      </c>
      <c r="AG18" s="2357">
        <f>ROUND(AVERAGE(K18:K$32)/100,4)</f>
        <v>2.7799999999999998E-2</v>
      </c>
      <c r="AH18" s="2357">
        <f>ROUND(AVERAGE(L18:L$32)/100,4)</f>
        <v>1.3899999999999999E-2</v>
      </c>
    </row>
    <row r="19" spans="1:34" s="2365" customFormat="1" ht="14.4" customHeight="1">
      <c r="A19" s="2371" t="s">
        <v>1245</v>
      </c>
      <c r="B19" s="2388">
        <f t="shared" si="102"/>
        <v>419.31181600000002</v>
      </c>
      <c r="C19" s="2388">
        <f t="shared" ref="C19" si="131">C20*(1+O19)</f>
        <v>313.95436800000004</v>
      </c>
      <c r="D19" s="2388">
        <f t="shared" si="114"/>
        <v>313.95436800000004</v>
      </c>
      <c r="E19" s="2388">
        <f t="shared" si="127"/>
        <v>596.63028431999999</v>
      </c>
      <c r="F19" s="2388">
        <f t="shared" si="127"/>
        <v>274.74220703999998</v>
      </c>
      <c r="G19" s="3600"/>
      <c r="H19" s="2391">
        <v>2</v>
      </c>
      <c r="I19" s="2391">
        <v>3.4</v>
      </c>
      <c r="J19" s="2391">
        <v>2</v>
      </c>
      <c r="K19" s="2391">
        <v>3.82</v>
      </c>
      <c r="L19" s="2392">
        <v>1.68</v>
      </c>
      <c r="M19" s="2356"/>
      <c r="N19" s="2389">
        <f t="shared" si="117"/>
        <v>3.4000000000000002E-2</v>
      </c>
      <c r="O19" s="2395">
        <f t="shared" ref="O19" si="132">J19/100</f>
        <v>0.02</v>
      </c>
      <c r="P19" s="2395">
        <f t="shared" ref="P19" si="133">K19/100</f>
        <v>3.8199999999999998E-2</v>
      </c>
      <c r="Q19" s="2395">
        <f t="shared" ref="Q19" si="134">L19/100</f>
        <v>1.6799999999999999E-2</v>
      </c>
      <c r="R19" s="2356"/>
      <c r="S19" s="2389"/>
      <c r="T19" s="2357"/>
      <c r="U19" s="2357"/>
      <c r="V19" s="2357"/>
      <c r="W19" s="2356"/>
      <c r="X19" s="2396">
        <f>ROUND(SUMPRODUCT(PRODUCT(1+N19:N$31)),4)</f>
        <v>1.3628</v>
      </c>
      <c r="Y19" s="2396">
        <f>ROUND(SUMPRODUCT(PRODUCT(1+O19:O$31)),4)</f>
        <v>1.2205999999999999</v>
      </c>
      <c r="Z19" s="2396">
        <f t="shared" si="0"/>
        <v>1.2205999999999999</v>
      </c>
      <c r="AA19" s="2396">
        <f>ROUND(SUMPRODUCT(PRODUCT(1+P19:P$31)),4)</f>
        <v>1.4118999999999999</v>
      </c>
      <c r="AB19" s="2396">
        <f>ROUND(SUMPRODUCT(PRODUCT(1+Q19:Q$31)),4)</f>
        <v>1.1930000000000001</v>
      </c>
      <c r="AC19" s="2350"/>
      <c r="AD19" s="2397">
        <f>ROUND(AVERAGE(I19:I$32)/100,4)</f>
        <v>2.46E-2</v>
      </c>
      <c r="AE19" s="2397">
        <f>ROUND(AVERAGE(J19:J$32)/100,4)</f>
        <v>1.6E-2</v>
      </c>
      <c r="AF19" s="2397">
        <f t="shared" si="1"/>
        <v>1.6E-2</v>
      </c>
      <c r="AG19" s="2397">
        <f>ROUND(AVERAGE(K19:K$32)/100,4)</f>
        <v>2.75E-2</v>
      </c>
      <c r="AH19" s="2397">
        <f>ROUND(AVERAGE(L19:L$32)/100,4)</f>
        <v>1.37E-2</v>
      </c>
    </row>
    <row r="20" spans="1:34" s="2390" customFormat="1" ht="15" customHeight="1" thickBot="1">
      <c r="A20" s="2371" t="s">
        <v>1036</v>
      </c>
      <c r="B20" s="2388">
        <f t="shared" si="102"/>
        <v>405.524</v>
      </c>
      <c r="C20" s="2388">
        <f t="shared" ref="C20" si="135">C21*(1+O20)</f>
        <v>307.79840000000002</v>
      </c>
      <c r="D20" s="2388">
        <f t="shared" si="114"/>
        <v>307.79840000000002</v>
      </c>
      <c r="E20" s="2388">
        <f t="shared" si="127"/>
        <v>574.67759999999998</v>
      </c>
      <c r="F20" s="2388">
        <f t="shared" si="127"/>
        <v>270.20280000000002</v>
      </c>
      <c r="G20" s="3607"/>
      <c r="H20" s="2373">
        <v>1</v>
      </c>
      <c r="I20" s="2373">
        <v>3.45</v>
      </c>
      <c r="J20" s="2373">
        <v>1.92</v>
      </c>
      <c r="K20" s="2373">
        <v>3.92</v>
      </c>
      <c r="L20" s="2374">
        <v>1.58</v>
      </c>
      <c r="M20" s="2356"/>
      <c r="N20" s="2393">
        <f t="shared" si="117"/>
        <v>3.4500000000000003E-2</v>
      </c>
      <c r="O20" s="2394">
        <f t="shared" ref="O20:Q35" si="136">J20/100</f>
        <v>1.9199999999999998E-2</v>
      </c>
      <c r="P20" s="2394">
        <f t="shared" si="136"/>
        <v>3.9199999999999999E-2</v>
      </c>
      <c r="Q20" s="2394">
        <f t="shared" si="136"/>
        <v>1.5800000000000002E-2</v>
      </c>
      <c r="R20" s="2356"/>
      <c r="S20" s="2393">
        <f>B20/B21-1</f>
        <v>3.4499999999999975E-2</v>
      </c>
      <c r="T20" s="2394">
        <f>C20/C21-1</f>
        <v>1.9200000000000106E-2</v>
      </c>
      <c r="U20" s="2394">
        <f>E20/E21-1</f>
        <v>3.9199999999999902E-2</v>
      </c>
      <c r="V20" s="2394">
        <f>F20/F21-1</f>
        <v>1.5800000000000036E-2</v>
      </c>
      <c r="W20" s="2356"/>
      <c r="X20" s="2356">
        <f>ROUND(SUMPRODUCT(PRODUCT(1+N20:N$31)),4)</f>
        <v>1.3180000000000001</v>
      </c>
      <c r="Y20" s="2356">
        <f>ROUND(SUMPRODUCT(PRODUCT(1+O20:O$31)),4)</f>
        <v>1.1966000000000001</v>
      </c>
      <c r="Z20" s="2356">
        <f t="shared" si="0"/>
        <v>1.1966000000000001</v>
      </c>
      <c r="AA20" s="2356">
        <f>ROUND(SUMPRODUCT(PRODUCT(1+P20:P$31)),4)</f>
        <v>1.36</v>
      </c>
      <c r="AB20" s="2356">
        <f>ROUND(SUMPRODUCT(PRODUCT(1+Q20:Q$31)),4)</f>
        <v>1.1733</v>
      </c>
      <c r="AC20" s="2356"/>
      <c r="AD20" s="2357">
        <f>ROUND(AVERAGE(I20:I$32)/100,4)</f>
        <v>2.3900000000000001E-2</v>
      </c>
      <c r="AE20" s="2357">
        <f>ROUND(AVERAGE(J20:J$32)/100,4)</f>
        <v>1.5699999999999999E-2</v>
      </c>
      <c r="AF20" s="2357">
        <f t="shared" si="1"/>
        <v>1.5699999999999999E-2</v>
      </c>
      <c r="AG20" s="2357">
        <f>ROUND(AVERAGE(K20:K$32)/100,4)</f>
        <v>2.6599999999999999E-2</v>
      </c>
      <c r="AH20" s="2357">
        <f>ROUND(AVERAGE(L20:L$32)/100,4)</f>
        <v>1.34E-2</v>
      </c>
    </row>
    <row r="21" spans="1:34">
      <c r="A21" s="2371" t="s">
        <v>1037</v>
      </c>
      <c r="B21" s="2381">
        <v>392</v>
      </c>
      <c r="C21" s="2381">
        <v>302</v>
      </c>
      <c r="D21" s="2381">
        <f t="shared" si="114"/>
        <v>302</v>
      </c>
      <c r="E21" s="2381">
        <v>553</v>
      </c>
      <c r="F21" s="2382">
        <v>266</v>
      </c>
      <c r="G21" s="3603">
        <v>2016</v>
      </c>
      <c r="H21" s="2379">
        <v>4</v>
      </c>
      <c r="I21" s="2379">
        <v>4.5599999999999996</v>
      </c>
      <c r="J21" s="2379">
        <v>2.15</v>
      </c>
      <c r="K21" s="2379">
        <v>5.32</v>
      </c>
      <c r="L21" s="2380">
        <v>1.57</v>
      </c>
      <c r="N21" s="2389">
        <f t="shared" si="117"/>
        <v>4.5599999999999995E-2</v>
      </c>
      <c r="O21" s="2357">
        <f t="shared" si="136"/>
        <v>2.1499999999999998E-2</v>
      </c>
      <c r="P21" s="2357">
        <f t="shared" si="136"/>
        <v>5.3200000000000004E-2</v>
      </c>
      <c r="Q21" s="2357">
        <f t="shared" si="136"/>
        <v>1.5700000000000002E-2</v>
      </c>
      <c r="R21" s="2385"/>
      <c r="S21" s="2386"/>
      <c r="T21" s="2387"/>
      <c r="U21" s="2387"/>
      <c r="V21" s="2387"/>
      <c r="X21" s="2356">
        <f>ROUND(SUMPRODUCT(PRODUCT(1+N21:N$31)),4)</f>
        <v>1.274</v>
      </c>
      <c r="Y21" s="2356">
        <f>ROUND(SUMPRODUCT(PRODUCT(1+O21:O$31)),4)</f>
        <v>1.1740999999999999</v>
      </c>
      <c r="Z21" s="2356">
        <f t="shared" si="0"/>
        <v>1.1740999999999999</v>
      </c>
      <c r="AA21" s="2356">
        <f>ROUND(SUMPRODUCT(PRODUCT(1+P21:P$31)),4)</f>
        <v>1.3087</v>
      </c>
      <c r="AB21" s="2356">
        <f>ROUND(SUMPRODUCT(PRODUCT(1+Q21:Q$31)),4)</f>
        <v>1.1551</v>
      </c>
      <c r="AD21" s="2357">
        <f>ROUND(AVERAGE(I21:I$32)/100,4)</f>
        <v>2.3E-2</v>
      </c>
      <c r="AE21" s="2357">
        <f>ROUND(AVERAGE(J21:J$32)/100,4)</f>
        <v>1.55E-2</v>
      </c>
      <c r="AF21" s="2357">
        <f t="shared" ref="AF21:AF30" si="137">AE21</f>
        <v>1.55E-2</v>
      </c>
      <c r="AG21" s="2357">
        <f>ROUND(AVERAGE(K21:K$32)/100,4)</f>
        <v>2.5600000000000001E-2</v>
      </c>
      <c r="AH21" s="2357">
        <f>ROUND(AVERAGE(L21:L$32)/100,4)</f>
        <v>1.32E-2</v>
      </c>
    </row>
    <row r="22" spans="1:34">
      <c r="A22" s="2371" t="s">
        <v>103</v>
      </c>
      <c r="B22" s="2388">
        <f t="shared" ref="B22:C24" si="138">B21/(1+N21)</f>
        <v>374.90436113236416</v>
      </c>
      <c r="C22" s="2388">
        <f t="shared" si="138"/>
        <v>295.64366128242779</v>
      </c>
      <c r="D22" s="2388">
        <f t="shared" ref="D22:D81" si="139">C22</f>
        <v>295.64366128242779</v>
      </c>
      <c r="E22" s="2388">
        <f t="shared" ref="E22:F24" si="140">E21/(1+P21)</f>
        <v>525.06646410938095</v>
      </c>
      <c r="F22" s="2388">
        <f t="shared" si="140"/>
        <v>261.88835286009646</v>
      </c>
      <c r="G22" s="3600"/>
      <c r="H22" s="2373">
        <v>3</v>
      </c>
      <c r="I22" s="2373">
        <v>4.12</v>
      </c>
      <c r="J22" s="2373">
        <v>2</v>
      </c>
      <c r="K22" s="2373">
        <v>4.79</v>
      </c>
      <c r="L22" s="2374">
        <v>1.97</v>
      </c>
      <c r="N22" s="2389">
        <f t="shared" ref="N22:Q56" si="141">I22/100</f>
        <v>4.1200000000000001E-2</v>
      </c>
      <c r="O22" s="2357">
        <f t="shared" si="136"/>
        <v>0.02</v>
      </c>
      <c r="P22" s="2357">
        <f t="shared" si="136"/>
        <v>4.7899999999999998E-2</v>
      </c>
      <c r="Q22" s="2357">
        <f t="shared" si="136"/>
        <v>1.9699999999999999E-2</v>
      </c>
      <c r="R22" s="2385"/>
      <c r="S22" s="2389"/>
      <c r="T22" s="2357"/>
      <c r="U22" s="2357"/>
      <c r="V22" s="2357"/>
      <c r="X22" s="2356">
        <f>ROUND(SUMPRODUCT(PRODUCT(1+N22:N$31)),4)</f>
        <v>1.2184999999999999</v>
      </c>
      <c r="Y22" s="2356">
        <f>ROUND(SUMPRODUCT(PRODUCT(1+O22:O$31)),4)</f>
        <v>1.1494</v>
      </c>
      <c r="Z22" s="2356">
        <f t="shared" si="0"/>
        <v>1.1494</v>
      </c>
      <c r="AA22" s="2356">
        <f>ROUND(SUMPRODUCT(PRODUCT(1+P22:P$31)),4)</f>
        <v>1.2425999999999999</v>
      </c>
      <c r="AB22" s="2356">
        <f>ROUND(SUMPRODUCT(PRODUCT(1+Q22:Q$31)),4)</f>
        <v>1.1372</v>
      </c>
      <c r="AD22" s="2357">
        <f>ROUND(AVERAGE(I22:I$32)/100,4)</f>
        <v>2.0899999999999998E-2</v>
      </c>
      <c r="AE22" s="2357">
        <f>ROUND(AVERAGE(J22:J$32)/100,4)</f>
        <v>1.49E-2</v>
      </c>
      <c r="AF22" s="2357">
        <f t="shared" si="137"/>
        <v>1.49E-2</v>
      </c>
      <c r="AG22" s="2357">
        <f>ROUND(AVERAGE(K22:K$32)/100,4)</f>
        <v>2.3099999999999999E-2</v>
      </c>
      <c r="AH22" s="2357">
        <f>ROUND(AVERAGE(L22:L$32)/100,4)</f>
        <v>1.2999999999999999E-2</v>
      </c>
    </row>
    <row r="23" spans="1:34">
      <c r="A23" s="2371" t="s">
        <v>93</v>
      </c>
      <c r="B23" s="2388">
        <f t="shared" si="138"/>
        <v>360.06949782209392</v>
      </c>
      <c r="C23" s="2388">
        <f t="shared" si="138"/>
        <v>289.84672674747821</v>
      </c>
      <c r="D23" s="2388">
        <f t="shared" si="139"/>
        <v>289.84672674747821</v>
      </c>
      <c r="E23" s="2388">
        <f t="shared" si="140"/>
        <v>501.06543001181495</v>
      </c>
      <c r="F23" s="2388">
        <f t="shared" si="140"/>
        <v>256.82882500744967</v>
      </c>
      <c r="G23" s="3600"/>
      <c r="H23" s="2391">
        <v>2</v>
      </c>
      <c r="I23" s="2391">
        <v>3.85</v>
      </c>
      <c r="J23" s="2391">
        <v>1.95</v>
      </c>
      <c r="K23" s="2391">
        <v>4.4800000000000004</v>
      </c>
      <c r="L23" s="2392">
        <v>1.41</v>
      </c>
      <c r="N23" s="2389">
        <f t="shared" si="141"/>
        <v>3.85E-2</v>
      </c>
      <c r="O23" s="2357">
        <f t="shared" si="136"/>
        <v>1.95E-2</v>
      </c>
      <c r="P23" s="2357">
        <f t="shared" si="136"/>
        <v>4.4800000000000006E-2</v>
      </c>
      <c r="Q23" s="2357">
        <f t="shared" si="136"/>
        <v>1.41E-2</v>
      </c>
      <c r="R23" s="2385"/>
      <c r="S23" s="2389"/>
      <c r="T23" s="2357"/>
      <c r="U23" s="2357"/>
      <c r="V23" s="2357"/>
      <c r="X23" s="2356">
        <f>ROUND(SUMPRODUCT(PRODUCT(1+N23:N$31)),4)</f>
        <v>1.1702999999999999</v>
      </c>
      <c r="Y23" s="2356">
        <f>ROUND(SUMPRODUCT(PRODUCT(1+O23:O$31)),4)</f>
        <v>1.1269</v>
      </c>
      <c r="Z23" s="2356">
        <f t="shared" si="0"/>
        <v>1.1269</v>
      </c>
      <c r="AA23" s="2356">
        <f>ROUND(SUMPRODUCT(PRODUCT(1+P23:P$31)),4)</f>
        <v>1.1858</v>
      </c>
      <c r="AB23" s="2356">
        <f>ROUND(SUMPRODUCT(PRODUCT(1+Q23:Q$31)),4)</f>
        <v>1.1152</v>
      </c>
      <c r="AD23" s="2357">
        <f>ROUND(AVERAGE(I23:I$32)/100,4)</f>
        <v>1.89E-2</v>
      </c>
      <c r="AE23" s="2357">
        <f>ROUND(AVERAGE(J23:J$32)/100,4)</f>
        <v>1.44E-2</v>
      </c>
      <c r="AF23" s="2357">
        <f t="shared" si="137"/>
        <v>1.44E-2</v>
      </c>
      <c r="AG23" s="2357">
        <f>ROUND(AVERAGE(K23:K$32)/100,4)</f>
        <v>2.06E-2</v>
      </c>
      <c r="AH23" s="2357">
        <f>ROUND(AVERAGE(L23:L$32)/100,4)</f>
        <v>1.23E-2</v>
      </c>
    </row>
    <row r="24" spans="1:34" ht="13.8" thickBot="1">
      <c r="A24" s="2371" t="s">
        <v>102</v>
      </c>
      <c r="B24" s="2388">
        <f t="shared" si="138"/>
        <v>346.720748986128</v>
      </c>
      <c r="C24" s="2388">
        <f t="shared" si="138"/>
        <v>284.30282172386285</v>
      </c>
      <c r="D24" s="2388">
        <f t="shared" si="139"/>
        <v>284.30282172386285</v>
      </c>
      <c r="E24" s="2388">
        <f t="shared" si="140"/>
        <v>479.58023546306947</v>
      </c>
      <c r="F24" s="2388">
        <f t="shared" si="140"/>
        <v>253.25788877571213</v>
      </c>
      <c r="G24" s="3601"/>
      <c r="H24" s="2373">
        <v>1</v>
      </c>
      <c r="I24" s="2373">
        <v>4.09</v>
      </c>
      <c r="J24" s="2373">
        <v>2.93</v>
      </c>
      <c r="K24" s="2373">
        <v>4.54</v>
      </c>
      <c r="L24" s="2374">
        <v>1.48</v>
      </c>
      <c r="N24" s="2389">
        <f t="shared" si="141"/>
        <v>4.0899999999999999E-2</v>
      </c>
      <c r="O24" s="2357">
        <f t="shared" si="136"/>
        <v>2.9300000000000003E-2</v>
      </c>
      <c r="P24" s="2357">
        <f t="shared" si="136"/>
        <v>4.5400000000000003E-2</v>
      </c>
      <c r="Q24" s="2357">
        <f t="shared" si="136"/>
        <v>1.4800000000000001E-2</v>
      </c>
      <c r="R24" s="2385"/>
      <c r="S24" s="2393">
        <f>B24/B25-1</f>
        <v>4.1203450408792808E-2</v>
      </c>
      <c r="T24" s="2394">
        <f>C24/C25-1</f>
        <v>2.6363977342465095E-2</v>
      </c>
      <c r="U24" s="2394">
        <f>E24/E25-1</f>
        <v>4.4837114298626357E-2</v>
      </c>
      <c r="V24" s="2394">
        <f>F24/F25-1</f>
        <v>1.7099954922538574E-2</v>
      </c>
      <c r="X24" s="2356">
        <f>ROUND(SUMPRODUCT(PRODUCT(1+N24:N$31)),4)</f>
        <v>1.1269</v>
      </c>
      <c r="Y24" s="2356">
        <f>ROUND(SUMPRODUCT(PRODUCT(1+O24:O$31)),4)</f>
        <v>1.1052999999999999</v>
      </c>
      <c r="Z24" s="2356">
        <f t="shared" si="0"/>
        <v>1.1052999999999999</v>
      </c>
      <c r="AA24" s="2356">
        <f>ROUND(SUMPRODUCT(PRODUCT(1+P24:P$31)),4)</f>
        <v>1.1349</v>
      </c>
      <c r="AB24" s="2356">
        <f>ROUND(SUMPRODUCT(PRODUCT(1+Q24:Q$31)),4)</f>
        <v>1.0996999999999999</v>
      </c>
      <c r="AD24" s="2357">
        <f>ROUND(AVERAGE(I24:I$32)/100,4)</f>
        <v>1.67E-2</v>
      </c>
      <c r="AE24" s="2357">
        <f>ROUND(AVERAGE(J24:J$32)/100,4)</f>
        <v>1.38E-2</v>
      </c>
      <c r="AF24" s="2357">
        <f t="shared" si="137"/>
        <v>1.38E-2</v>
      </c>
      <c r="AG24" s="2357">
        <f>ROUND(AVERAGE(K24:K$32)/100,4)</f>
        <v>1.7899999999999999E-2</v>
      </c>
      <c r="AH24" s="2357">
        <f>ROUND(AVERAGE(L24:L$32)/100,4)</f>
        <v>1.21E-2</v>
      </c>
    </row>
    <row r="25" spans="1:34" ht="13.8" thickBot="1">
      <c r="A25" s="2371" t="s">
        <v>101</v>
      </c>
      <c r="B25" s="2381">
        <v>333</v>
      </c>
      <c r="C25" s="2381">
        <v>277</v>
      </c>
      <c r="D25" s="2381">
        <f t="shared" si="139"/>
        <v>277</v>
      </c>
      <c r="E25" s="2381">
        <v>459</v>
      </c>
      <c r="F25" s="2382">
        <v>249</v>
      </c>
      <c r="G25" s="3599">
        <v>2015</v>
      </c>
      <c r="H25" s="2398">
        <v>4</v>
      </c>
      <c r="I25" s="2398">
        <v>1.63</v>
      </c>
      <c r="J25" s="2398">
        <v>1.1100000000000001</v>
      </c>
      <c r="K25" s="2398">
        <v>1.77</v>
      </c>
      <c r="L25" s="2399">
        <v>1.89</v>
      </c>
      <c r="N25" s="2383">
        <f t="shared" si="141"/>
        <v>1.6299999999999999E-2</v>
      </c>
      <c r="O25" s="2384">
        <f t="shared" si="136"/>
        <v>1.11E-2</v>
      </c>
      <c r="P25" s="2384">
        <f t="shared" si="136"/>
        <v>1.77E-2</v>
      </c>
      <c r="Q25" s="2384">
        <f t="shared" si="136"/>
        <v>1.89E-2</v>
      </c>
      <c r="R25" s="2385"/>
      <c r="X25" s="2356">
        <f>ROUND(SUMPRODUCT(PRODUCT(1+N25:N$31)),4)</f>
        <v>1.0826</v>
      </c>
      <c r="Y25" s="2356">
        <f>ROUND(SUMPRODUCT(PRODUCT(1+O25:O$31)),4)</f>
        <v>1.0738000000000001</v>
      </c>
      <c r="Z25" s="2356">
        <f t="shared" si="0"/>
        <v>1.0738000000000001</v>
      </c>
      <c r="AA25" s="2356">
        <f>ROUND(SUMPRODUCT(PRODUCT(1+P25:P$31)),4)</f>
        <v>1.0855999999999999</v>
      </c>
      <c r="AB25" s="2356">
        <f>ROUND(SUMPRODUCT(PRODUCT(1+Q25:Q$31)),4)</f>
        <v>1.0837000000000001</v>
      </c>
      <c r="AD25" s="2357">
        <f>ROUND(AVERAGE(I25:I$32)/100,4)</f>
        <v>1.37E-2</v>
      </c>
      <c r="AE25" s="2357">
        <f>ROUND(AVERAGE(J25:J$32)/100,4)</f>
        <v>1.1900000000000001E-2</v>
      </c>
      <c r="AF25" s="2357">
        <f t="shared" si="137"/>
        <v>1.1900000000000001E-2</v>
      </c>
      <c r="AG25" s="2357">
        <f>ROUND(AVERAGE(K25:K$32)/100,4)</f>
        <v>1.4500000000000001E-2</v>
      </c>
      <c r="AH25" s="2357">
        <f>ROUND(AVERAGE(L25:L$32)/100,4)</f>
        <v>1.18E-2</v>
      </c>
    </row>
    <row r="26" spans="1:34">
      <c r="A26" s="2371" t="s">
        <v>100</v>
      </c>
      <c r="B26" s="2388">
        <f t="shared" ref="B26:C28" si="142">B25/(1+N25)</f>
        <v>327.65915576109415</v>
      </c>
      <c r="C26" s="2388">
        <f t="shared" si="142"/>
        <v>273.95905449510434</v>
      </c>
      <c r="D26" s="2388">
        <f t="shared" si="139"/>
        <v>273.95905449510434</v>
      </c>
      <c r="E26" s="2388">
        <f t="shared" ref="E26:F28" si="143">E25/(1+P25)</f>
        <v>451.01699911565294</v>
      </c>
      <c r="F26" s="2388">
        <f t="shared" si="143"/>
        <v>244.38119540681129</v>
      </c>
      <c r="G26" s="3600"/>
      <c r="H26" s="2401">
        <v>3</v>
      </c>
      <c r="I26" s="2401">
        <v>1.65</v>
      </c>
      <c r="J26" s="2401">
        <v>0.92</v>
      </c>
      <c r="K26" s="2401">
        <v>1.88</v>
      </c>
      <c r="L26" s="2402">
        <v>1.26</v>
      </c>
      <c r="N26" s="2389">
        <f t="shared" si="141"/>
        <v>1.6500000000000001E-2</v>
      </c>
      <c r="O26" s="2395">
        <f t="shared" si="136"/>
        <v>9.1999999999999998E-3</v>
      </c>
      <c r="P26" s="2395">
        <f t="shared" si="136"/>
        <v>1.8799999999999997E-2</v>
      </c>
      <c r="Q26" s="2395">
        <f t="shared" si="136"/>
        <v>1.26E-2</v>
      </c>
      <c r="R26" s="2385"/>
      <c r="S26" s="2389"/>
      <c r="T26" s="2357"/>
      <c r="U26" s="2357"/>
      <c r="V26" s="2357"/>
      <c r="X26" s="2356">
        <f>ROUND(SUMPRODUCT(PRODUCT(1+N26:N$31)),4)</f>
        <v>1.0651999999999999</v>
      </c>
      <c r="Y26" s="2356">
        <f>ROUND(SUMPRODUCT(PRODUCT(1+O26:O$31)),4)</f>
        <v>1.0621</v>
      </c>
      <c r="Z26" s="2356">
        <f t="shared" si="0"/>
        <v>1.0621</v>
      </c>
      <c r="AA26" s="2356">
        <f>ROUND(SUMPRODUCT(PRODUCT(1+P26:P$31)),4)</f>
        <v>1.0668</v>
      </c>
      <c r="AB26" s="2356">
        <f>ROUND(SUMPRODUCT(PRODUCT(1+Q26:Q$31)),4)</f>
        <v>1.0636000000000001</v>
      </c>
      <c r="AD26" s="2357">
        <f>ROUND(AVERAGE(I26:I$32)/100,4)</f>
        <v>1.3299999999999999E-2</v>
      </c>
      <c r="AE26" s="2357">
        <f>ROUND(AVERAGE(J26:J$32)/100,4)</f>
        <v>1.2E-2</v>
      </c>
      <c r="AF26" s="2357">
        <f t="shared" si="137"/>
        <v>1.2E-2</v>
      </c>
      <c r="AG26" s="2357">
        <f>ROUND(AVERAGE(K26:K$32)/100,4)</f>
        <v>1.4E-2</v>
      </c>
      <c r="AH26" s="2357">
        <f>ROUND(AVERAGE(L26:L$32)/100,4)</f>
        <v>1.0800000000000001E-2</v>
      </c>
    </row>
    <row r="27" spans="1:34">
      <c r="A27" s="2371" t="s">
        <v>99</v>
      </c>
      <c r="B27" s="2388">
        <f t="shared" si="142"/>
        <v>322.34053690220776</v>
      </c>
      <c r="C27" s="2388">
        <f t="shared" si="142"/>
        <v>271.46160770422546</v>
      </c>
      <c r="D27" s="2388">
        <f t="shared" si="139"/>
        <v>271.46160770422546</v>
      </c>
      <c r="E27" s="2388">
        <f t="shared" si="143"/>
        <v>442.69434542172456</v>
      </c>
      <c r="F27" s="2388">
        <f t="shared" si="143"/>
        <v>241.34030753190925</v>
      </c>
      <c r="G27" s="3600"/>
      <c r="H27" s="2391">
        <v>2</v>
      </c>
      <c r="I27" s="2391">
        <v>0.77</v>
      </c>
      <c r="J27" s="2391">
        <v>0.69</v>
      </c>
      <c r="K27" s="2391">
        <v>0.8</v>
      </c>
      <c r="L27" s="2392">
        <v>0.88</v>
      </c>
      <c r="N27" s="2389">
        <f t="shared" si="141"/>
        <v>7.7000000000000002E-3</v>
      </c>
      <c r="O27" s="2395">
        <f t="shared" si="136"/>
        <v>6.8999999999999999E-3</v>
      </c>
      <c r="P27" s="2395">
        <f t="shared" si="136"/>
        <v>8.0000000000000002E-3</v>
      </c>
      <c r="Q27" s="2395">
        <f t="shared" si="136"/>
        <v>8.8000000000000005E-3</v>
      </c>
      <c r="R27" s="2385"/>
      <c r="S27" s="2389"/>
      <c r="T27" s="2357"/>
      <c r="U27" s="2357"/>
      <c r="V27" s="2357"/>
      <c r="X27" s="2356">
        <f>ROUND(SUMPRODUCT(PRODUCT(1+N27:N$31)),4)</f>
        <v>1.048</v>
      </c>
      <c r="Y27" s="2356">
        <f>ROUND(SUMPRODUCT(PRODUCT(1+O27:O$31)),4)</f>
        <v>1.0524</v>
      </c>
      <c r="Z27" s="2356">
        <f t="shared" si="0"/>
        <v>1.0524</v>
      </c>
      <c r="AA27" s="2356">
        <f>ROUND(SUMPRODUCT(PRODUCT(1+P27:P$31)),4)</f>
        <v>1.0470999999999999</v>
      </c>
      <c r="AB27" s="2356">
        <f>ROUND(SUMPRODUCT(PRODUCT(1+Q27:Q$31)),4)</f>
        <v>1.0504</v>
      </c>
      <c r="AD27" s="2357">
        <f>ROUND(AVERAGE(I27:I$32)/100,4)</f>
        <v>1.2800000000000001E-2</v>
      </c>
      <c r="AE27" s="2357">
        <f>ROUND(AVERAGE(J27:J$32)/100,4)</f>
        <v>1.2500000000000001E-2</v>
      </c>
      <c r="AF27" s="2357">
        <f t="shared" si="137"/>
        <v>1.2500000000000001E-2</v>
      </c>
      <c r="AG27" s="2357">
        <f>ROUND(AVERAGE(K27:K$32)/100,4)</f>
        <v>1.32E-2</v>
      </c>
      <c r="AH27" s="2357">
        <f>ROUND(AVERAGE(L27:L$32)/100,4)</f>
        <v>1.0500000000000001E-2</v>
      </c>
    </row>
    <row r="28" spans="1:34">
      <c r="A28" s="2371" t="s">
        <v>98</v>
      </c>
      <c r="B28" s="2388">
        <f t="shared" si="142"/>
        <v>319.87748030386797</v>
      </c>
      <c r="C28" s="2388">
        <f t="shared" si="142"/>
        <v>269.60135833173649</v>
      </c>
      <c r="D28" s="2388">
        <f t="shared" si="139"/>
        <v>269.60135833173649</v>
      </c>
      <c r="E28" s="2388">
        <f t="shared" si="143"/>
        <v>439.18089823583784</v>
      </c>
      <c r="F28" s="2388">
        <f t="shared" si="143"/>
        <v>239.23503918706311</v>
      </c>
      <c r="G28" s="3601"/>
      <c r="H28" s="2373">
        <v>1</v>
      </c>
      <c r="I28" s="2373">
        <v>0.51</v>
      </c>
      <c r="J28" s="2373">
        <v>0.54</v>
      </c>
      <c r="K28" s="2373">
        <v>0.48</v>
      </c>
      <c r="L28" s="2374">
        <v>0.93</v>
      </c>
      <c r="N28" s="2393">
        <f t="shared" si="141"/>
        <v>5.1000000000000004E-3</v>
      </c>
      <c r="O28" s="2394">
        <f t="shared" si="136"/>
        <v>5.4000000000000003E-3</v>
      </c>
      <c r="P28" s="2394">
        <f t="shared" si="136"/>
        <v>4.7999999999999996E-3</v>
      </c>
      <c r="Q28" s="2394">
        <f t="shared" si="136"/>
        <v>9.300000000000001E-3</v>
      </c>
      <c r="R28" s="2385"/>
      <c r="S28" s="2393">
        <f>B28/B29-1</f>
        <v>5.9040261127922822E-3</v>
      </c>
      <c r="T28" s="2394">
        <f>C28/C29-1</f>
        <v>5.9752176557332781E-3</v>
      </c>
      <c r="U28" s="2394">
        <f>E28/E29-1</f>
        <v>4.9906138119859556E-3</v>
      </c>
      <c r="V28" s="2394">
        <f>F28/F29-1</f>
        <v>9.4305450930933787E-3</v>
      </c>
      <c r="X28" s="2356">
        <f>ROUND(SUMPRODUCT(PRODUCT(1+N28:N$31)),4)</f>
        <v>1.0399</v>
      </c>
      <c r="Y28" s="2356">
        <f>ROUND(SUMPRODUCT(PRODUCT(1+O28:O$31)),4)</f>
        <v>1.0451999999999999</v>
      </c>
      <c r="Z28" s="2356">
        <f t="shared" si="0"/>
        <v>1.0451999999999999</v>
      </c>
      <c r="AA28" s="2356">
        <f>ROUND(SUMPRODUCT(PRODUCT(1+P28:P$31)),4)</f>
        <v>1.0387999999999999</v>
      </c>
      <c r="AB28" s="2356">
        <f>ROUND(SUMPRODUCT(PRODUCT(1+Q28:Q$31)),4)</f>
        <v>1.0411999999999999</v>
      </c>
      <c r="AD28" s="2357">
        <f>ROUND(AVERAGE(I28:I$32)/100,4)</f>
        <v>1.38E-2</v>
      </c>
      <c r="AE28" s="2357">
        <f>ROUND(AVERAGE(J28:J$32)/100,4)</f>
        <v>1.3599999999999999E-2</v>
      </c>
      <c r="AF28" s="2357">
        <f t="shared" si="137"/>
        <v>1.3599999999999999E-2</v>
      </c>
      <c r="AG28" s="2357">
        <f>ROUND(AVERAGE(K28:K$32)/100,4)</f>
        <v>1.4200000000000001E-2</v>
      </c>
      <c r="AH28" s="2357">
        <f>ROUND(AVERAGE(L28:L$32)/100,4)</f>
        <v>1.0800000000000001E-2</v>
      </c>
    </row>
    <row r="29" spans="1:34" ht="13.8" thickBot="1">
      <c r="A29" s="2371" t="s">
        <v>97</v>
      </c>
      <c r="B29" s="2403">
        <v>318</v>
      </c>
      <c r="C29" s="2403">
        <v>268</v>
      </c>
      <c r="D29" s="2403">
        <f t="shared" si="139"/>
        <v>268</v>
      </c>
      <c r="E29" s="2403">
        <v>437</v>
      </c>
      <c r="F29" s="2404">
        <v>237</v>
      </c>
      <c r="G29" s="3599">
        <v>2014</v>
      </c>
      <c r="H29" s="2398">
        <v>4</v>
      </c>
      <c r="I29" s="2398">
        <v>0.21</v>
      </c>
      <c r="J29" s="2398">
        <v>0.41</v>
      </c>
      <c r="K29" s="2398">
        <v>0.12</v>
      </c>
      <c r="L29" s="2399">
        <v>0.89</v>
      </c>
      <c r="N29" s="2389">
        <f t="shared" si="141"/>
        <v>2.0999999999999999E-3</v>
      </c>
      <c r="O29" s="2357">
        <f t="shared" si="136"/>
        <v>4.0999999999999995E-3</v>
      </c>
      <c r="P29" s="2357">
        <f t="shared" si="136"/>
        <v>1.1999999999999999E-3</v>
      </c>
      <c r="Q29" s="2357">
        <f t="shared" si="136"/>
        <v>8.8999999999999999E-3</v>
      </c>
      <c r="R29" s="2385"/>
      <c r="S29" s="2386"/>
      <c r="T29" s="2387"/>
      <c r="U29" s="2387"/>
      <c r="V29" s="2387"/>
      <c r="X29" s="2356">
        <f>ROUND(SUMPRODUCT(PRODUCT(1+N29:N$31)),4)</f>
        <v>1.0347</v>
      </c>
      <c r="Y29" s="2356">
        <f>ROUND(SUMPRODUCT(PRODUCT(1+O29:O$31)),4)</f>
        <v>1.0395000000000001</v>
      </c>
      <c r="Z29" s="2356">
        <f t="shared" si="0"/>
        <v>1.0395000000000001</v>
      </c>
      <c r="AA29" s="2356">
        <f>ROUND(SUMPRODUCT(PRODUCT(1+P29:P$31)),4)</f>
        <v>1.0338000000000001</v>
      </c>
      <c r="AB29" s="2356">
        <f>ROUND(SUMPRODUCT(PRODUCT(1+Q29:Q$31)),4)</f>
        <v>1.0316000000000001</v>
      </c>
      <c r="AD29" s="2357">
        <f>ROUND(AVERAGE(I29:I$32)/100,4)</f>
        <v>1.6E-2</v>
      </c>
      <c r="AE29" s="2357">
        <f>ROUND(AVERAGE(J29:J$32)/100,4)</f>
        <v>1.5599999999999999E-2</v>
      </c>
      <c r="AF29" s="2357">
        <f t="shared" si="137"/>
        <v>1.5599999999999999E-2</v>
      </c>
      <c r="AG29" s="2357">
        <f>ROUND(AVERAGE(K29:K$32)/100,4)</f>
        <v>1.66E-2</v>
      </c>
      <c r="AH29" s="2357">
        <f>ROUND(AVERAGE(L29:L$32)/100,4)</f>
        <v>1.12E-2</v>
      </c>
    </row>
    <row r="30" spans="1:34">
      <c r="A30" s="2371" t="s">
        <v>96</v>
      </c>
      <c r="B30" s="2388">
        <f t="shared" ref="B30:C32" si="144">B29/(1+N29)</f>
        <v>317.33359944117353</v>
      </c>
      <c r="C30" s="2388">
        <f t="shared" si="144"/>
        <v>266.90568668459315</v>
      </c>
      <c r="D30" s="2388">
        <f t="shared" si="139"/>
        <v>266.90568668459315</v>
      </c>
      <c r="E30" s="2388">
        <f t="shared" ref="E30:F32" si="145">E29/(1+P29)</f>
        <v>436.47622852576905</v>
      </c>
      <c r="F30" s="2388">
        <f t="shared" si="145"/>
        <v>234.90930716622066</v>
      </c>
      <c r="G30" s="3600"/>
      <c r="H30" s="2405">
        <v>3</v>
      </c>
      <c r="I30" s="2405">
        <v>0.83</v>
      </c>
      <c r="J30" s="2405">
        <v>1.47</v>
      </c>
      <c r="K30" s="2405">
        <v>0.65</v>
      </c>
      <c r="L30" s="2406">
        <v>0.72</v>
      </c>
      <c r="N30" s="2389">
        <f t="shared" si="141"/>
        <v>8.3000000000000001E-3</v>
      </c>
      <c r="O30" s="2357">
        <f t="shared" si="136"/>
        <v>1.47E-2</v>
      </c>
      <c r="P30" s="2357">
        <f t="shared" si="136"/>
        <v>6.5000000000000006E-3</v>
      </c>
      <c r="Q30" s="2357">
        <f t="shared" si="136"/>
        <v>7.1999999999999998E-3</v>
      </c>
      <c r="R30" s="2385"/>
      <c r="S30" s="2389"/>
      <c r="T30" s="2357"/>
      <c r="U30" s="2357"/>
      <c r="V30" s="2357"/>
      <c r="X30" s="2356">
        <f>ROUND(SUMPRODUCT(PRODUCT(1+N30:N$31)),4)</f>
        <v>1.0325</v>
      </c>
      <c r="Y30" s="2356">
        <f>ROUND(SUMPRODUCT(PRODUCT(1+O30:O$31)),4)</f>
        <v>1.0353000000000001</v>
      </c>
      <c r="Z30" s="2356">
        <f t="shared" ref="Z30:Z31" si="146">Y30</f>
        <v>1.0353000000000001</v>
      </c>
      <c r="AA30" s="2356">
        <f>ROUND(SUMPRODUCT(PRODUCT(1+P30:P$31)),4)</f>
        <v>1.0326</v>
      </c>
      <c r="AB30" s="2356">
        <f>ROUND(SUMPRODUCT(PRODUCT(1+Q30:Q$31)),4)</f>
        <v>1.0225</v>
      </c>
      <c r="AD30" s="2357">
        <f>ROUND(AVERAGE(I30:I$32)/100,4)</f>
        <v>2.07E-2</v>
      </c>
      <c r="AE30" s="2357">
        <f>ROUND(AVERAGE(J30:J$32)/100,4)</f>
        <v>1.95E-2</v>
      </c>
      <c r="AF30" s="2357">
        <f t="shared" si="137"/>
        <v>1.95E-2</v>
      </c>
      <c r="AG30" s="2357">
        <f>ROUND(AVERAGE(K30:K$32)/100,4)</f>
        <v>2.1700000000000001E-2</v>
      </c>
      <c r="AH30" s="2357">
        <f>ROUND(AVERAGE(L30:L$32)/100,4)</f>
        <v>1.2E-2</v>
      </c>
    </row>
    <row r="31" spans="1:34" ht="13.8" thickBot="1">
      <c r="A31" s="2371" t="s">
        <v>95</v>
      </c>
      <c r="B31" s="2388">
        <f t="shared" si="144"/>
        <v>314.72141172386546</v>
      </c>
      <c r="C31" s="2388">
        <f t="shared" si="144"/>
        <v>263.03901319069001</v>
      </c>
      <c r="D31" s="2388">
        <f t="shared" si="139"/>
        <v>263.03901319069001</v>
      </c>
      <c r="E31" s="2388">
        <f t="shared" si="145"/>
        <v>433.65745506782821</v>
      </c>
      <c r="F31" s="2388">
        <f t="shared" si="145"/>
        <v>233.23005080045735</v>
      </c>
      <c r="G31" s="3600"/>
      <c r="H31" s="2398">
        <v>2</v>
      </c>
      <c r="I31" s="2398">
        <v>2.4</v>
      </c>
      <c r="J31" s="2398">
        <v>2.0299999999999998</v>
      </c>
      <c r="K31" s="2398">
        <v>2.59</v>
      </c>
      <c r="L31" s="2399">
        <v>1.52</v>
      </c>
      <c r="N31" s="2389">
        <f t="shared" si="141"/>
        <v>2.4E-2</v>
      </c>
      <c r="O31" s="2357">
        <f t="shared" si="136"/>
        <v>2.0299999999999999E-2</v>
      </c>
      <c r="P31" s="2357">
        <f t="shared" si="136"/>
        <v>2.5899999999999999E-2</v>
      </c>
      <c r="Q31" s="2357">
        <f t="shared" si="136"/>
        <v>1.52E-2</v>
      </c>
      <c r="R31" s="2385"/>
      <c r="S31" s="2389"/>
      <c r="T31" s="2357"/>
      <c r="U31" s="2357"/>
      <c r="V31" s="2357"/>
      <c r="X31" s="2356">
        <f>1+N31</f>
        <v>1.024</v>
      </c>
      <c r="Y31" s="2356">
        <f>1+O31</f>
        <v>1.0203</v>
      </c>
      <c r="Z31" s="2356">
        <f t="shared" si="146"/>
        <v>1.0203</v>
      </c>
      <c r="AA31" s="2356">
        <f>1+P31</f>
        <v>1.0259</v>
      </c>
      <c r="AB31" s="2356">
        <f>1+Q31</f>
        <v>1.0152000000000001</v>
      </c>
      <c r="AD31" s="2357">
        <f>ROUND(AVERAGE(I31:I$32)/100,4)</f>
        <v>2.69E-2</v>
      </c>
      <c r="AE31" s="2357">
        <f>ROUND(AVERAGE(J31:J$32)/100,4)</f>
        <v>2.1899999999999999E-2</v>
      </c>
      <c r="AF31" s="2357">
        <f t="shared" ref="AF31" si="147">AE31</f>
        <v>2.1899999999999999E-2</v>
      </c>
      <c r="AG31" s="2357">
        <f>ROUND(AVERAGE(K31:K$32)/100,4)</f>
        <v>2.9399999999999999E-2</v>
      </c>
      <c r="AH31" s="2357">
        <f>ROUND(AVERAGE(L31:L$32)/100,4)</f>
        <v>1.44E-2</v>
      </c>
    </row>
    <row r="32" spans="1:34" s="2411" customFormat="1" ht="13.8" thickBot="1">
      <c r="A32" s="2407" t="s">
        <v>94</v>
      </c>
      <c r="B32" s="2408">
        <f t="shared" si="144"/>
        <v>307.34512863658733</v>
      </c>
      <c r="C32" s="2408">
        <f t="shared" si="144"/>
        <v>257.80556031626975</v>
      </c>
      <c r="D32" s="2408">
        <f t="shared" si="139"/>
        <v>257.80556031626975</v>
      </c>
      <c r="E32" s="2408">
        <f t="shared" si="145"/>
        <v>422.70928459677179</v>
      </c>
      <c r="F32" s="2408">
        <f t="shared" si="145"/>
        <v>229.73803270336617</v>
      </c>
      <c r="G32" s="3601"/>
      <c r="H32" s="2409">
        <v>1</v>
      </c>
      <c r="I32" s="2409">
        <v>2.97</v>
      </c>
      <c r="J32" s="2409">
        <v>2.34</v>
      </c>
      <c r="K32" s="2409">
        <v>3.28</v>
      </c>
      <c r="L32" s="2410">
        <v>1.36</v>
      </c>
      <c r="N32" s="2412">
        <f t="shared" si="141"/>
        <v>2.9700000000000001E-2</v>
      </c>
      <c r="O32" s="2413">
        <f t="shared" si="136"/>
        <v>2.3399999999999997E-2</v>
      </c>
      <c r="P32" s="2413">
        <f t="shared" si="136"/>
        <v>3.2799999999999996E-2</v>
      </c>
      <c r="Q32" s="2413">
        <f t="shared" si="136"/>
        <v>1.3600000000000001E-2</v>
      </c>
      <c r="R32" s="2414"/>
      <c r="S32" s="2415">
        <f>B32/B33-1</f>
        <v>2.7910129219355539E-2</v>
      </c>
      <c r="T32" s="2416">
        <f>C32/C33-1</f>
        <v>2.3037937762975247E-2</v>
      </c>
      <c r="U32" s="2416">
        <f>E32/E33-1</f>
        <v>3.3519033243940788E-2</v>
      </c>
      <c r="V32" s="2416">
        <f>F32/F33-1</f>
        <v>1.2061818076502862E-2</v>
      </c>
      <c r="W32" s="2417" t="s">
        <v>1205</v>
      </c>
      <c r="X32" s="2418">
        <v>1</v>
      </c>
      <c r="Y32" s="2418">
        <v>1</v>
      </c>
      <c r="Z32" s="2418">
        <v>1</v>
      </c>
      <c r="AA32" s="2418">
        <v>1</v>
      </c>
      <c r="AB32" s="2418">
        <v>1</v>
      </c>
      <c r="AD32" s="2413">
        <f>I32/100</f>
        <v>2.9700000000000001E-2</v>
      </c>
      <c r="AE32" s="2413">
        <f>J32/100</f>
        <v>2.3399999999999997E-2</v>
      </c>
      <c r="AF32" s="2413">
        <f>AE32</f>
        <v>2.3399999999999997E-2</v>
      </c>
      <c r="AG32" s="2413">
        <f>K32/100</f>
        <v>3.2799999999999996E-2</v>
      </c>
      <c r="AH32" s="2413">
        <f>L32/100</f>
        <v>1.3600000000000001E-2</v>
      </c>
    </row>
    <row r="33" spans="1:26" ht="13.8" thickBot="1">
      <c r="A33" s="2371" t="s">
        <v>1038</v>
      </c>
      <c r="B33" s="2381">
        <v>299</v>
      </c>
      <c r="C33" s="2381">
        <v>252</v>
      </c>
      <c r="D33" s="2381">
        <f t="shared" si="139"/>
        <v>252</v>
      </c>
      <c r="E33" s="2381">
        <v>409</v>
      </c>
      <c r="F33" s="2382">
        <v>227</v>
      </c>
      <c r="G33" s="3604">
        <v>2013</v>
      </c>
      <c r="H33" s="2419">
        <v>4</v>
      </c>
      <c r="I33" s="2419">
        <v>1.83</v>
      </c>
      <c r="J33" s="2419">
        <v>1.68</v>
      </c>
      <c r="K33" s="2419">
        <v>1.97</v>
      </c>
      <c r="L33" s="2420">
        <v>0.87</v>
      </c>
      <c r="N33" s="2383">
        <f t="shared" si="141"/>
        <v>1.83E-2</v>
      </c>
      <c r="O33" s="2384">
        <f t="shared" si="136"/>
        <v>1.6799999999999999E-2</v>
      </c>
      <c r="P33" s="2384">
        <f t="shared" si="136"/>
        <v>1.9699999999999999E-2</v>
      </c>
      <c r="Q33" s="2384">
        <f t="shared" si="136"/>
        <v>8.6999999999999994E-3</v>
      </c>
      <c r="R33" s="2385"/>
      <c r="S33" s="2386"/>
      <c r="T33" s="2387"/>
      <c r="U33" s="2387"/>
      <c r="V33" s="2387"/>
      <c r="X33" s="2387"/>
      <c r="Y33" s="2387"/>
      <c r="Z33" s="2387"/>
    </row>
    <row r="34" spans="1:26">
      <c r="A34" s="2371" t="s">
        <v>1039</v>
      </c>
      <c r="B34" s="2388">
        <f t="shared" ref="B34:C36" si="148">B33/(1+N33)</f>
        <v>293.62663262299913</v>
      </c>
      <c r="C34" s="2388">
        <f t="shared" si="148"/>
        <v>247.83634933123525</v>
      </c>
      <c r="D34" s="2388">
        <f t="shared" si="139"/>
        <v>247.83634933123525</v>
      </c>
      <c r="E34" s="2388">
        <f t="shared" ref="E34:F36" si="149">E33/(1+P33)</f>
        <v>401.09836226341076</v>
      </c>
      <c r="F34" s="2388">
        <f t="shared" si="149"/>
        <v>225.04213343908003</v>
      </c>
      <c r="G34" s="3605"/>
      <c r="H34" s="2401">
        <v>3</v>
      </c>
      <c r="I34" s="2401">
        <v>1.86</v>
      </c>
      <c r="J34" s="2401">
        <v>1.72</v>
      </c>
      <c r="K34" s="2401">
        <v>1.98</v>
      </c>
      <c r="L34" s="2402">
        <v>0.88</v>
      </c>
      <c r="N34" s="2389">
        <f t="shared" si="141"/>
        <v>1.8600000000000002E-2</v>
      </c>
      <c r="O34" s="2395">
        <f t="shared" si="136"/>
        <v>1.72E-2</v>
      </c>
      <c r="P34" s="2395">
        <f t="shared" si="136"/>
        <v>1.9799999999999998E-2</v>
      </c>
      <c r="Q34" s="2395">
        <f t="shared" si="136"/>
        <v>8.8000000000000005E-3</v>
      </c>
      <c r="R34" s="2385"/>
      <c r="S34" s="2389"/>
      <c r="T34" s="2357"/>
      <c r="U34" s="2357"/>
      <c r="V34" s="2357"/>
    </row>
    <row r="35" spans="1:26">
      <c r="A35" s="2371" t="s">
        <v>1040</v>
      </c>
      <c r="B35" s="2388">
        <f t="shared" si="148"/>
        <v>288.2649053828776</v>
      </c>
      <c r="C35" s="2388">
        <f t="shared" si="148"/>
        <v>243.64564425013293</v>
      </c>
      <c r="D35" s="2388">
        <f t="shared" si="139"/>
        <v>243.64564425013293</v>
      </c>
      <c r="E35" s="2388">
        <f t="shared" si="149"/>
        <v>393.31080825986544</v>
      </c>
      <c r="F35" s="2388">
        <f t="shared" si="149"/>
        <v>223.07903790551154</v>
      </c>
      <c r="G35" s="3605"/>
      <c r="H35" s="2391">
        <v>2</v>
      </c>
      <c r="I35" s="2391">
        <v>2.04</v>
      </c>
      <c r="J35" s="2391">
        <v>2.33</v>
      </c>
      <c r="K35" s="2391">
        <v>2.0699999999999998</v>
      </c>
      <c r="L35" s="2392">
        <v>0.69</v>
      </c>
      <c r="N35" s="2389">
        <f t="shared" si="141"/>
        <v>2.0400000000000001E-2</v>
      </c>
      <c r="O35" s="2395">
        <f t="shared" si="136"/>
        <v>2.3300000000000001E-2</v>
      </c>
      <c r="P35" s="2395">
        <f t="shared" si="136"/>
        <v>2.07E-2</v>
      </c>
      <c r="Q35" s="2395">
        <f t="shared" si="136"/>
        <v>6.8999999999999999E-3</v>
      </c>
      <c r="R35" s="2385"/>
      <c r="S35" s="2389"/>
      <c r="T35" s="2357"/>
      <c r="U35" s="2357"/>
      <c r="V35" s="2357"/>
      <c r="X35" s="2421"/>
      <c r="Y35" s="2422"/>
    </row>
    <row r="36" spans="1:26">
      <c r="A36" s="2371" t="s">
        <v>1041</v>
      </c>
      <c r="B36" s="2388">
        <f t="shared" si="148"/>
        <v>282.50186729015837</v>
      </c>
      <c r="C36" s="2388">
        <f t="shared" si="148"/>
        <v>238.09796174155468</v>
      </c>
      <c r="D36" s="2388">
        <f t="shared" si="139"/>
        <v>238.09796174155468</v>
      </c>
      <c r="E36" s="2388">
        <f t="shared" si="149"/>
        <v>385.33438646014054</v>
      </c>
      <c r="F36" s="2388">
        <f t="shared" si="149"/>
        <v>221.55034055567739</v>
      </c>
      <c r="G36" s="3606"/>
      <c r="H36" s="2373">
        <v>1</v>
      </c>
      <c r="I36" s="2373">
        <v>1.67</v>
      </c>
      <c r="J36" s="2373">
        <v>1.31</v>
      </c>
      <c r="K36" s="2373">
        <v>1.85</v>
      </c>
      <c r="L36" s="2374">
        <v>0.96</v>
      </c>
      <c r="N36" s="2393">
        <f t="shared" si="141"/>
        <v>1.67E-2</v>
      </c>
      <c r="O36" s="2394">
        <f t="shared" si="141"/>
        <v>1.3100000000000001E-2</v>
      </c>
      <c r="P36" s="2394">
        <f t="shared" si="141"/>
        <v>1.8500000000000003E-2</v>
      </c>
      <c r="Q36" s="2394">
        <f t="shared" si="141"/>
        <v>9.5999999999999992E-3</v>
      </c>
      <c r="R36" s="2385"/>
      <c r="S36" s="2393">
        <f>B36/B37-1</f>
        <v>1.6193767230785472E-2</v>
      </c>
      <c r="T36" s="2394">
        <f>C36/C37-1</f>
        <v>1.7512657015190891E-2</v>
      </c>
      <c r="U36" s="2394">
        <f>E36/E37-1</f>
        <v>1.6713420739157048E-2</v>
      </c>
      <c r="V36" s="2394">
        <f>F36/F37-1</f>
        <v>7.0470025258062563E-3</v>
      </c>
      <c r="X36" s="2423"/>
      <c r="Y36" s="2357"/>
      <c r="Z36" s="2357"/>
    </row>
    <row r="37" spans="1:26" ht="13.8" thickBot="1">
      <c r="A37" s="2371" t="s">
        <v>1042</v>
      </c>
      <c r="B37" s="2424">
        <v>278</v>
      </c>
      <c r="C37" s="2424">
        <v>234</v>
      </c>
      <c r="D37" s="2424">
        <f t="shared" si="139"/>
        <v>234</v>
      </c>
      <c r="E37" s="2424">
        <v>379</v>
      </c>
      <c r="F37" s="2425">
        <v>220</v>
      </c>
      <c r="G37" s="3599">
        <v>2012</v>
      </c>
      <c r="H37" s="2398">
        <v>4</v>
      </c>
      <c r="I37" s="2398">
        <v>0.91</v>
      </c>
      <c r="J37" s="2398">
        <v>0.68</v>
      </c>
      <c r="K37" s="2398">
        <v>0.98</v>
      </c>
      <c r="L37" s="2399">
        <v>0.9</v>
      </c>
      <c r="N37" s="2389">
        <f t="shared" si="141"/>
        <v>9.1000000000000004E-3</v>
      </c>
      <c r="O37" s="2357">
        <f t="shared" si="141"/>
        <v>6.8000000000000005E-3</v>
      </c>
      <c r="P37" s="2357">
        <f t="shared" si="141"/>
        <v>9.7999999999999997E-3</v>
      </c>
      <c r="Q37" s="2357">
        <f t="shared" si="141"/>
        <v>9.0000000000000011E-3</v>
      </c>
      <c r="R37" s="2385"/>
      <c r="S37" s="2386"/>
      <c r="T37" s="2387"/>
      <c r="U37" s="2387"/>
      <c r="V37" s="2387"/>
      <c r="X37" s="2387"/>
      <c r="Y37" s="2387"/>
      <c r="Z37" s="2387"/>
    </row>
    <row r="38" spans="1:26">
      <c r="A38" s="2371" t="s">
        <v>1043</v>
      </c>
      <c r="B38" s="2388">
        <f>B37/(1+N37)</f>
        <v>275.49301357645425</v>
      </c>
      <c r="C38" s="2388">
        <f>C37/(1+O37)</f>
        <v>232.41954707985698</v>
      </c>
      <c r="D38" s="2388">
        <f t="shared" si="139"/>
        <v>232.41954707985698</v>
      </c>
      <c r="E38" s="2388">
        <f t="shared" ref="E38:F40" si="150">E37/(1+P37)</f>
        <v>375.32184591008121</v>
      </c>
      <c r="F38" s="2388">
        <f t="shared" si="150"/>
        <v>218.03766105054513</v>
      </c>
      <c r="G38" s="3600"/>
      <c r="H38" s="2401">
        <v>3</v>
      </c>
      <c r="I38" s="2401">
        <v>0.09</v>
      </c>
      <c r="J38" s="2401">
        <v>0.28999999999999998</v>
      </c>
      <c r="K38" s="2401">
        <v>-0.01</v>
      </c>
      <c r="L38" s="2402">
        <v>0.57999999999999996</v>
      </c>
      <c r="N38" s="2389">
        <f t="shared" si="141"/>
        <v>8.9999999999999998E-4</v>
      </c>
      <c r="O38" s="2357">
        <f t="shared" si="141"/>
        <v>2.8999999999999998E-3</v>
      </c>
      <c r="P38" s="2357">
        <f t="shared" si="141"/>
        <v>-1E-4</v>
      </c>
      <c r="Q38" s="2357">
        <f t="shared" si="141"/>
        <v>5.7999999999999996E-3</v>
      </c>
      <c r="R38" s="2385"/>
      <c r="S38" s="2389"/>
      <c r="T38" s="2357"/>
      <c r="U38" s="2357"/>
      <c r="V38" s="2357"/>
    </row>
    <row r="39" spans="1:26">
      <c r="A39" s="2371" t="s">
        <v>1044</v>
      </c>
      <c r="B39" s="2388">
        <f>B38/(1+N38)</f>
        <v>275.24529281292263</v>
      </c>
      <c r="C39" s="2388">
        <f>C38/(1+O38)</f>
        <v>231.74747938962707</v>
      </c>
      <c r="D39" s="2388">
        <f t="shared" si="139"/>
        <v>231.74747938962707</v>
      </c>
      <c r="E39" s="2388">
        <f t="shared" si="150"/>
        <v>375.35938184826603</v>
      </c>
      <c r="F39" s="2388">
        <f t="shared" si="150"/>
        <v>216.78033510692495</v>
      </c>
      <c r="G39" s="3600"/>
      <c r="H39" s="2391">
        <v>2</v>
      </c>
      <c r="I39" s="2391">
        <v>0.02</v>
      </c>
      <c r="J39" s="2391">
        <v>0.12</v>
      </c>
      <c r="K39" s="2391">
        <v>-0.08</v>
      </c>
      <c r="L39" s="2392">
        <v>1.24</v>
      </c>
      <c r="N39" s="2389">
        <f t="shared" si="141"/>
        <v>2.0000000000000001E-4</v>
      </c>
      <c r="O39" s="2357">
        <f t="shared" si="141"/>
        <v>1.1999999999999999E-3</v>
      </c>
      <c r="P39" s="2357">
        <f t="shared" si="141"/>
        <v>-8.0000000000000004E-4</v>
      </c>
      <c r="Q39" s="2357">
        <f t="shared" si="141"/>
        <v>1.24E-2</v>
      </c>
      <c r="R39" s="2385"/>
      <c r="S39" s="2389"/>
      <c r="T39" s="2357"/>
      <c r="U39" s="2357"/>
      <c r="V39" s="2357"/>
    </row>
    <row r="40" spans="1:26" ht="13.8" thickBot="1">
      <c r="A40" s="2371" t="s">
        <v>1045</v>
      </c>
      <c r="B40" s="2388">
        <f>B39/(1+N39)</f>
        <v>275.19025476197027</v>
      </c>
      <c r="C40" s="2426">
        <v>232</v>
      </c>
      <c r="D40" s="2426">
        <f t="shared" si="139"/>
        <v>232</v>
      </c>
      <c r="E40" s="2388">
        <f t="shared" si="150"/>
        <v>375.65990977608692</v>
      </c>
      <c r="F40" s="2388">
        <f t="shared" si="150"/>
        <v>214.12518283971252</v>
      </c>
      <c r="G40" s="3601"/>
      <c r="H40" s="2373">
        <v>1</v>
      </c>
      <c r="I40" s="2373">
        <v>0.02</v>
      </c>
      <c r="J40" s="2373">
        <v>0.13</v>
      </c>
      <c r="K40" s="2373">
        <v>-0.04</v>
      </c>
      <c r="L40" s="2374">
        <v>0.46</v>
      </c>
      <c r="N40" s="2389">
        <f t="shared" si="141"/>
        <v>2.0000000000000001E-4</v>
      </c>
      <c r="O40" s="2357">
        <f t="shared" si="141"/>
        <v>1.2999999999999999E-3</v>
      </c>
      <c r="P40" s="2357">
        <f t="shared" si="141"/>
        <v>-4.0000000000000002E-4</v>
      </c>
      <c r="Q40" s="2357">
        <f t="shared" si="141"/>
        <v>4.5999999999999999E-3</v>
      </c>
      <c r="R40" s="2385"/>
      <c r="S40" s="2393">
        <f>B40/B41-1</f>
        <v>6.9183549807361189E-4</v>
      </c>
      <c r="T40" s="2394">
        <f>C40/C41-1</f>
        <v>0</v>
      </c>
      <c r="U40" s="2394">
        <f>E40/E41-1</f>
        <v>-9.0449527636460303E-4</v>
      </c>
      <c r="V40" s="2394">
        <f>F40/F41-1</f>
        <v>5.2825485432512753E-3</v>
      </c>
      <c r="X40" s="2357"/>
      <c r="Y40" s="2357"/>
      <c r="Z40" s="2357"/>
    </row>
    <row r="41" spans="1:26" ht="13.8" thickBot="1">
      <c r="A41" s="2371" t="s">
        <v>1046</v>
      </c>
      <c r="B41" s="2381">
        <v>275</v>
      </c>
      <c r="C41" s="2381">
        <v>232</v>
      </c>
      <c r="D41" s="2381">
        <f t="shared" si="139"/>
        <v>232</v>
      </c>
      <c r="E41" s="2381">
        <v>376</v>
      </c>
      <c r="F41" s="2382">
        <v>213</v>
      </c>
      <c r="G41" s="3599">
        <v>2011</v>
      </c>
      <c r="H41" s="2398">
        <v>4</v>
      </c>
      <c r="I41" s="2398">
        <v>-0.2</v>
      </c>
      <c r="J41" s="2398">
        <v>0.04</v>
      </c>
      <c r="K41" s="2398">
        <v>-0.34</v>
      </c>
      <c r="L41" s="2399">
        <v>0.46</v>
      </c>
      <c r="N41" s="2383">
        <f t="shared" si="141"/>
        <v>-2E-3</v>
      </c>
      <c r="O41" s="2384">
        <f t="shared" si="141"/>
        <v>4.0000000000000002E-4</v>
      </c>
      <c r="P41" s="2384">
        <f t="shared" si="141"/>
        <v>-3.4000000000000002E-3</v>
      </c>
      <c r="Q41" s="2384">
        <f t="shared" si="141"/>
        <v>4.5999999999999999E-3</v>
      </c>
      <c r="R41" s="2385"/>
      <c r="S41" s="2386"/>
      <c r="T41" s="2387"/>
      <c r="U41" s="2387"/>
      <c r="V41" s="2387"/>
      <c r="X41" s="2387"/>
      <c r="Y41" s="2387"/>
      <c r="Z41" s="2387"/>
    </row>
    <row r="42" spans="1:26">
      <c r="A42" s="2371" t="s">
        <v>1047</v>
      </c>
      <c r="B42" s="2388">
        <f t="shared" ref="B42:C44" si="151">B41/(1+N41)</f>
        <v>275.55110220440883</v>
      </c>
      <c r="C42" s="2388">
        <f t="shared" si="151"/>
        <v>231.90723710515795</v>
      </c>
      <c r="D42" s="2388">
        <f t="shared" si="139"/>
        <v>231.90723710515795</v>
      </c>
      <c r="E42" s="2388">
        <f t="shared" ref="E42:F44" si="152">E41/(1+P41)</f>
        <v>377.28276138872161</v>
      </c>
      <c r="F42" s="2388">
        <f t="shared" si="152"/>
        <v>212.02468644236512</v>
      </c>
      <c r="G42" s="3600">
        <v>2011</v>
      </c>
      <c r="H42" s="2401">
        <v>3</v>
      </c>
      <c r="I42" s="2401">
        <v>0.13</v>
      </c>
      <c r="J42" s="2401">
        <v>0.75</v>
      </c>
      <c r="K42" s="2401">
        <v>-0.08</v>
      </c>
      <c r="L42" s="2402">
        <v>0.53</v>
      </c>
      <c r="N42" s="2389">
        <f t="shared" si="141"/>
        <v>1.2999999999999999E-3</v>
      </c>
      <c r="O42" s="2395">
        <f t="shared" si="141"/>
        <v>7.4999999999999997E-3</v>
      </c>
      <c r="P42" s="2395">
        <f t="shared" si="141"/>
        <v>-8.0000000000000004E-4</v>
      </c>
      <c r="Q42" s="2395">
        <f t="shared" si="141"/>
        <v>5.3E-3</v>
      </c>
      <c r="R42" s="2385"/>
      <c r="S42" s="2389"/>
      <c r="T42" s="2357"/>
      <c r="U42" s="2357"/>
      <c r="V42" s="2357"/>
    </row>
    <row r="43" spans="1:26">
      <c r="A43" s="2371" t="s">
        <v>1048</v>
      </c>
      <c r="B43" s="2388">
        <f t="shared" si="151"/>
        <v>275.19335084830601</v>
      </c>
      <c r="C43" s="2388">
        <f t="shared" si="151"/>
        <v>230.18088050139744</v>
      </c>
      <c r="D43" s="2388">
        <f t="shared" si="139"/>
        <v>230.18088050139744</v>
      </c>
      <c r="E43" s="2388">
        <f t="shared" si="152"/>
        <v>377.58482925212331</v>
      </c>
      <c r="F43" s="2388">
        <f t="shared" si="152"/>
        <v>210.90687997847917</v>
      </c>
      <c r="G43" s="3600">
        <v>2011</v>
      </c>
      <c r="H43" s="2391">
        <v>2</v>
      </c>
      <c r="I43" s="2391">
        <v>-0.4</v>
      </c>
      <c r="J43" s="2391">
        <v>0.17</v>
      </c>
      <c r="K43" s="2391">
        <v>-0.57999999999999996</v>
      </c>
      <c r="L43" s="2392">
        <v>-0.2</v>
      </c>
      <c r="N43" s="2389">
        <f t="shared" si="141"/>
        <v>-4.0000000000000001E-3</v>
      </c>
      <c r="O43" s="2395">
        <f t="shared" si="141"/>
        <v>1.7000000000000001E-3</v>
      </c>
      <c r="P43" s="2395">
        <f t="shared" si="141"/>
        <v>-5.7999999999999996E-3</v>
      </c>
      <c r="Q43" s="2395">
        <f t="shared" si="141"/>
        <v>-2E-3</v>
      </c>
      <c r="R43" s="2385"/>
      <c r="S43" s="2389"/>
      <c r="T43" s="2357"/>
      <c r="U43" s="2357"/>
      <c r="V43" s="2357"/>
    </row>
    <row r="44" spans="1:26" ht="13.8" thickBot="1">
      <c r="A44" s="2371" t="s">
        <v>1049</v>
      </c>
      <c r="B44" s="2388">
        <f t="shared" si="151"/>
        <v>276.29854502841971</v>
      </c>
      <c r="C44" s="2388">
        <f t="shared" si="151"/>
        <v>229.79023709833027</v>
      </c>
      <c r="D44" s="2388">
        <f t="shared" si="139"/>
        <v>229.79023709833027</v>
      </c>
      <c r="E44" s="2388">
        <f t="shared" si="152"/>
        <v>379.78759731655936</v>
      </c>
      <c r="F44" s="2388">
        <f t="shared" si="152"/>
        <v>211.32953905659235</v>
      </c>
      <c r="G44" s="3601">
        <v>2011</v>
      </c>
      <c r="H44" s="2373">
        <v>1</v>
      </c>
      <c r="I44" s="2373">
        <v>2.65</v>
      </c>
      <c r="J44" s="2373">
        <v>3.76</v>
      </c>
      <c r="K44" s="2373">
        <v>1.89</v>
      </c>
      <c r="L44" s="2374">
        <v>7.95</v>
      </c>
      <c r="N44" s="2393">
        <f t="shared" si="141"/>
        <v>2.6499999999999999E-2</v>
      </c>
      <c r="O44" s="2394">
        <f t="shared" si="141"/>
        <v>3.7599999999999995E-2</v>
      </c>
      <c r="P44" s="2394">
        <f t="shared" si="141"/>
        <v>1.89E-2</v>
      </c>
      <c r="Q44" s="2394">
        <f t="shared" si="141"/>
        <v>7.9500000000000001E-2</v>
      </c>
      <c r="R44" s="2385"/>
      <c r="S44" s="2393">
        <f>B44/B45-1</f>
        <v>2.713213765211786E-2</v>
      </c>
      <c r="T44" s="2394">
        <f>C44/C45-1</f>
        <v>3.9774828499231862E-2</v>
      </c>
      <c r="U44" s="2394">
        <f>E44/E45-1</f>
        <v>1.8197311840641772E-2</v>
      </c>
      <c r="V44" s="2394">
        <f>F44/F45-1</f>
        <v>7.8211933962205826E-2</v>
      </c>
      <c r="X44" s="2357"/>
      <c r="Y44" s="2357"/>
      <c r="Z44" s="2357"/>
    </row>
    <row r="45" spans="1:26" ht="13.8" thickBot="1">
      <c r="A45" s="2371" t="s">
        <v>1050</v>
      </c>
      <c r="B45" s="2381">
        <v>269</v>
      </c>
      <c r="C45" s="2381">
        <v>221</v>
      </c>
      <c r="D45" s="2381">
        <f t="shared" si="139"/>
        <v>221</v>
      </c>
      <c r="E45" s="2381">
        <v>373</v>
      </c>
      <c r="F45" s="2382">
        <v>196</v>
      </c>
      <c r="G45" s="3599">
        <v>2010</v>
      </c>
      <c r="H45" s="2398">
        <v>4</v>
      </c>
      <c r="I45" s="2398">
        <v>5.72</v>
      </c>
      <c r="J45" s="2398">
        <v>6.57</v>
      </c>
      <c r="K45" s="2398">
        <v>5.72</v>
      </c>
      <c r="L45" s="2399">
        <v>2.72</v>
      </c>
      <c r="N45" s="2389">
        <f t="shared" si="141"/>
        <v>5.7200000000000001E-2</v>
      </c>
      <c r="O45" s="2357">
        <f t="shared" si="141"/>
        <v>6.5700000000000008E-2</v>
      </c>
      <c r="P45" s="2357">
        <f t="shared" si="141"/>
        <v>5.7200000000000001E-2</v>
      </c>
      <c r="Q45" s="2357">
        <f t="shared" si="141"/>
        <v>2.7200000000000002E-2</v>
      </c>
      <c r="R45" s="2385"/>
      <c r="S45" s="2386"/>
      <c r="T45" s="2387"/>
      <c r="U45" s="2387"/>
      <c r="V45" s="2387"/>
      <c r="X45" s="2387"/>
      <c r="Y45" s="2387"/>
      <c r="Z45" s="2387"/>
    </row>
    <row r="46" spans="1:26">
      <c r="A46" s="2371" t="s">
        <v>1051</v>
      </c>
      <c r="B46" s="2388">
        <f t="shared" ref="B46:C48" si="153">B45/(1+N45)</f>
        <v>254.44570563753314</v>
      </c>
      <c r="C46" s="2388">
        <f t="shared" si="153"/>
        <v>207.37543398705074</v>
      </c>
      <c r="D46" s="2388">
        <f t="shared" si="139"/>
        <v>207.37543398705074</v>
      </c>
      <c r="E46" s="2388">
        <f t="shared" ref="E46:F48" si="154">E45/(1+P45)</f>
        <v>352.81876655315932</v>
      </c>
      <c r="F46" s="2388">
        <f t="shared" si="154"/>
        <v>190.809968847352</v>
      </c>
      <c r="G46" s="3600">
        <v>2010</v>
      </c>
      <c r="H46" s="2401">
        <v>3</v>
      </c>
      <c r="I46" s="2401">
        <v>4.7300000000000004</v>
      </c>
      <c r="J46" s="2401">
        <v>3.9</v>
      </c>
      <c r="K46" s="2401">
        <v>5.03</v>
      </c>
      <c r="L46" s="2402">
        <v>4.21</v>
      </c>
      <c r="N46" s="2389">
        <f t="shared" si="141"/>
        <v>4.7300000000000002E-2</v>
      </c>
      <c r="O46" s="2357">
        <f t="shared" si="141"/>
        <v>3.9E-2</v>
      </c>
      <c r="P46" s="2357">
        <f t="shared" si="141"/>
        <v>5.0300000000000004E-2</v>
      </c>
      <c r="Q46" s="2357">
        <f t="shared" si="141"/>
        <v>4.2099999999999999E-2</v>
      </c>
      <c r="R46" s="2385"/>
      <c r="S46" s="2389"/>
      <c r="T46" s="2357"/>
      <c r="U46" s="2357"/>
      <c r="V46" s="2357"/>
    </row>
    <row r="47" spans="1:26">
      <c r="A47" s="2371" t="s">
        <v>1052</v>
      </c>
      <c r="B47" s="2388">
        <f t="shared" si="153"/>
        <v>242.95398227588385</v>
      </c>
      <c r="C47" s="2388">
        <f t="shared" si="153"/>
        <v>199.59137053614126</v>
      </c>
      <c r="D47" s="2388">
        <f t="shared" si="139"/>
        <v>199.59137053614126</v>
      </c>
      <c r="E47" s="2388">
        <f t="shared" si="154"/>
        <v>335.92189522342125</v>
      </c>
      <c r="F47" s="2388">
        <f t="shared" si="154"/>
        <v>183.10139991109489</v>
      </c>
      <c r="G47" s="3600">
        <v>2010</v>
      </c>
      <c r="H47" s="2391">
        <v>2</v>
      </c>
      <c r="I47" s="2391">
        <v>4.6900000000000004</v>
      </c>
      <c r="J47" s="2391">
        <v>3.55</v>
      </c>
      <c r="K47" s="2391">
        <v>5.07</v>
      </c>
      <c r="L47" s="2392">
        <v>4.2300000000000004</v>
      </c>
      <c r="N47" s="2389">
        <f t="shared" si="141"/>
        <v>4.6900000000000004E-2</v>
      </c>
      <c r="O47" s="2357">
        <f t="shared" si="141"/>
        <v>3.5499999999999997E-2</v>
      </c>
      <c r="P47" s="2357">
        <f t="shared" si="141"/>
        <v>5.0700000000000002E-2</v>
      </c>
      <c r="Q47" s="2357">
        <f t="shared" si="141"/>
        <v>4.2300000000000004E-2</v>
      </c>
      <c r="R47" s="2385"/>
      <c r="S47" s="2389"/>
      <c r="T47" s="2357"/>
      <c r="U47" s="2357"/>
      <c r="V47" s="2357"/>
    </row>
    <row r="48" spans="1:26" ht="13.8" thickBot="1">
      <c r="A48" s="2371" t="s">
        <v>1053</v>
      </c>
      <c r="B48" s="2388">
        <f t="shared" si="153"/>
        <v>232.06990378821649</v>
      </c>
      <c r="C48" s="2388">
        <f t="shared" si="153"/>
        <v>192.74878854286936</v>
      </c>
      <c r="D48" s="2388">
        <f t="shared" si="139"/>
        <v>192.74878854286936</v>
      </c>
      <c r="E48" s="2388">
        <f t="shared" si="154"/>
        <v>319.71247284992984</v>
      </c>
      <c r="F48" s="2388">
        <f t="shared" si="154"/>
        <v>175.67053622862409</v>
      </c>
      <c r="G48" s="3601">
        <v>2010</v>
      </c>
      <c r="H48" s="2373">
        <v>1</v>
      </c>
      <c r="I48" s="2373">
        <v>5.4</v>
      </c>
      <c r="J48" s="2373">
        <v>3.2</v>
      </c>
      <c r="K48" s="2373">
        <v>6.16</v>
      </c>
      <c r="L48" s="2374">
        <v>4.51</v>
      </c>
      <c r="N48" s="2389">
        <f t="shared" si="141"/>
        <v>5.4000000000000006E-2</v>
      </c>
      <c r="O48" s="2357">
        <f t="shared" si="141"/>
        <v>3.2000000000000001E-2</v>
      </c>
      <c r="P48" s="2357">
        <f t="shared" si="141"/>
        <v>6.1600000000000002E-2</v>
      </c>
      <c r="Q48" s="2357">
        <f t="shared" si="141"/>
        <v>4.5100000000000001E-2</v>
      </c>
      <c r="R48" s="2385"/>
      <c r="S48" s="2393">
        <f>B48/B49-1</f>
        <v>5.4863199037347599E-2</v>
      </c>
      <c r="T48" s="2394">
        <f>C48/C49-1</f>
        <v>3.0742184721226584E-2</v>
      </c>
      <c r="U48" s="2394">
        <f>E48/E49-1</f>
        <v>6.2167683886810154E-2</v>
      </c>
      <c r="V48" s="2394">
        <f>F48/F49-1</f>
        <v>4.5657953741810031E-2</v>
      </c>
      <c r="X48" s="2357"/>
      <c r="Y48" s="2357"/>
      <c r="Z48" s="2357"/>
    </row>
    <row r="49" spans="1:26" ht="13.8" thickBot="1">
      <c r="A49" s="2371" t="s">
        <v>1054</v>
      </c>
      <c r="B49" s="2381">
        <v>220</v>
      </c>
      <c r="C49" s="2381">
        <v>187</v>
      </c>
      <c r="D49" s="2381">
        <f t="shared" si="139"/>
        <v>187</v>
      </c>
      <c r="E49" s="2381">
        <v>301</v>
      </c>
      <c r="F49" s="2382">
        <v>168</v>
      </c>
      <c r="G49" s="3599">
        <v>2009</v>
      </c>
      <c r="H49" s="2398">
        <v>4</v>
      </c>
      <c r="I49" s="2398">
        <v>2.2999999999999998</v>
      </c>
      <c r="J49" s="2398">
        <v>1.04</v>
      </c>
      <c r="K49" s="2398">
        <v>2.84</v>
      </c>
      <c r="L49" s="2399">
        <v>0.67</v>
      </c>
      <c r="N49" s="2383">
        <f t="shared" si="141"/>
        <v>2.3E-2</v>
      </c>
      <c r="O49" s="2384">
        <f t="shared" si="141"/>
        <v>1.04E-2</v>
      </c>
      <c r="P49" s="2384">
        <f t="shared" si="141"/>
        <v>2.8399999999999998E-2</v>
      </c>
      <c r="Q49" s="2384">
        <f t="shared" si="141"/>
        <v>6.7000000000000002E-3</v>
      </c>
      <c r="R49" s="2385"/>
      <c r="S49" s="2386"/>
      <c r="T49" s="2387"/>
      <c r="U49" s="2387"/>
      <c r="V49" s="2387"/>
      <c r="X49" s="2387"/>
      <c r="Y49" s="2387"/>
      <c r="Z49" s="2387"/>
    </row>
    <row r="50" spans="1:26">
      <c r="A50" s="2371" t="s">
        <v>1055</v>
      </c>
      <c r="B50" s="2388">
        <f t="shared" ref="B50:C52" si="155">B49/(1+N49)</f>
        <v>215.05376344086022</v>
      </c>
      <c r="C50" s="2388">
        <f t="shared" si="155"/>
        <v>185.0752177355503</v>
      </c>
      <c r="D50" s="2388">
        <f t="shared" si="139"/>
        <v>185.0752177355503</v>
      </c>
      <c r="E50" s="2388">
        <f t="shared" ref="E50:F52" si="156">E49/(1+P49)</f>
        <v>292.68767016725008</v>
      </c>
      <c r="F50" s="2388">
        <f t="shared" si="156"/>
        <v>166.88189132810174</v>
      </c>
      <c r="G50" s="3600">
        <v>2009</v>
      </c>
      <c r="H50" s="2401">
        <v>3</v>
      </c>
      <c r="I50" s="2401">
        <v>2.1</v>
      </c>
      <c r="J50" s="2401">
        <v>1.86</v>
      </c>
      <c r="K50" s="2401">
        <v>2.29</v>
      </c>
      <c r="L50" s="2402">
        <v>0.85</v>
      </c>
      <c r="N50" s="2389">
        <f t="shared" si="141"/>
        <v>2.1000000000000001E-2</v>
      </c>
      <c r="O50" s="2395">
        <f t="shared" si="141"/>
        <v>1.8600000000000002E-2</v>
      </c>
      <c r="P50" s="2395">
        <f t="shared" si="141"/>
        <v>2.29E-2</v>
      </c>
      <c r="Q50" s="2395">
        <f t="shared" si="141"/>
        <v>8.5000000000000006E-3</v>
      </c>
      <c r="R50" s="2385"/>
      <c r="S50" s="2389"/>
      <c r="T50" s="2357"/>
      <c r="U50" s="2357"/>
      <c r="V50" s="2357"/>
    </row>
    <row r="51" spans="1:26">
      <c r="A51" s="2371" t="s">
        <v>1056</v>
      </c>
      <c r="B51" s="2388">
        <f t="shared" si="155"/>
        <v>210.630522469011</v>
      </c>
      <c r="C51" s="2388">
        <f t="shared" si="155"/>
        <v>181.69567812247232</v>
      </c>
      <c r="D51" s="2388">
        <f t="shared" si="139"/>
        <v>181.69567812247232</v>
      </c>
      <c r="E51" s="2388">
        <f t="shared" si="156"/>
        <v>286.13517466736738</v>
      </c>
      <c r="F51" s="2388">
        <f t="shared" si="156"/>
        <v>165.47535084591149</v>
      </c>
      <c r="G51" s="3600">
        <v>2009</v>
      </c>
      <c r="H51" s="2391">
        <v>2</v>
      </c>
      <c r="I51" s="2391">
        <v>0.86</v>
      </c>
      <c r="J51" s="2391">
        <v>-1.1299999999999999</v>
      </c>
      <c r="K51" s="2391">
        <v>1.79</v>
      </c>
      <c r="L51" s="2392">
        <v>-2.0699999999999998</v>
      </c>
      <c r="N51" s="2389">
        <f t="shared" si="141"/>
        <v>8.6E-3</v>
      </c>
      <c r="O51" s="2395">
        <f t="shared" si="141"/>
        <v>-1.1299999999999999E-2</v>
      </c>
      <c r="P51" s="2395">
        <f t="shared" si="141"/>
        <v>1.7899999999999999E-2</v>
      </c>
      <c r="Q51" s="2395">
        <f t="shared" si="141"/>
        <v>-2.07E-2</v>
      </c>
      <c r="R51" s="2385"/>
      <c r="S51" s="2389"/>
      <c r="T51" s="2357"/>
      <c r="U51" s="2357"/>
      <c r="V51" s="2357"/>
    </row>
    <row r="52" spans="1:26">
      <c r="A52" s="2371" t="s">
        <v>1057</v>
      </c>
      <c r="B52" s="2388">
        <f t="shared" si="155"/>
        <v>208.83454537875372</v>
      </c>
      <c r="C52" s="2388">
        <f t="shared" si="155"/>
        <v>183.77230517090351</v>
      </c>
      <c r="D52" s="2388">
        <f t="shared" si="139"/>
        <v>183.77230517090351</v>
      </c>
      <c r="E52" s="2388">
        <f t="shared" si="156"/>
        <v>281.10342338870947</v>
      </c>
      <c r="F52" s="2388">
        <f t="shared" si="156"/>
        <v>168.97309388942256</v>
      </c>
      <c r="G52" s="3601">
        <v>2009</v>
      </c>
      <c r="H52" s="2373">
        <v>1</v>
      </c>
      <c r="I52" s="2373">
        <v>-2.64</v>
      </c>
      <c r="J52" s="2373">
        <v>-2.5299999999999998</v>
      </c>
      <c r="K52" s="2373">
        <v>-3.02</v>
      </c>
      <c r="L52" s="2374">
        <v>1.52</v>
      </c>
      <c r="N52" s="2393">
        <f t="shared" si="141"/>
        <v>-2.64E-2</v>
      </c>
      <c r="O52" s="2394">
        <f t="shared" si="141"/>
        <v>-2.53E-2</v>
      </c>
      <c r="P52" s="2394">
        <f t="shared" si="141"/>
        <v>-3.0200000000000001E-2</v>
      </c>
      <c r="Q52" s="2394">
        <f t="shared" si="141"/>
        <v>1.52E-2</v>
      </c>
      <c r="R52" s="2385"/>
      <c r="S52" s="2393">
        <f>B52/B53-1</f>
        <v>-2.4137638417038754E-2</v>
      </c>
      <c r="T52" s="2394">
        <f>C52/C53-1</f>
        <v>-2.248773845264096E-2</v>
      </c>
      <c r="U52" s="2394">
        <f>E52/E53-1</f>
        <v>-2.7323794502735366E-2</v>
      </c>
      <c r="V52" s="2394">
        <f>F52/F53-1</f>
        <v>1.7910204153148035E-2</v>
      </c>
      <c r="X52" s="2357"/>
      <c r="Y52" s="2357"/>
      <c r="Z52" s="2357"/>
    </row>
    <row r="53" spans="1:26" ht="13.8" thickBot="1">
      <c r="A53" s="2371" t="s">
        <v>1058</v>
      </c>
      <c r="B53" s="2424">
        <v>214</v>
      </c>
      <c r="C53" s="2424">
        <v>188</v>
      </c>
      <c r="D53" s="2424">
        <f t="shared" si="139"/>
        <v>188</v>
      </c>
      <c r="E53" s="2424">
        <v>289</v>
      </c>
      <c r="F53" s="2425">
        <v>166</v>
      </c>
      <c r="G53" s="3599">
        <v>2008</v>
      </c>
      <c r="H53" s="2398">
        <v>4</v>
      </c>
      <c r="I53" s="2398">
        <v>1.73</v>
      </c>
      <c r="J53" s="2398">
        <v>0.03</v>
      </c>
      <c r="K53" s="2398">
        <v>2.59</v>
      </c>
      <c r="L53" s="2399">
        <v>-1.66</v>
      </c>
      <c r="N53" s="2389">
        <f t="shared" si="141"/>
        <v>1.7299999999999999E-2</v>
      </c>
      <c r="O53" s="2357">
        <f t="shared" si="141"/>
        <v>2.9999999999999997E-4</v>
      </c>
      <c r="P53" s="2357">
        <f t="shared" si="141"/>
        <v>2.5899999999999999E-2</v>
      </c>
      <c r="Q53" s="2357">
        <f t="shared" si="141"/>
        <v>-1.66E-2</v>
      </c>
      <c r="R53" s="2385"/>
      <c r="S53" s="2386"/>
      <c r="T53" s="2387"/>
      <c r="U53" s="2387"/>
      <c r="V53" s="2387"/>
      <c r="X53" s="2387"/>
      <c r="Y53" s="2387"/>
      <c r="Z53" s="2387"/>
    </row>
    <row r="54" spans="1:26">
      <c r="A54" s="2371" t="s">
        <v>1059</v>
      </c>
      <c r="B54" s="2388">
        <f t="shared" ref="B54:C56" si="157">B53/(1+N53)</f>
        <v>210.36075887152265</v>
      </c>
      <c r="C54" s="2388">
        <f t="shared" si="157"/>
        <v>187.94361691492554</v>
      </c>
      <c r="D54" s="2388">
        <f t="shared" si="139"/>
        <v>187.94361691492554</v>
      </c>
      <c r="E54" s="2388">
        <f t="shared" ref="E54:F56" si="158">E53/(1+P53)</f>
        <v>281.70386977288234</v>
      </c>
      <c r="F54" s="2388">
        <f t="shared" si="158"/>
        <v>168.80211511083994</v>
      </c>
      <c r="G54" s="3600">
        <v>2008</v>
      </c>
      <c r="H54" s="2401">
        <v>3</v>
      </c>
      <c r="I54" s="2401">
        <v>1.96</v>
      </c>
      <c r="J54" s="2401">
        <v>2.36</v>
      </c>
      <c r="K54" s="2401">
        <v>1.82</v>
      </c>
      <c r="L54" s="2402">
        <v>2.2200000000000002</v>
      </c>
      <c r="N54" s="2389">
        <f t="shared" si="141"/>
        <v>1.9599999999999999E-2</v>
      </c>
      <c r="O54" s="2357">
        <f t="shared" si="141"/>
        <v>2.3599999999999999E-2</v>
      </c>
      <c r="P54" s="2357">
        <f t="shared" si="141"/>
        <v>1.8200000000000001E-2</v>
      </c>
      <c r="Q54" s="2357">
        <f t="shared" si="141"/>
        <v>2.2200000000000001E-2</v>
      </c>
      <c r="R54" s="2385"/>
      <c r="S54" s="2389"/>
      <c r="T54" s="2357"/>
      <c r="U54" s="2357"/>
      <c r="V54" s="2357"/>
    </row>
    <row r="55" spans="1:26">
      <c r="A55" s="2371" t="s">
        <v>1060</v>
      </c>
      <c r="B55" s="2388">
        <f t="shared" si="157"/>
        <v>206.31694671589116</v>
      </c>
      <c r="C55" s="2388">
        <f t="shared" si="157"/>
        <v>183.61041121036101</v>
      </c>
      <c r="D55" s="2388">
        <f t="shared" si="139"/>
        <v>183.61041121036101</v>
      </c>
      <c r="E55" s="2388">
        <f t="shared" si="158"/>
        <v>276.66850301795557</v>
      </c>
      <c r="F55" s="2388">
        <f t="shared" si="158"/>
        <v>165.1360938278614</v>
      </c>
      <c r="G55" s="3600">
        <v>2008</v>
      </c>
      <c r="H55" s="2391">
        <v>2</v>
      </c>
      <c r="I55" s="2391">
        <v>4.93</v>
      </c>
      <c r="J55" s="2391">
        <v>7.38</v>
      </c>
      <c r="K55" s="2391">
        <v>3.98</v>
      </c>
      <c r="L55" s="2392">
        <v>6.86</v>
      </c>
      <c r="N55" s="2389">
        <f t="shared" si="141"/>
        <v>4.9299999999999997E-2</v>
      </c>
      <c r="O55" s="2357">
        <f t="shared" si="141"/>
        <v>7.3800000000000004E-2</v>
      </c>
      <c r="P55" s="2357">
        <f t="shared" si="141"/>
        <v>3.9800000000000002E-2</v>
      </c>
      <c r="Q55" s="2357">
        <f t="shared" si="141"/>
        <v>6.8600000000000008E-2</v>
      </c>
      <c r="R55" s="2385"/>
      <c r="S55" s="2389"/>
      <c r="T55" s="2357"/>
      <c r="U55" s="2357"/>
      <c r="V55" s="2357"/>
    </row>
    <row r="56" spans="1:26" s="2430" customFormat="1" ht="13.8" thickBot="1">
      <c r="A56" s="2371" t="s">
        <v>1061</v>
      </c>
      <c r="B56" s="2427">
        <f t="shared" si="157"/>
        <v>196.62341248059772</v>
      </c>
      <c r="C56" s="2427">
        <f t="shared" si="157"/>
        <v>170.99125648199012</v>
      </c>
      <c r="D56" s="2427">
        <f t="shared" si="139"/>
        <v>170.99125648199012</v>
      </c>
      <c r="E56" s="2427">
        <f t="shared" si="158"/>
        <v>266.07857570490052</v>
      </c>
      <c r="F56" s="2427">
        <f t="shared" si="158"/>
        <v>154.53499328828505</v>
      </c>
      <c r="G56" s="3601">
        <v>2008</v>
      </c>
      <c r="H56" s="2428">
        <v>1</v>
      </c>
      <c r="I56" s="2428">
        <v>4.1399999999999997</v>
      </c>
      <c r="J56" s="2428">
        <v>3.45</v>
      </c>
      <c r="K56" s="2428">
        <v>4.95</v>
      </c>
      <c r="L56" s="2429">
        <v>4.82</v>
      </c>
      <c r="N56" s="2431">
        <f t="shared" si="141"/>
        <v>4.1399999999999999E-2</v>
      </c>
      <c r="O56" s="2432">
        <f t="shared" si="141"/>
        <v>3.4500000000000003E-2</v>
      </c>
      <c r="P56" s="2432">
        <f t="shared" si="141"/>
        <v>4.9500000000000002E-2</v>
      </c>
      <c r="Q56" s="2432">
        <f t="shared" si="141"/>
        <v>4.82E-2</v>
      </c>
      <c r="R56" s="2433"/>
      <c r="S56" s="2431">
        <f>B56/B57-1</f>
        <v>4.5869215322328349E-2</v>
      </c>
      <c r="T56" s="2432">
        <f>C56/C57-1</f>
        <v>3.6310645345394743E-2</v>
      </c>
      <c r="U56" s="2432">
        <f>E56/E57-1</f>
        <v>4.7553447657088688E-2</v>
      </c>
      <c r="V56" s="2432">
        <f>F56/F57-1</f>
        <v>4.4155360055980086E-2</v>
      </c>
      <c r="X56" s="2432"/>
      <c r="Y56" s="2432"/>
      <c r="Z56" s="2432"/>
    </row>
    <row r="57" spans="1:26" ht="13.8" thickBot="1">
      <c r="A57" s="2371" t="s">
        <v>1062</v>
      </c>
      <c r="B57" s="2381">
        <v>188</v>
      </c>
      <c r="C57" s="2381">
        <v>165</v>
      </c>
      <c r="D57" s="2381">
        <f t="shared" si="139"/>
        <v>165</v>
      </c>
      <c r="E57" s="2381">
        <v>254</v>
      </c>
      <c r="F57" s="2382">
        <v>148</v>
      </c>
      <c r="G57" s="3599">
        <v>2007</v>
      </c>
      <c r="H57" s="2434">
        <v>4</v>
      </c>
      <c r="I57" s="2434">
        <v>5.51</v>
      </c>
      <c r="J57" s="2434">
        <v>4.8899999999999997</v>
      </c>
      <c r="K57" s="2434">
        <v>6.43</v>
      </c>
      <c r="L57" s="2435">
        <v>5.36</v>
      </c>
      <c r="N57" s="2436">
        <f t="shared" ref="N57:O60" si="159">B57/B58-1</f>
        <v>4.1339718365245526E-2</v>
      </c>
      <c r="O57" s="2437">
        <f t="shared" si="159"/>
        <v>4.0324492593776018E-2</v>
      </c>
      <c r="P57" s="2437">
        <f t="shared" ref="P57:Q60" si="160">E57/E58-1</f>
        <v>6.1625555347990968E-2</v>
      </c>
      <c r="Q57" s="2437">
        <f t="shared" si="160"/>
        <v>4.6757569250590603E-2</v>
      </c>
      <c r="R57" s="2385"/>
      <c r="S57" s="2386"/>
      <c r="T57" s="2387"/>
      <c r="U57" s="2387"/>
      <c r="V57" s="2387"/>
      <c r="X57" s="2387"/>
      <c r="Y57" s="2387"/>
      <c r="Z57" s="2387"/>
    </row>
    <row r="58" spans="1:26">
      <c r="A58" s="2371" t="s">
        <v>1063</v>
      </c>
      <c r="B58" s="2388">
        <f t="shared" ref="B58:C60" si="161">B59+(B$57-B$61)*I58/SUM(I$57:I$60)</f>
        <v>180.5366651097618</v>
      </c>
      <c r="C58" s="2388">
        <f t="shared" si="161"/>
        <v>158.60435967302453</v>
      </c>
      <c r="D58" s="2388">
        <f t="shared" si="139"/>
        <v>158.60435967302453</v>
      </c>
      <c r="E58" s="2388">
        <f t="shared" ref="E58:F60" si="162">E59+(E$57-E$61)*K58/SUM(K$57:K$60)</f>
        <v>239.25573260785075</v>
      </c>
      <c r="F58" s="2388">
        <f t="shared" si="162"/>
        <v>141.38899430740037</v>
      </c>
      <c r="G58" s="3600">
        <v>2007</v>
      </c>
      <c r="H58" s="2401">
        <v>3</v>
      </c>
      <c r="I58" s="2401">
        <v>8.65</v>
      </c>
      <c r="J58" s="2401">
        <v>8.06</v>
      </c>
      <c r="K58" s="2401">
        <v>9.94</v>
      </c>
      <c r="L58" s="2402">
        <v>5.8</v>
      </c>
      <c r="N58" s="2436">
        <f t="shared" si="159"/>
        <v>6.940217571740015E-2</v>
      </c>
      <c r="O58" s="2437">
        <f t="shared" si="159"/>
        <v>7.1197482471153428E-2</v>
      </c>
      <c r="P58" s="2437">
        <f t="shared" si="160"/>
        <v>0.10529679922579582</v>
      </c>
      <c r="Q58" s="2437">
        <f t="shared" si="160"/>
        <v>5.3292245059512133E-2</v>
      </c>
      <c r="R58" s="2385"/>
      <c r="S58" s="2389"/>
      <c r="T58" s="2357"/>
      <c r="U58" s="2357"/>
      <c r="V58" s="2357"/>
      <c r="X58" s="2438"/>
      <c r="Y58" s="2438"/>
      <c r="Z58" s="2438"/>
    </row>
    <row r="59" spans="1:26">
      <c r="A59" s="2371" t="s">
        <v>1064</v>
      </c>
      <c r="B59" s="2388">
        <f t="shared" si="161"/>
        <v>168.82017748715555</v>
      </c>
      <c r="C59" s="2388">
        <f t="shared" si="161"/>
        <v>148.06267029972753</v>
      </c>
      <c r="D59" s="2388">
        <f t="shared" si="139"/>
        <v>148.06267029972753</v>
      </c>
      <c r="E59" s="2388">
        <f t="shared" si="162"/>
        <v>216.46288379323747</v>
      </c>
      <c r="F59" s="2388">
        <f t="shared" si="162"/>
        <v>134.23529411764704</v>
      </c>
      <c r="G59" s="3600">
        <v>2007</v>
      </c>
      <c r="H59" s="2391">
        <v>2</v>
      </c>
      <c r="I59" s="2391">
        <v>3.67</v>
      </c>
      <c r="J59" s="2391">
        <v>2.3199999999999998</v>
      </c>
      <c r="K59" s="2391">
        <v>5.0199999999999996</v>
      </c>
      <c r="L59" s="2392">
        <v>6.71</v>
      </c>
      <c r="N59" s="2436">
        <f t="shared" si="159"/>
        <v>3.0339138143848032E-2</v>
      </c>
      <c r="O59" s="2437">
        <f t="shared" si="159"/>
        <v>2.0922341588790472E-2</v>
      </c>
      <c r="P59" s="2437">
        <f t="shared" si="160"/>
        <v>5.6164796592717003E-2</v>
      </c>
      <c r="Q59" s="2437">
        <f t="shared" si="160"/>
        <v>6.5704536723887319E-2</v>
      </c>
      <c r="R59" s="2385"/>
      <c r="S59" s="2389"/>
      <c r="T59" s="2357"/>
      <c r="U59" s="2357"/>
      <c r="V59" s="2357"/>
      <c r="X59" s="2438"/>
      <c r="Y59" s="2438"/>
      <c r="Z59" s="2438"/>
    </row>
    <row r="60" spans="1:26">
      <c r="A60" s="2371" t="s">
        <v>1065</v>
      </c>
      <c r="B60" s="2388">
        <f t="shared" si="161"/>
        <v>163.84913591779542</v>
      </c>
      <c r="C60" s="2388">
        <f t="shared" si="161"/>
        <v>145.0283378746594</v>
      </c>
      <c r="D60" s="2388">
        <f t="shared" si="139"/>
        <v>145.0283378746594</v>
      </c>
      <c r="E60" s="2388">
        <f t="shared" si="162"/>
        <v>204.95180722891567</v>
      </c>
      <c r="F60" s="2388">
        <f t="shared" si="162"/>
        <v>125.95920303605313</v>
      </c>
      <c r="G60" s="3601">
        <v>2007</v>
      </c>
      <c r="H60" s="2373">
        <v>1</v>
      </c>
      <c r="I60" s="2373">
        <v>3.58</v>
      </c>
      <c r="J60" s="2373">
        <v>3.08</v>
      </c>
      <c r="K60" s="2373">
        <v>4.34</v>
      </c>
      <c r="L60" s="2374">
        <v>3.21</v>
      </c>
      <c r="N60" s="2439">
        <f t="shared" si="159"/>
        <v>3.0497710174814063E-2</v>
      </c>
      <c r="O60" s="2440">
        <f t="shared" si="159"/>
        <v>2.8569772160704998E-2</v>
      </c>
      <c r="P60" s="2440">
        <f t="shared" si="160"/>
        <v>5.1034908866234296E-2</v>
      </c>
      <c r="Q60" s="2440">
        <f t="shared" si="160"/>
        <v>3.245248390207478E-2</v>
      </c>
      <c r="R60" s="2385"/>
      <c r="S60" s="2393">
        <f>B60/B61-1</f>
        <v>3.0497710174814063E-2</v>
      </c>
      <c r="T60" s="2394">
        <f>C60/C61-1</f>
        <v>2.8569772160704998E-2</v>
      </c>
      <c r="U60" s="2394">
        <f>E60/E61-1</f>
        <v>5.1034908866234296E-2</v>
      </c>
      <c r="V60" s="2394">
        <f>F60/F61-1</f>
        <v>3.245248390207478E-2</v>
      </c>
      <c r="X60" s="2438"/>
      <c r="Y60" s="2438"/>
      <c r="Z60" s="2438"/>
    </row>
    <row r="61" spans="1:26" ht="13.8" thickBot="1">
      <c r="A61" s="2371" t="s">
        <v>1066</v>
      </c>
      <c r="B61" s="2403">
        <v>159</v>
      </c>
      <c r="C61" s="2403">
        <v>141</v>
      </c>
      <c r="D61" s="2403">
        <f t="shared" si="139"/>
        <v>141</v>
      </c>
      <c r="E61" s="2403">
        <v>195</v>
      </c>
      <c r="F61" s="2404">
        <v>122</v>
      </c>
      <c r="G61" s="3599">
        <v>2006</v>
      </c>
      <c r="H61" s="2398">
        <v>4</v>
      </c>
      <c r="I61" s="2398">
        <v>3.79</v>
      </c>
      <c r="J61" s="2398">
        <v>2.21</v>
      </c>
      <c r="K61" s="2398">
        <v>5.65</v>
      </c>
      <c r="L61" s="2399">
        <v>5.41</v>
      </c>
      <c r="N61" s="2436">
        <f t="shared" ref="N61:O64" si="163">I61/SUM(I$61:I$64)*(B$61/B$65-1)</f>
        <v>7.245466462748526E-2</v>
      </c>
      <c r="O61" s="2437">
        <f t="shared" si="163"/>
        <v>2.3237230038062766E-2</v>
      </c>
      <c r="P61" s="2437">
        <f t="shared" ref="P61:Q64" si="164">K61/SUM(K$61:K$64)*(E$61/E$65-1)</f>
        <v>0.16146893866323722</v>
      </c>
      <c r="Q61" s="2437">
        <f t="shared" si="164"/>
        <v>5.0755230321793784E-2</v>
      </c>
      <c r="R61" s="2385"/>
      <c r="S61" s="2386"/>
      <c r="T61" s="2387"/>
      <c r="U61" s="2387"/>
      <c r="V61" s="2387"/>
      <c r="X61" s="2438"/>
      <c r="Y61" s="2438"/>
      <c r="Z61" s="2438"/>
    </row>
    <row r="62" spans="1:26">
      <c r="A62" s="2371" t="s">
        <v>1067</v>
      </c>
      <c r="B62" s="2388">
        <f t="shared" ref="B62:C64" si="165">B63+(B$61-B$65)*I62/SUM(I$61:I$64)</f>
        <v>149.00125628140702</v>
      </c>
      <c r="C62" s="2388">
        <f t="shared" si="165"/>
        <v>137.95592286501378</v>
      </c>
      <c r="D62" s="2388">
        <f t="shared" si="139"/>
        <v>137.95592286501378</v>
      </c>
      <c r="E62" s="2388">
        <f t="shared" ref="E62:F64" si="166">E63+(E$61-E$65)*K62/SUM(K$61:K$64)</f>
        <v>169.97231450719823</v>
      </c>
      <c r="F62" s="2388">
        <f t="shared" si="166"/>
        <v>116.21390374331551</v>
      </c>
      <c r="G62" s="3600">
        <v>2006</v>
      </c>
      <c r="H62" s="2401">
        <v>3</v>
      </c>
      <c r="I62" s="2401">
        <v>0.92</v>
      </c>
      <c r="J62" s="2401">
        <v>1.08</v>
      </c>
      <c r="K62" s="2401">
        <v>0.73</v>
      </c>
      <c r="L62" s="2402">
        <v>1.08</v>
      </c>
      <c r="N62" s="2436">
        <f t="shared" si="163"/>
        <v>1.7587939698492462E-2</v>
      </c>
      <c r="O62" s="2437">
        <f t="shared" si="163"/>
        <v>1.1355750425840628E-2</v>
      </c>
      <c r="P62" s="2437">
        <f t="shared" si="164"/>
        <v>2.0862358446754544E-2</v>
      </c>
      <c r="Q62" s="2437">
        <f t="shared" si="164"/>
        <v>1.0132282578103011E-2</v>
      </c>
      <c r="R62" s="2385"/>
      <c r="S62" s="2389"/>
      <c r="T62" s="2357"/>
      <c r="U62" s="2357"/>
      <c r="V62" s="2357"/>
      <c r="X62" s="2438"/>
      <c r="Y62" s="2438"/>
      <c r="Z62" s="2438"/>
    </row>
    <row r="63" spans="1:26">
      <c r="A63" s="2371" t="s">
        <v>1068</v>
      </c>
      <c r="B63" s="2388">
        <f t="shared" si="165"/>
        <v>146.57412060301507</v>
      </c>
      <c r="C63" s="2388">
        <f t="shared" si="165"/>
        <v>136.46831955922866</v>
      </c>
      <c r="D63" s="2388">
        <f t="shared" si="139"/>
        <v>136.46831955922866</v>
      </c>
      <c r="E63" s="2388">
        <f t="shared" si="166"/>
        <v>166.73864894795128</v>
      </c>
      <c r="F63" s="2388">
        <f t="shared" si="166"/>
        <v>115.05882352941177</v>
      </c>
      <c r="G63" s="3600">
        <v>2006</v>
      </c>
      <c r="H63" s="2391">
        <v>2</v>
      </c>
      <c r="I63" s="2391">
        <v>0.96</v>
      </c>
      <c r="J63" s="2391">
        <v>0.25</v>
      </c>
      <c r="K63" s="2391">
        <v>1.9</v>
      </c>
      <c r="L63" s="2392">
        <v>0.95</v>
      </c>
      <c r="N63" s="2436">
        <f t="shared" si="163"/>
        <v>1.8352632728861701E-2</v>
      </c>
      <c r="O63" s="2437">
        <f t="shared" si="163"/>
        <v>2.6286459319075526E-3</v>
      </c>
      <c r="P63" s="2437">
        <f t="shared" si="164"/>
        <v>5.4299289107991269E-2</v>
      </c>
      <c r="Q63" s="2437">
        <f t="shared" si="164"/>
        <v>8.9126559714794995E-3</v>
      </c>
      <c r="R63" s="2385"/>
      <c r="S63" s="2389"/>
      <c r="T63" s="2357"/>
      <c r="U63" s="2357"/>
      <c r="V63" s="2357"/>
      <c r="X63" s="2438"/>
      <c r="Y63" s="2438"/>
      <c r="Z63" s="2438"/>
    </row>
    <row r="64" spans="1:26">
      <c r="A64" s="2371" t="s">
        <v>1069</v>
      </c>
      <c r="B64" s="2388">
        <f t="shared" si="165"/>
        <v>144.04145728643215</v>
      </c>
      <c r="C64" s="2388">
        <f t="shared" si="165"/>
        <v>136.12396694214877</v>
      </c>
      <c r="D64" s="2388">
        <f t="shared" si="139"/>
        <v>136.12396694214877</v>
      </c>
      <c r="E64" s="2388">
        <f t="shared" si="166"/>
        <v>158.32225913621264</v>
      </c>
      <c r="F64" s="2388">
        <f t="shared" si="166"/>
        <v>114.04278074866311</v>
      </c>
      <c r="G64" s="3601">
        <v>2006</v>
      </c>
      <c r="H64" s="2373">
        <v>1</v>
      </c>
      <c r="I64" s="2373">
        <v>2.29</v>
      </c>
      <c r="J64" s="2373">
        <v>3.72</v>
      </c>
      <c r="K64" s="2373">
        <v>0.75</v>
      </c>
      <c r="L64" s="2374">
        <v>0.04</v>
      </c>
      <c r="N64" s="2439">
        <f t="shared" si="163"/>
        <v>4.3778675988638847E-2</v>
      </c>
      <c r="O64" s="2440">
        <f t="shared" si="163"/>
        <v>3.9114251466784385E-2</v>
      </c>
      <c r="P64" s="2440">
        <f t="shared" si="164"/>
        <v>2.1433929911049188E-2</v>
      </c>
      <c r="Q64" s="2440">
        <f t="shared" si="164"/>
        <v>3.7526972511492629E-4</v>
      </c>
      <c r="R64" s="2385"/>
      <c r="S64" s="2393">
        <f>B64/B65-1</f>
        <v>4.3778675988638716E-2</v>
      </c>
      <c r="T64" s="2394">
        <f>C64/C65-1</f>
        <v>3.91142514667846E-2</v>
      </c>
      <c r="U64" s="2394">
        <f>E64/E65-1</f>
        <v>2.143392991104931E-2</v>
      </c>
      <c r="V64" s="2394">
        <f>F64/F65-1</f>
        <v>3.7526972511492396E-4</v>
      </c>
      <c r="X64" s="2438"/>
      <c r="Y64" s="2438"/>
      <c r="Z64" s="2438"/>
    </row>
    <row r="65" spans="1:26" ht="13.8" thickBot="1">
      <c r="A65" s="2371" t="s">
        <v>1070</v>
      </c>
      <c r="B65" s="2403">
        <v>138</v>
      </c>
      <c r="C65" s="2403">
        <v>131</v>
      </c>
      <c r="D65" s="2403">
        <f t="shared" si="139"/>
        <v>131</v>
      </c>
      <c r="E65" s="2403">
        <v>155</v>
      </c>
      <c r="F65" s="2404">
        <v>114</v>
      </c>
      <c r="G65" s="3599">
        <v>2005</v>
      </c>
      <c r="H65" s="2398">
        <v>4</v>
      </c>
      <c r="I65" s="2398">
        <v>3.29</v>
      </c>
      <c r="J65" s="2398">
        <v>1.44</v>
      </c>
      <c r="K65" s="2398">
        <v>0.66</v>
      </c>
      <c r="L65" s="2399">
        <v>7.78</v>
      </c>
      <c r="N65" s="2436">
        <f t="shared" ref="N65:O68" si="167">I65/SUM(I$65:I$68)*(B$65/B$69-1)</f>
        <v>9.9404603216919935E-2</v>
      </c>
      <c r="O65" s="2437">
        <f t="shared" si="167"/>
        <v>4.7636550760861554E-2</v>
      </c>
      <c r="P65" s="2437">
        <f t="shared" ref="P65:Q68" si="168">K65/SUM(K$65:K$68)*(E$65/E$69-1)</f>
        <v>8.3756345177664976E-2</v>
      </c>
      <c r="Q65" s="2437">
        <f t="shared" si="168"/>
        <v>5.2148766661559584E-2</v>
      </c>
      <c r="R65" s="2385"/>
      <c r="S65" s="2386"/>
      <c r="T65" s="2387"/>
      <c r="U65" s="2387"/>
      <c r="V65" s="2387"/>
      <c r="X65" s="2438"/>
      <c r="Y65" s="2438"/>
      <c r="Z65" s="2438"/>
    </row>
    <row r="66" spans="1:26">
      <c r="A66" s="2371" t="s">
        <v>1071</v>
      </c>
      <c r="B66" s="2388">
        <f t="shared" ref="B66:C68" si="169">B67+(B$65-B$69)*I66/SUM(I$65:I$68)</f>
        <v>125.9720430107527</v>
      </c>
      <c r="C66" s="2388">
        <f t="shared" si="169"/>
        <v>125.1883408071749</v>
      </c>
      <c r="D66" s="2388">
        <f t="shared" si="139"/>
        <v>125.1883408071749</v>
      </c>
      <c r="E66" s="2388">
        <f t="shared" ref="E66:F68" si="170">E67+(E$65-E$69)*K66/SUM(K$65:K$68)</f>
        <v>144.61421319796952</v>
      </c>
      <c r="F66" s="2388">
        <f t="shared" si="170"/>
        <v>108.42008196721311</v>
      </c>
      <c r="G66" s="3600">
        <v>2005</v>
      </c>
      <c r="H66" s="2401">
        <v>3</v>
      </c>
      <c r="I66" s="2401">
        <v>0.46</v>
      </c>
      <c r="J66" s="2401">
        <v>0.32</v>
      </c>
      <c r="K66" s="2401">
        <v>0.42</v>
      </c>
      <c r="L66" s="2402">
        <v>0.64</v>
      </c>
      <c r="N66" s="2436">
        <f t="shared" si="167"/>
        <v>1.3898515951301874E-2</v>
      </c>
      <c r="O66" s="2437">
        <f t="shared" si="167"/>
        <v>1.0585900169080346E-2</v>
      </c>
      <c r="P66" s="2437">
        <f t="shared" si="168"/>
        <v>5.3299492385786795E-2</v>
      </c>
      <c r="Q66" s="2437">
        <f t="shared" si="168"/>
        <v>4.2898728359123568E-3</v>
      </c>
      <c r="R66" s="2385"/>
      <c r="S66" s="2389"/>
      <c r="T66" s="2357"/>
      <c r="U66" s="2357"/>
      <c r="V66" s="2357"/>
      <c r="X66" s="2438"/>
      <c r="Y66" s="2438"/>
      <c r="Z66" s="2438"/>
    </row>
    <row r="67" spans="1:26">
      <c r="A67" s="2371" t="s">
        <v>1072</v>
      </c>
      <c r="B67" s="2388">
        <f t="shared" si="169"/>
        <v>124.29032258064517</v>
      </c>
      <c r="C67" s="2388">
        <f t="shared" si="169"/>
        <v>123.8968609865471</v>
      </c>
      <c r="D67" s="2388">
        <f t="shared" si="139"/>
        <v>123.8968609865471</v>
      </c>
      <c r="E67" s="2388">
        <f t="shared" si="170"/>
        <v>138.00507614213197</v>
      </c>
      <c r="F67" s="2388">
        <f t="shared" si="170"/>
        <v>107.96106557377048</v>
      </c>
      <c r="G67" s="3600">
        <v>2005</v>
      </c>
      <c r="H67" s="2391">
        <v>2</v>
      </c>
      <c r="I67" s="2391">
        <v>0.47</v>
      </c>
      <c r="J67" s="2391">
        <v>0.1</v>
      </c>
      <c r="K67" s="2391">
        <v>0.52</v>
      </c>
      <c r="L67" s="2392">
        <v>0.79</v>
      </c>
      <c r="N67" s="2436">
        <f t="shared" si="167"/>
        <v>1.420065760241713E-2</v>
      </c>
      <c r="O67" s="2437">
        <f t="shared" si="167"/>
        <v>3.3080938028376083E-3</v>
      </c>
      <c r="P67" s="2437">
        <f t="shared" si="168"/>
        <v>6.598984771573603E-2</v>
      </c>
      <c r="Q67" s="2437">
        <f t="shared" si="168"/>
        <v>5.2953117818293153E-3</v>
      </c>
      <c r="R67" s="2385"/>
      <c r="S67" s="2389"/>
      <c r="T67" s="2357"/>
      <c r="U67" s="2357"/>
      <c r="V67" s="2357"/>
      <c r="X67" s="2438"/>
      <c r="Y67" s="2438"/>
      <c r="Z67" s="2438"/>
    </row>
    <row r="68" spans="1:26">
      <c r="A68" s="2371" t="s">
        <v>1073</v>
      </c>
      <c r="B68" s="2388">
        <f t="shared" si="169"/>
        <v>122.57204301075269</v>
      </c>
      <c r="C68" s="2388">
        <f t="shared" si="169"/>
        <v>123.4932735426009</v>
      </c>
      <c r="D68" s="2388">
        <f t="shared" si="139"/>
        <v>123.4932735426009</v>
      </c>
      <c r="E68" s="2388">
        <f t="shared" si="170"/>
        <v>129.82233502538071</v>
      </c>
      <c r="F68" s="2388">
        <f t="shared" si="170"/>
        <v>107.39446721311475</v>
      </c>
      <c r="G68" s="3601">
        <v>2005</v>
      </c>
      <c r="H68" s="2373">
        <v>1</v>
      </c>
      <c r="I68" s="2373">
        <v>0.43</v>
      </c>
      <c r="J68" s="2373">
        <v>0.37</v>
      </c>
      <c r="K68" s="2373">
        <v>0.37</v>
      </c>
      <c r="L68" s="2374">
        <v>0.55000000000000004</v>
      </c>
      <c r="N68" s="2439">
        <f t="shared" si="167"/>
        <v>1.2992090997956099E-2</v>
      </c>
      <c r="O68" s="2440">
        <f t="shared" si="167"/>
        <v>1.2239947070499151E-2</v>
      </c>
      <c r="P68" s="2440">
        <f t="shared" si="168"/>
        <v>4.6954314720812178E-2</v>
      </c>
      <c r="Q68" s="2440">
        <f t="shared" si="168"/>
        <v>3.6866094683621815E-3</v>
      </c>
      <c r="R68" s="2385"/>
      <c r="S68" s="2393">
        <f>B68/B69-1</f>
        <v>1.2992090997956174E-2</v>
      </c>
      <c r="T68" s="2394">
        <f>C68/C69-1</f>
        <v>1.2239947070499246E-2</v>
      </c>
      <c r="U68" s="2394">
        <f>E68/E69-1</f>
        <v>4.695431472081224E-2</v>
      </c>
      <c r="V68" s="2394">
        <f>F68/F69-1</f>
        <v>3.6866094683620787E-3</v>
      </c>
      <c r="X68" s="2438"/>
      <c r="Y68" s="2438"/>
      <c r="Z68" s="2438"/>
    </row>
    <row r="69" spans="1:26" ht="13.8" thickBot="1">
      <c r="A69" s="2371" t="s">
        <v>1074</v>
      </c>
      <c r="B69" s="2424">
        <v>121</v>
      </c>
      <c r="C69" s="2424">
        <v>122</v>
      </c>
      <c r="D69" s="2424">
        <f t="shared" si="139"/>
        <v>122</v>
      </c>
      <c r="E69" s="2424">
        <v>124</v>
      </c>
      <c r="F69" s="2425">
        <v>107</v>
      </c>
      <c r="G69" s="3599">
        <v>2004</v>
      </c>
      <c r="H69" s="2398">
        <v>4</v>
      </c>
      <c r="I69" s="2398">
        <v>0.33</v>
      </c>
      <c r="J69" s="2398">
        <v>0.5</v>
      </c>
      <c r="K69" s="2398">
        <v>0.5</v>
      </c>
      <c r="L69" s="2399">
        <v>0</v>
      </c>
      <c r="N69" s="2436">
        <f t="shared" ref="N69:O72" si="171">I69/SUM(I$69:I$72)*(B$69/B$73-1)</f>
        <v>1.3391770148526898E-2</v>
      </c>
      <c r="O69" s="2437">
        <f t="shared" si="171"/>
        <v>1.063264221158958E-2</v>
      </c>
      <c r="P69" s="2437">
        <f t="shared" ref="P69:Q72" si="172">K69/SUM(K$69:K$72)*(E$69/E$73-1)</f>
        <v>2.2244466688911134E-2</v>
      </c>
      <c r="Q69" s="2437">
        <f t="shared" si="172"/>
        <v>0</v>
      </c>
      <c r="R69" s="2385"/>
      <c r="S69" s="2386"/>
      <c r="T69" s="2387"/>
      <c r="U69" s="2387"/>
      <c r="V69" s="2387"/>
      <c r="X69" s="2438"/>
      <c r="Y69" s="2438"/>
      <c r="Z69" s="2438"/>
    </row>
    <row r="70" spans="1:26">
      <c r="A70" s="2371" t="s">
        <v>1075</v>
      </c>
      <c r="B70" s="2388">
        <f t="shared" ref="B70:C72" si="173">B71+(B$69-B$73)*I70/SUM(I$69:I$72)</f>
        <v>119.51351351351352</v>
      </c>
      <c r="C70" s="2388">
        <f t="shared" si="173"/>
        <v>120.7878787878788</v>
      </c>
      <c r="D70" s="2388">
        <f t="shared" si="139"/>
        <v>120.7878787878788</v>
      </c>
      <c r="E70" s="2388">
        <f t="shared" ref="E70:F72" si="174">E71+(E$69-E$73)*K70/SUM(K$69:K$72)</f>
        <v>121.5975975975976</v>
      </c>
      <c r="F70" s="2388">
        <f t="shared" si="174"/>
        <v>107</v>
      </c>
      <c r="G70" s="3600">
        <v>2004</v>
      </c>
      <c r="H70" s="2401">
        <v>3</v>
      </c>
      <c r="I70" s="2401">
        <v>0.56000000000000005</v>
      </c>
      <c r="J70" s="2401">
        <v>0.8</v>
      </c>
      <c r="K70" s="2401">
        <v>0.83</v>
      </c>
      <c r="L70" s="2402">
        <v>0.06</v>
      </c>
      <c r="N70" s="2436">
        <f t="shared" si="171"/>
        <v>2.2725428130833527E-2</v>
      </c>
      <c r="O70" s="2437">
        <f t="shared" si="171"/>
        <v>1.7012227538543329E-2</v>
      </c>
      <c r="P70" s="2437">
        <f t="shared" si="172"/>
        <v>3.6925814703592477E-2</v>
      </c>
      <c r="Q70" s="2437">
        <f t="shared" si="172"/>
        <v>2.8846153846153744E-2</v>
      </c>
      <c r="R70" s="2385"/>
      <c r="S70" s="2389"/>
      <c r="T70" s="2357"/>
      <c r="U70" s="2357"/>
      <c r="V70" s="2357"/>
      <c r="X70" s="2438"/>
      <c r="Y70" s="2438"/>
      <c r="Z70" s="2438"/>
    </row>
    <row r="71" spans="1:26">
      <c r="A71" s="2371" t="s">
        <v>1076</v>
      </c>
      <c r="B71" s="2388">
        <f t="shared" si="173"/>
        <v>116.99099099099099</v>
      </c>
      <c r="C71" s="2388">
        <f t="shared" si="173"/>
        <v>118.84848484848486</v>
      </c>
      <c r="D71" s="2388">
        <f t="shared" si="139"/>
        <v>118.84848484848486</v>
      </c>
      <c r="E71" s="2388">
        <f t="shared" si="174"/>
        <v>117.60960960960961</v>
      </c>
      <c r="F71" s="2388">
        <f t="shared" si="174"/>
        <v>104</v>
      </c>
      <c r="G71" s="3600">
        <v>2004</v>
      </c>
      <c r="H71" s="2391">
        <v>2</v>
      </c>
      <c r="I71" s="2391">
        <v>1</v>
      </c>
      <c r="J71" s="2391">
        <v>1.5</v>
      </c>
      <c r="K71" s="2391">
        <v>1.5</v>
      </c>
      <c r="L71" s="2392">
        <v>0</v>
      </c>
      <c r="N71" s="2436">
        <f t="shared" si="171"/>
        <v>4.0581121662202721E-2</v>
      </c>
      <c r="O71" s="2437">
        <f t="shared" si="171"/>
        <v>3.1897926634768738E-2</v>
      </c>
      <c r="P71" s="2437">
        <f t="shared" si="172"/>
        <v>6.6733400066733395E-2</v>
      </c>
      <c r="Q71" s="2437">
        <f t="shared" si="172"/>
        <v>0</v>
      </c>
      <c r="R71" s="2385"/>
      <c r="S71" s="2389"/>
      <c r="T71" s="2357"/>
      <c r="U71" s="2357"/>
      <c r="V71" s="2357"/>
      <c r="X71" s="2438"/>
      <c r="Y71" s="2438"/>
      <c r="Z71" s="2438"/>
    </row>
    <row r="72" spans="1:26" s="2430" customFormat="1" ht="13.8" thickBot="1">
      <c r="A72" s="2371" t="s">
        <v>1077</v>
      </c>
      <c r="B72" s="2427">
        <f t="shared" si="173"/>
        <v>112.48648648648648</v>
      </c>
      <c r="C72" s="2427">
        <f t="shared" si="173"/>
        <v>115.21212121212122</v>
      </c>
      <c r="D72" s="2427">
        <f t="shared" si="139"/>
        <v>115.21212121212122</v>
      </c>
      <c r="E72" s="2427">
        <f t="shared" si="174"/>
        <v>110.4024024024024</v>
      </c>
      <c r="F72" s="2427">
        <f t="shared" si="174"/>
        <v>104</v>
      </c>
      <c r="G72" s="3601">
        <v>2004</v>
      </c>
      <c r="H72" s="2428">
        <v>1</v>
      </c>
      <c r="I72" s="2428">
        <v>0.33</v>
      </c>
      <c r="J72" s="2428">
        <v>0.5</v>
      </c>
      <c r="K72" s="2428">
        <v>0.5</v>
      </c>
      <c r="L72" s="2429">
        <v>0</v>
      </c>
      <c r="N72" s="2441">
        <f t="shared" si="171"/>
        <v>1.3391770148526898E-2</v>
      </c>
      <c r="O72" s="2442">
        <f t="shared" si="171"/>
        <v>1.063264221158958E-2</v>
      </c>
      <c r="P72" s="2442">
        <f t="shared" si="172"/>
        <v>2.2244466688911134E-2</v>
      </c>
      <c r="Q72" s="2442">
        <f t="shared" si="172"/>
        <v>0</v>
      </c>
      <c r="R72" s="2433"/>
      <c r="S72" s="2431">
        <f>B72/B73-1</f>
        <v>1.3391770148526883E-2</v>
      </c>
      <c r="T72" s="2432">
        <f>C72/C73-1</f>
        <v>1.063264221158966E-2</v>
      </c>
      <c r="U72" s="2432">
        <f>E72/E73-1</f>
        <v>2.2244466688911224E-2</v>
      </c>
      <c r="V72" s="2432">
        <f>F72/F73-1</f>
        <v>0</v>
      </c>
      <c r="X72" s="2443"/>
      <c r="Y72" s="2443"/>
      <c r="Z72" s="2443"/>
    </row>
    <row r="73" spans="1:26" ht="13.8" thickBot="1">
      <c r="A73" s="2371" t="s">
        <v>1078</v>
      </c>
      <c r="B73" s="2444">
        <v>111</v>
      </c>
      <c r="C73" s="2444">
        <v>114</v>
      </c>
      <c r="D73" s="2444">
        <f t="shared" si="139"/>
        <v>114</v>
      </c>
      <c r="E73" s="2444">
        <v>108</v>
      </c>
      <c r="F73" s="2445">
        <v>104</v>
      </c>
      <c r="G73" s="3599">
        <v>2003</v>
      </c>
      <c r="H73" s="2434">
        <v>4</v>
      </c>
      <c r="I73" s="2446"/>
      <c r="J73" s="2446"/>
      <c r="K73" s="2446"/>
      <c r="L73" s="2446"/>
      <c r="N73" s="2447"/>
      <c r="O73" s="2446"/>
      <c r="P73" s="2446"/>
      <c r="Q73" s="2446"/>
      <c r="S73" s="2447"/>
      <c r="T73" s="2446"/>
      <c r="U73" s="2446"/>
      <c r="V73" s="2446"/>
      <c r="X73" s="2438"/>
      <c r="Y73" s="2438"/>
      <c r="Z73" s="2438"/>
    </row>
    <row r="74" spans="1:26">
      <c r="A74" s="2371" t="s">
        <v>1079</v>
      </c>
      <c r="B74" s="2448">
        <f t="shared" ref="B74:C76" si="175">B75+(B$73-B$77)/4</f>
        <v>109.75</v>
      </c>
      <c r="C74" s="2448">
        <f t="shared" si="175"/>
        <v>112.25</v>
      </c>
      <c r="D74" s="2448">
        <f t="shared" si="139"/>
        <v>112.25</v>
      </c>
      <c r="E74" s="2448">
        <f t="shared" ref="E74:F76" si="176">E75+(E$73-E$77)/4</f>
        <v>107.25</v>
      </c>
      <c r="F74" s="2448">
        <f t="shared" si="176"/>
        <v>103.5</v>
      </c>
      <c r="G74" s="3600">
        <v>2003</v>
      </c>
      <c r="H74" s="2401">
        <v>3</v>
      </c>
      <c r="I74" s="2446"/>
      <c r="J74" s="2446"/>
      <c r="K74" s="2446"/>
      <c r="L74" s="2446"/>
      <c r="X74" s="2438"/>
      <c r="Y74" s="2438"/>
      <c r="Z74" s="2438"/>
    </row>
    <row r="75" spans="1:26">
      <c r="A75" s="2371" t="s">
        <v>1080</v>
      </c>
      <c r="B75" s="2448">
        <f t="shared" si="175"/>
        <v>108.5</v>
      </c>
      <c r="C75" s="2448">
        <f t="shared" si="175"/>
        <v>110.5</v>
      </c>
      <c r="D75" s="2448">
        <f t="shared" si="139"/>
        <v>110.5</v>
      </c>
      <c r="E75" s="2448">
        <f t="shared" si="176"/>
        <v>106.5</v>
      </c>
      <c r="F75" s="2448">
        <f t="shared" si="176"/>
        <v>103</v>
      </c>
      <c r="G75" s="3600">
        <v>2003</v>
      </c>
      <c r="H75" s="2391">
        <v>2</v>
      </c>
      <c r="I75" s="2446"/>
      <c r="J75" s="2446"/>
      <c r="K75" s="2446"/>
      <c r="L75" s="2446"/>
      <c r="X75" s="2438"/>
      <c r="Y75" s="2438"/>
      <c r="Z75" s="2438"/>
    </row>
    <row r="76" spans="1:26" ht="13.8" thickBot="1">
      <c r="A76" s="2371" t="s">
        <v>1081</v>
      </c>
      <c r="B76" s="2448">
        <f t="shared" si="175"/>
        <v>107.25</v>
      </c>
      <c r="C76" s="2448">
        <f t="shared" si="175"/>
        <v>108.75</v>
      </c>
      <c r="D76" s="2448">
        <f t="shared" si="139"/>
        <v>108.75</v>
      </c>
      <c r="E76" s="2448">
        <f t="shared" si="176"/>
        <v>105.75</v>
      </c>
      <c r="F76" s="2448">
        <f t="shared" si="176"/>
        <v>102.5</v>
      </c>
      <c r="G76" s="3601">
        <v>2003</v>
      </c>
      <c r="H76" s="2449">
        <v>1</v>
      </c>
      <c r="I76" s="2446"/>
      <c r="J76" s="2446"/>
      <c r="K76" s="2446"/>
      <c r="L76" s="2446"/>
      <c r="S76" s="2389"/>
      <c r="T76" s="2357"/>
      <c r="U76" s="2357"/>
      <c r="X76" s="2438"/>
      <c r="Y76" s="2438"/>
      <c r="Z76" s="2438"/>
    </row>
    <row r="77" spans="1:26" ht="13.8" thickBot="1">
      <c r="A77" s="2371" t="s">
        <v>1082</v>
      </c>
      <c r="B77" s="2450">
        <v>106</v>
      </c>
      <c r="C77" s="2450">
        <v>107</v>
      </c>
      <c r="D77" s="2450">
        <f t="shared" si="139"/>
        <v>107</v>
      </c>
      <c r="E77" s="2450">
        <v>105</v>
      </c>
      <c r="F77" s="2451">
        <v>102</v>
      </c>
      <c r="G77" s="3599">
        <v>2002</v>
      </c>
      <c r="H77" s="2398">
        <v>4</v>
      </c>
      <c r="I77" s="2446"/>
      <c r="J77" s="2446"/>
      <c r="K77" s="2446"/>
      <c r="L77" s="2446"/>
      <c r="N77" s="2447"/>
      <c r="O77" s="2446"/>
      <c r="P77" s="2446"/>
      <c r="Q77" s="2446"/>
      <c r="S77" s="2447"/>
      <c r="T77" s="2446"/>
      <c r="U77" s="2446"/>
      <c r="V77" s="2446"/>
      <c r="X77" s="2438"/>
      <c r="Y77" s="2438"/>
      <c r="Z77" s="2438"/>
    </row>
    <row r="78" spans="1:26">
      <c r="A78" s="2371" t="s">
        <v>1083</v>
      </c>
      <c r="B78" s="2448">
        <f t="shared" ref="B78:C80" si="177">B79+(B$77-B$81)/4</f>
        <v>105</v>
      </c>
      <c r="C78" s="2448">
        <f t="shared" si="177"/>
        <v>106</v>
      </c>
      <c r="D78" s="2448">
        <f t="shared" si="139"/>
        <v>106</v>
      </c>
      <c r="E78" s="2448">
        <f t="shared" ref="E78:F80" si="178">E79+(E$77-E$81)/4</f>
        <v>104.5</v>
      </c>
      <c r="F78" s="2448">
        <f t="shared" si="178"/>
        <v>101.5</v>
      </c>
      <c r="G78" s="3600">
        <v>2002</v>
      </c>
      <c r="H78" s="2401">
        <v>3</v>
      </c>
      <c r="I78" s="2446"/>
      <c r="J78" s="2446"/>
      <c r="K78" s="2446"/>
      <c r="L78" s="2446"/>
      <c r="X78" s="2438"/>
      <c r="Y78" s="2438"/>
      <c r="Z78" s="2438"/>
    </row>
    <row r="79" spans="1:26">
      <c r="A79" s="2371" t="s">
        <v>1084</v>
      </c>
      <c r="B79" s="2448">
        <f t="shared" si="177"/>
        <v>104</v>
      </c>
      <c r="C79" s="2448">
        <f t="shared" si="177"/>
        <v>105</v>
      </c>
      <c r="D79" s="2448">
        <f t="shared" si="139"/>
        <v>105</v>
      </c>
      <c r="E79" s="2448">
        <f t="shared" si="178"/>
        <v>104</v>
      </c>
      <c r="F79" s="2448">
        <f t="shared" si="178"/>
        <v>101</v>
      </c>
      <c r="G79" s="3600">
        <v>2002</v>
      </c>
      <c r="H79" s="2391">
        <v>2</v>
      </c>
      <c r="I79" s="2446"/>
      <c r="J79" s="2446"/>
      <c r="K79" s="2446"/>
      <c r="L79" s="2446"/>
      <c r="X79" s="2438"/>
      <c r="Y79" s="2438"/>
      <c r="Z79" s="2438"/>
    </row>
    <row r="80" spans="1:26" s="2411" customFormat="1" ht="13.8" thickBot="1">
      <c r="A80" s="2407" t="s">
        <v>1085</v>
      </c>
      <c r="B80" s="2414">
        <f t="shared" si="177"/>
        <v>103</v>
      </c>
      <c r="C80" s="2414">
        <f t="shared" si="177"/>
        <v>104</v>
      </c>
      <c r="D80" s="2414">
        <f t="shared" si="139"/>
        <v>104</v>
      </c>
      <c r="E80" s="2414">
        <f t="shared" si="178"/>
        <v>103.5</v>
      </c>
      <c r="F80" s="2414">
        <f t="shared" si="178"/>
        <v>100.5</v>
      </c>
      <c r="G80" s="3601">
        <v>2002</v>
      </c>
      <c r="H80" s="2452">
        <v>1</v>
      </c>
      <c r="I80" s="2453"/>
      <c r="J80" s="2453"/>
      <c r="K80" s="2453"/>
      <c r="L80" s="2453"/>
      <c r="N80" s="2454"/>
      <c r="S80" s="2454"/>
      <c r="X80" s="2455"/>
      <c r="Y80" s="2455"/>
      <c r="Z80" s="2455"/>
    </row>
    <row r="81" spans="1:26" ht="13.8" thickBot="1">
      <c r="B81" s="2456">
        <v>102</v>
      </c>
      <c r="C81" s="2457">
        <v>103</v>
      </c>
      <c r="D81" s="2457">
        <f t="shared" si="139"/>
        <v>103</v>
      </c>
      <c r="E81" s="2457">
        <v>103</v>
      </c>
      <c r="F81" s="2458">
        <v>100</v>
      </c>
      <c r="I81" s="2446"/>
      <c r="J81" s="2446"/>
      <c r="K81" s="2446"/>
      <c r="L81" s="2446"/>
      <c r="N81" s="2447"/>
      <c r="O81" s="2446"/>
      <c r="P81" s="2446"/>
      <c r="Q81" s="2446"/>
      <c r="S81" s="2447"/>
      <c r="T81" s="2446"/>
      <c r="U81" s="2446"/>
      <c r="V81" s="2446"/>
      <c r="X81" s="2387"/>
      <c r="Y81" s="2387"/>
      <c r="Z81" s="2387"/>
    </row>
    <row r="83" spans="1:26" s="2460" customFormat="1">
      <c r="A83" s="2459" t="s">
        <v>1086</v>
      </c>
      <c r="G83" s="2461"/>
      <c r="N83" s="2461"/>
      <c r="S83" s="2461"/>
    </row>
    <row r="84" spans="1:26" s="2460" customFormat="1">
      <c r="A84" s="2460" t="s">
        <v>1087</v>
      </c>
      <c r="G84" s="2461"/>
      <c r="N84" s="2461"/>
      <c r="S84" s="2461"/>
    </row>
    <row r="85" spans="1:26" s="2460" customFormat="1">
      <c r="A85" s="2460" t="s">
        <v>1088</v>
      </c>
      <c r="G85" s="2461"/>
      <c r="I85" s="2462"/>
      <c r="J85" s="2462"/>
      <c r="K85" s="2462"/>
      <c r="L85" s="2462"/>
      <c r="N85" s="2463"/>
      <c r="O85" s="2462"/>
      <c r="P85" s="2462"/>
      <c r="Q85" s="2462"/>
      <c r="S85" s="2463"/>
      <c r="T85" s="2462"/>
      <c r="U85" s="2462"/>
      <c r="V85" s="2462"/>
    </row>
    <row r="86" spans="1:26" s="2460" customFormat="1">
      <c r="A86" s="2460" t="s">
        <v>1089</v>
      </c>
      <c r="G86" s="2461"/>
      <c r="N86" s="2461"/>
      <c r="S86" s="2461"/>
    </row>
    <row r="93" spans="1:26" ht="13.8" thickBot="1"/>
    <row r="94" spans="1:26">
      <c r="G94" s="2356"/>
      <c r="S94" s="2464" t="s">
        <v>1090</v>
      </c>
      <c r="T94" s="2465" t="s">
        <v>1091</v>
      </c>
      <c r="U94" s="2465" t="s">
        <v>1092</v>
      </c>
      <c r="V94" s="2465" t="s">
        <v>1093</v>
      </c>
    </row>
    <row r="95" spans="1:26">
      <c r="G95" s="2356"/>
      <c r="N95" s="2386"/>
      <c r="O95" s="2387"/>
      <c r="P95" s="2387"/>
      <c r="Q95" s="2387"/>
      <c r="S95" s="2466">
        <v>2006</v>
      </c>
      <c r="T95" s="2467">
        <v>15.1</v>
      </c>
      <c r="U95" s="2467">
        <v>7.43</v>
      </c>
      <c r="V95" s="2467">
        <v>26.26</v>
      </c>
    </row>
    <row r="96" spans="1:26">
      <c r="G96" s="2356"/>
      <c r="N96" s="2386"/>
      <c r="O96" s="2387"/>
      <c r="P96" s="2387"/>
      <c r="Q96" s="2387"/>
      <c r="S96" s="2468">
        <v>2005</v>
      </c>
      <c r="T96" s="2469">
        <v>13.9</v>
      </c>
      <c r="U96" s="2469">
        <v>7.49</v>
      </c>
      <c r="V96" s="2469">
        <v>24.92</v>
      </c>
    </row>
    <row r="97" spans="7:22">
      <c r="G97" s="2356"/>
      <c r="N97" s="2386"/>
      <c r="O97" s="2387"/>
      <c r="P97" s="2387"/>
      <c r="Q97" s="2387"/>
      <c r="S97" s="2466">
        <v>2004</v>
      </c>
      <c r="T97" s="2467">
        <v>9.48</v>
      </c>
      <c r="U97" s="2467">
        <v>7.2</v>
      </c>
      <c r="V97" s="2467">
        <v>14.68</v>
      </c>
    </row>
    <row r="98" spans="7:22">
      <c r="G98" s="2356"/>
      <c r="N98" s="2386"/>
      <c r="O98" s="2387"/>
      <c r="P98" s="2387"/>
      <c r="Q98" s="2387"/>
      <c r="S98" s="2468">
        <v>2003</v>
      </c>
      <c r="T98" s="2469">
        <v>4.5</v>
      </c>
      <c r="U98" s="2469">
        <v>6.12</v>
      </c>
      <c r="V98" s="2469">
        <v>2.34</v>
      </c>
    </row>
    <row r="99" spans="7:22" ht="13.8" thickBot="1">
      <c r="G99" s="2356"/>
      <c r="N99" s="2386"/>
      <c r="O99" s="2387"/>
      <c r="P99" s="2387"/>
      <c r="Q99" s="2387"/>
      <c r="S99" s="2470">
        <v>2002</v>
      </c>
      <c r="T99" s="2471">
        <v>3.59</v>
      </c>
      <c r="U99" s="2471">
        <v>4.54</v>
      </c>
      <c r="V99" s="2471">
        <v>2.5499999999999998</v>
      </c>
    </row>
    <row r="100" spans="7:22">
      <c r="G100" s="2356"/>
      <c r="N100" s="2386"/>
      <c r="O100" s="2387"/>
      <c r="P100" s="2387"/>
      <c r="Q100" s="2387"/>
    </row>
    <row r="101" spans="7:22">
      <c r="G101" s="2356"/>
      <c r="N101" s="2386"/>
      <c r="O101" s="2387"/>
      <c r="P101" s="2387"/>
      <c r="Q101" s="2387"/>
    </row>
    <row r="102" spans="7:22">
      <c r="G102" s="2356"/>
      <c r="N102" s="2386"/>
      <c r="O102" s="2387"/>
      <c r="P102" s="2387"/>
      <c r="Q102" s="2387"/>
    </row>
    <row r="103" spans="7:22">
      <c r="G103" s="2356"/>
      <c r="N103" s="2386"/>
      <c r="O103" s="2387"/>
      <c r="P103" s="2387"/>
      <c r="Q103" s="2387"/>
    </row>
    <row r="104" spans="7:22">
      <c r="G104" s="2356"/>
      <c r="N104" s="2386"/>
      <c r="O104" s="2387"/>
      <c r="P104" s="2387"/>
      <c r="Q104" s="2387"/>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c r="S110" s="2356"/>
    </row>
    <row r="111" spans="7:22">
      <c r="G111" s="2356"/>
      <c r="N111" s="2386"/>
      <c r="O111" s="2387"/>
      <c r="P111" s="2387"/>
      <c r="Q111" s="2387"/>
      <c r="S111" s="2356"/>
    </row>
    <row r="112" spans="7:22">
      <c r="G112" s="2356"/>
      <c r="N112" s="2386"/>
      <c r="O112" s="2387"/>
      <c r="P112" s="2387"/>
      <c r="Q112" s="2387"/>
      <c r="S112" s="2356"/>
    </row>
    <row r="113" spans="7:19">
      <c r="G113" s="2356"/>
      <c r="N113" s="2386"/>
      <c r="O113" s="2387"/>
      <c r="P113" s="2387"/>
      <c r="Q113" s="2387"/>
      <c r="S113" s="2356"/>
    </row>
    <row r="114" spans="7:19">
      <c r="G114" s="2356"/>
      <c r="N114" s="2386"/>
      <c r="O114" s="2387"/>
      <c r="P114" s="2387"/>
      <c r="Q114" s="2387"/>
      <c r="S114" s="2356"/>
    </row>
    <row r="115" spans="7:19">
      <c r="G115" s="2356"/>
      <c r="N115" s="2386"/>
      <c r="O115" s="2387"/>
      <c r="P115" s="2387"/>
      <c r="Q115" s="2387"/>
      <c r="S115" s="2356"/>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63"/>
  <sheetViews>
    <sheetView workbookViewId="0">
      <selection activeCell="D4" sqref="D4"/>
    </sheetView>
  </sheetViews>
  <sheetFormatPr defaultColWidth="8.88671875" defaultRowHeight="14.4"/>
  <cols>
    <col min="1" max="1" width="4.88671875" style="1237" customWidth="1"/>
    <col min="2" max="2" width="13.1093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6640625" style="1243" customWidth="1"/>
    <col min="14" max="256" width="9" style="1243"/>
    <col min="257" max="257" width="4.88671875" style="1234" customWidth="1"/>
    <col min="258" max="258" width="13.1093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6640625" style="1234" customWidth="1"/>
    <col min="270" max="512" width="9" style="1234"/>
    <col min="513" max="513" width="4.88671875" style="1234" customWidth="1"/>
    <col min="514" max="514" width="13.1093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6640625" style="1234" customWidth="1"/>
    <col min="526" max="768" width="9" style="1234"/>
    <col min="769" max="769" width="4.88671875" style="1234" customWidth="1"/>
    <col min="770" max="770" width="13.1093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6640625" style="1234" customWidth="1"/>
    <col min="782" max="1024" width="9" style="1234"/>
    <col min="1025" max="1025" width="4.88671875" style="1234" customWidth="1"/>
    <col min="1026" max="1026" width="13.1093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6640625" style="1234" customWidth="1"/>
    <col min="1038" max="1280" width="9" style="1234"/>
    <col min="1281" max="1281" width="4.88671875" style="1234" customWidth="1"/>
    <col min="1282" max="1282" width="13.1093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6640625" style="1234" customWidth="1"/>
    <col min="1294" max="1536" width="9" style="1234"/>
    <col min="1537" max="1537" width="4.88671875" style="1234" customWidth="1"/>
    <col min="1538" max="1538" width="13.1093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6640625" style="1234" customWidth="1"/>
    <col min="1550" max="1792" width="9" style="1234"/>
    <col min="1793" max="1793" width="4.88671875" style="1234" customWidth="1"/>
    <col min="1794" max="1794" width="13.1093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6640625" style="1234" customWidth="1"/>
    <col min="1806" max="2048" width="9" style="1234"/>
    <col min="2049" max="2049" width="4.88671875" style="1234" customWidth="1"/>
    <col min="2050" max="2050" width="13.1093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6640625" style="1234" customWidth="1"/>
    <col min="2062" max="2304" width="9" style="1234"/>
    <col min="2305" max="2305" width="4.88671875" style="1234" customWidth="1"/>
    <col min="2306" max="2306" width="13.1093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6640625" style="1234" customWidth="1"/>
    <col min="2318" max="2560" width="9" style="1234"/>
    <col min="2561" max="2561" width="4.88671875" style="1234" customWidth="1"/>
    <col min="2562" max="2562" width="13.1093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6640625" style="1234" customWidth="1"/>
    <col min="2574" max="2816" width="9" style="1234"/>
    <col min="2817" max="2817" width="4.88671875" style="1234" customWidth="1"/>
    <col min="2818" max="2818" width="13.1093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6640625" style="1234" customWidth="1"/>
    <col min="2830" max="3072" width="9" style="1234"/>
    <col min="3073" max="3073" width="4.88671875" style="1234" customWidth="1"/>
    <col min="3074" max="3074" width="13.1093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6640625" style="1234" customWidth="1"/>
    <col min="3086" max="3328" width="9" style="1234"/>
    <col min="3329" max="3329" width="4.88671875" style="1234" customWidth="1"/>
    <col min="3330" max="3330" width="13.1093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6640625" style="1234" customWidth="1"/>
    <col min="3342" max="3584" width="9" style="1234"/>
    <col min="3585" max="3585" width="4.88671875" style="1234" customWidth="1"/>
    <col min="3586" max="3586" width="13.1093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6640625" style="1234" customWidth="1"/>
    <col min="3598" max="3840" width="9" style="1234"/>
    <col min="3841" max="3841" width="4.88671875" style="1234" customWidth="1"/>
    <col min="3842" max="3842" width="13.1093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6640625" style="1234" customWidth="1"/>
    <col min="3854" max="4096" width="9" style="1234"/>
    <col min="4097" max="4097" width="4.88671875" style="1234" customWidth="1"/>
    <col min="4098" max="4098" width="13.1093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6640625" style="1234" customWidth="1"/>
    <col min="4110" max="4352" width="9" style="1234"/>
    <col min="4353" max="4353" width="4.88671875" style="1234" customWidth="1"/>
    <col min="4354" max="4354" width="13.1093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6640625" style="1234" customWidth="1"/>
    <col min="4366" max="4608" width="9" style="1234"/>
    <col min="4609" max="4609" width="4.88671875" style="1234" customWidth="1"/>
    <col min="4610" max="4610" width="13.1093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6640625" style="1234" customWidth="1"/>
    <col min="4622" max="4864" width="9" style="1234"/>
    <col min="4865" max="4865" width="4.88671875" style="1234" customWidth="1"/>
    <col min="4866" max="4866" width="13.1093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6640625" style="1234" customWidth="1"/>
    <col min="4878" max="5120" width="9" style="1234"/>
    <col min="5121" max="5121" width="4.88671875" style="1234" customWidth="1"/>
    <col min="5122" max="5122" width="13.1093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6640625" style="1234" customWidth="1"/>
    <col min="5134" max="5376" width="9" style="1234"/>
    <col min="5377" max="5377" width="4.88671875" style="1234" customWidth="1"/>
    <col min="5378" max="5378" width="13.1093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6640625" style="1234" customWidth="1"/>
    <col min="5390" max="5632" width="9" style="1234"/>
    <col min="5633" max="5633" width="4.88671875" style="1234" customWidth="1"/>
    <col min="5634" max="5634" width="13.1093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6640625" style="1234" customWidth="1"/>
    <col min="5646" max="5888" width="9" style="1234"/>
    <col min="5889" max="5889" width="4.88671875" style="1234" customWidth="1"/>
    <col min="5890" max="5890" width="13.1093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6640625" style="1234" customWidth="1"/>
    <col min="5902" max="6144" width="9" style="1234"/>
    <col min="6145" max="6145" width="4.88671875" style="1234" customWidth="1"/>
    <col min="6146" max="6146" width="13.1093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6640625" style="1234" customWidth="1"/>
    <col min="6158" max="6400" width="9" style="1234"/>
    <col min="6401" max="6401" width="4.88671875" style="1234" customWidth="1"/>
    <col min="6402" max="6402" width="13.1093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6640625" style="1234" customWidth="1"/>
    <col min="6414" max="6656" width="9" style="1234"/>
    <col min="6657" max="6657" width="4.88671875" style="1234" customWidth="1"/>
    <col min="6658" max="6658" width="13.1093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6640625" style="1234" customWidth="1"/>
    <col min="6670" max="6912" width="9" style="1234"/>
    <col min="6913" max="6913" width="4.88671875" style="1234" customWidth="1"/>
    <col min="6914" max="6914" width="13.1093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6640625" style="1234" customWidth="1"/>
    <col min="6926" max="7168" width="9" style="1234"/>
    <col min="7169" max="7169" width="4.88671875" style="1234" customWidth="1"/>
    <col min="7170" max="7170" width="13.1093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6640625" style="1234" customWidth="1"/>
    <col min="7182" max="7424" width="9" style="1234"/>
    <col min="7425" max="7425" width="4.88671875" style="1234" customWidth="1"/>
    <col min="7426" max="7426" width="13.1093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6640625" style="1234" customWidth="1"/>
    <col min="7438" max="7680" width="9" style="1234"/>
    <col min="7681" max="7681" width="4.88671875" style="1234" customWidth="1"/>
    <col min="7682" max="7682" width="13.1093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6640625" style="1234" customWidth="1"/>
    <col min="7694" max="7936" width="9" style="1234"/>
    <col min="7937" max="7937" width="4.88671875" style="1234" customWidth="1"/>
    <col min="7938" max="7938" width="13.1093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6640625" style="1234" customWidth="1"/>
    <col min="7950" max="8192" width="9" style="1234"/>
    <col min="8193" max="8193" width="4.88671875" style="1234" customWidth="1"/>
    <col min="8194" max="8194" width="13.1093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6640625" style="1234" customWidth="1"/>
    <col min="8206" max="8448" width="9" style="1234"/>
    <col min="8449" max="8449" width="4.88671875" style="1234" customWidth="1"/>
    <col min="8450" max="8450" width="13.1093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6640625" style="1234" customWidth="1"/>
    <col min="8462" max="8704" width="9" style="1234"/>
    <col min="8705" max="8705" width="4.88671875" style="1234" customWidth="1"/>
    <col min="8706" max="8706" width="13.1093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6640625" style="1234" customWidth="1"/>
    <col min="8718" max="8960" width="9" style="1234"/>
    <col min="8961" max="8961" width="4.88671875" style="1234" customWidth="1"/>
    <col min="8962" max="8962" width="13.1093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6640625" style="1234" customWidth="1"/>
    <col min="8974" max="9216" width="9" style="1234"/>
    <col min="9217" max="9217" width="4.88671875" style="1234" customWidth="1"/>
    <col min="9218" max="9218" width="13.1093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6640625" style="1234" customWidth="1"/>
    <col min="9230" max="9472" width="9" style="1234"/>
    <col min="9473" max="9473" width="4.88671875" style="1234" customWidth="1"/>
    <col min="9474" max="9474" width="13.1093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6640625" style="1234" customWidth="1"/>
    <col min="9486" max="9728" width="9" style="1234"/>
    <col min="9729" max="9729" width="4.88671875" style="1234" customWidth="1"/>
    <col min="9730" max="9730" width="13.1093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6640625" style="1234" customWidth="1"/>
    <col min="9742" max="9984" width="9" style="1234"/>
    <col min="9985" max="9985" width="4.88671875" style="1234" customWidth="1"/>
    <col min="9986" max="9986" width="13.1093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6640625" style="1234" customWidth="1"/>
    <col min="9998" max="10240" width="9" style="1234"/>
    <col min="10241" max="10241" width="4.88671875" style="1234" customWidth="1"/>
    <col min="10242" max="10242" width="13.1093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6640625" style="1234" customWidth="1"/>
    <col min="10254" max="10496" width="9" style="1234"/>
    <col min="10497" max="10497" width="4.88671875" style="1234" customWidth="1"/>
    <col min="10498" max="10498" width="13.1093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6640625" style="1234" customWidth="1"/>
    <col min="10510" max="10752" width="9" style="1234"/>
    <col min="10753" max="10753" width="4.88671875" style="1234" customWidth="1"/>
    <col min="10754" max="10754" width="13.1093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6640625" style="1234" customWidth="1"/>
    <col min="10766" max="11008" width="9" style="1234"/>
    <col min="11009" max="11009" width="4.88671875" style="1234" customWidth="1"/>
    <col min="11010" max="11010" width="13.1093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6640625" style="1234" customWidth="1"/>
    <col min="11022" max="11264" width="9" style="1234"/>
    <col min="11265" max="11265" width="4.88671875" style="1234" customWidth="1"/>
    <col min="11266" max="11266" width="13.1093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6640625" style="1234" customWidth="1"/>
    <col min="11278" max="11520" width="9" style="1234"/>
    <col min="11521" max="11521" width="4.88671875" style="1234" customWidth="1"/>
    <col min="11522" max="11522" width="13.1093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6640625" style="1234" customWidth="1"/>
    <col min="11534" max="11776" width="9" style="1234"/>
    <col min="11777" max="11777" width="4.88671875" style="1234" customWidth="1"/>
    <col min="11778" max="11778" width="13.1093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6640625" style="1234" customWidth="1"/>
    <col min="11790" max="12032" width="9" style="1234"/>
    <col min="12033" max="12033" width="4.88671875" style="1234" customWidth="1"/>
    <col min="12034" max="12034" width="13.1093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6640625" style="1234" customWidth="1"/>
    <col min="12046" max="12288" width="9" style="1234"/>
    <col min="12289" max="12289" width="4.88671875" style="1234" customWidth="1"/>
    <col min="12290" max="12290" width="13.1093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6640625" style="1234" customWidth="1"/>
    <col min="12302" max="12544" width="9" style="1234"/>
    <col min="12545" max="12545" width="4.88671875" style="1234" customWidth="1"/>
    <col min="12546" max="12546" width="13.1093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6640625" style="1234" customWidth="1"/>
    <col min="12558" max="12800" width="9" style="1234"/>
    <col min="12801" max="12801" width="4.88671875" style="1234" customWidth="1"/>
    <col min="12802" max="12802" width="13.1093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6640625" style="1234" customWidth="1"/>
    <col min="12814" max="13056" width="9" style="1234"/>
    <col min="13057" max="13057" width="4.88671875" style="1234" customWidth="1"/>
    <col min="13058" max="13058" width="13.1093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6640625" style="1234" customWidth="1"/>
    <col min="13070" max="13312" width="9" style="1234"/>
    <col min="13313" max="13313" width="4.88671875" style="1234" customWidth="1"/>
    <col min="13314" max="13314" width="13.1093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6640625" style="1234" customWidth="1"/>
    <col min="13326" max="13568" width="9" style="1234"/>
    <col min="13569" max="13569" width="4.88671875" style="1234" customWidth="1"/>
    <col min="13570" max="13570" width="13.1093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6640625" style="1234" customWidth="1"/>
    <col min="13582" max="13824" width="9" style="1234"/>
    <col min="13825" max="13825" width="4.88671875" style="1234" customWidth="1"/>
    <col min="13826" max="13826" width="13.1093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6640625" style="1234" customWidth="1"/>
    <col min="13838" max="14080" width="9" style="1234"/>
    <col min="14081" max="14081" width="4.88671875" style="1234" customWidth="1"/>
    <col min="14082" max="14082" width="13.1093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6640625" style="1234" customWidth="1"/>
    <col min="14094" max="14336" width="9" style="1234"/>
    <col min="14337" max="14337" width="4.88671875" style="1234" customWidth="1"/>
    <col min="14338" max="14338" width="13.1093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6640625" style="1234" customWidth="1"/>
    <col min="14350" max="14592" width="9" style="1234"/>
    <col min="14593" max="14593" width="4.88671875" style="1234" customWidth="1"/>
    <col min="14594" max="14594" width="13.1093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6640625" style="1234" customWidth="1"/>
    <col min="14606" max="14848" width="9" style="1234"/>
    <col min="14849" max="14849" width="4.88671875" style="1234" customWidth="1"/>
    <col min="14850" max="14850" width="13.1093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6640625" style="1234" customWidth="1"/>
    <col min="14862" max="15104" width="9" style="1234"/>
    <col min="15105" max="15105" width="4.88671875" style="1234" customWidth="1"/>
    <col min="15106" max="15106" width="13.1093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6640625" style="1234" customWidth="1"/>
    <col min="15118" max="15360" width="9" style="1234"/>
    <col min="15361" max="15361" width="4.88671875" style="1234" customWidth="1"/>
    <col min="15362" max="15362" width="13.1093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6640625" style="1234" customWidth="1"/>
    <col min="15374" max="15616" width="9" style="1234"/>
    <col min="15617" max="15617" width="4.88671875" style="1234" customWidth="1"/>
    <col min="15618" max="15618" width="13.1093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6640625" style="1234" customWidth="1"/>
    <col min="15630" max="15872" width="9" style="1234"/>
    <col min="15873" max="15873" width="4.88671875" style="1234" customWidth="1"/>
    <col min="15874" max="15874" width="13.1093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6640625" style="1234" customWidth="1"/>
    <col min="15886" max="16128" width="9" style="1234"/>
    <col min="16129" max="16129" width="4.88671875" style="1234" customWidth="1"/>
    <col min="16130" max="16130" width="13.1093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6640625" style="1234" customWidth="1"/>
    <col min="16142" max="16384" width="9" style="1234"/>
  </cols>
  <sheetData>
    <row r="1" spans="1:257" s="1297" customFormat="1" ht="15" thickBot="1">
      <c r="A1" s="1292"/>
      <c r="B1" s="1293" t="s">
        <v>1172</v>
      </c>
      <c r="C1" s="1298">
        <f>项目基本情况!D2</f>
        <v>45558</v>
      </c>
      <c r="D1" s="1293" t="s">
        <v>1173</v>
      </c>
      <c r="E1" s="1299">
        <f>'数据-取费表'!B24</f>
        <v>0</v>
      </c>
      <c r="F1" s="1293" t="s">
        <v>1174</v>
      </c>
      <c r="G1" s="1300" t="e">
        <f ca="1">INDIRECT("d"&amp;$K$1)/100</f>
        <v>#VALUE!</v>
      </c>
      <c r="H1" s="1293" t="s">
        <v>1204</v>
      </c>
      <c r="I1" s="1300">
        <f ca="1">F4/100</f>
        <v>1.4999999999999999E-2</v>
      </c>
      <c r="J1" s="1294">
        <f>IF(C1&gt;C13,0,MATCH(C1,C$13:C$100,-1))+IF(SUMIF(C13:C100,C1,D13:D100)=0,13,12)</f>
        <v>13</v>
      </c>
      <c r="K1" s="1294">
        <f ca="1">MATCH(E1,C3:C7,1)+IF(SUMIF(C3:C7,E1,D3:D7)=0,2,1)</f>
        <v>2</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6.8">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30:B32"/>
  <sheetViews>
    <sheetView topLeftCell="A34" workbookViewId="0">
      <selection activeCell="H38" sqref="H38"/>
    </sheetView>
  </sheetViews>
  <sheetFormatPr defaultColWidth="8.88671875" defaultRowHeight="14.4"/>
  <sheetData>
    <row r="30" spans="1:2">
      <c r="A30" s="1341" t="s">
        <v>2931</v>
      </c>
      <c r="B30" s="1341"/>
    </row>
    <row r="31" spans="1:2">
      <c r="A31" s="1341" t="s">
        <v>2932</v>
      </c>
    </row>
    <row r="32" spans="1:2">
      <c r="A32" s="1341" t="s">
        <v>2933</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109375" style="1344" customWidth="1"/>
    <col min="10" max="16384" width="9" style="1344"/>
  </cols>
  <sheetData>
    <row r="1" spans="1:9" ht="16.2" thickBot="1">
      <c r="A1" s="3232" t="str">
        <f>IF(项目基本情况!D5="房地产市场价值","估价结果一览表","结果表-2")</f>
        <v>估价结果一览表</v>
      </c>
      <c r="B1" s="3232"/>
      <c r="C1" s="3232"/>
      <c r="D1" s="3232"/>
      <c r="E1" s="3232"/>
      <c r="F1" s="3232"/>
      <c r="G1" s="3232"/>
      <c r="H1" s="3232"/>
      <c r="I1" s="3232"/>
    </row>
    <row r="2" spans="1:9" ht="30" customHeight="1" thickTop="1">
      <c r="A2" s="3233" t="s">
        <v>1261</v>
      </c>
      <c r="B2" s="3233" t="s">
        <v>1262</v>
      </c>
      <c r="C2" s="3233" t="s">
        <v>1263</v>
      </c>
      <c r="D2" s="3233" t="str">
        <f>IF('数据-取费表'!E3="否",结果表!D119,'结果表 (1修多)'!D123)</f>
        <v>出让国有建设用地使用权价值</v>
      </c>
      <c r="E2" s="3233"/>
      <c r="F2" s="3233" t="s">
        <v>1264</v>
      </c>
      <c r="G2" s="3233"/>
      <c r="H2" s="3233" t="s">
        <v>1265</v>
      </c>
      <c r="I2" s="3233"/>
    </row>
    <row r="3" spans="1:9" ht="15.6">
      <c r="A3" s="3226"/>
      <c r="B3" s="3226"/>
      <c r="C3" s="3226"/>
      <c r="D3" s="818" t="s">
        <v>1266</v>
      </c>
      <c r="E3" s="818" t="s">
        <v>1267</v>
      </c>
      <c r="F3" s="818" t="s">
        <v>1266</v>
      </c>
      <c r="G3" s="818" t="s">
        <v>1268</v>
      </c>
      <c r="H3" s="818" t="s">
        <v>1266</v>
      </c>
      <c r="I3" s="818" t="s">
        <v>1268</v>
      </c>
    </row>
    <row r="4" spans="1:9" ht="46.5" customHeight="1">
      <c r="A4" s="818" t="str">
        <f>项目基本情况!I1</f>
        <v>北京市房地产</v>
      </c>
      <c r="B4" s="818">
        <f>结果表!B121</f>
        <v>0</v>
      </c>
      <c r="C4" s="818">
        <f>结果表!C121</f>
        <v>0</v>
      </c>
      <c r="D4" s="818" t="e">
        <f ca="1">IF('数据-取费表'!E3="否",结果表!D121,'结果表 (1修多)'!D125)</f>
        <v>#REF!</v>
      </c>
      <c r="E4" s="818" t="e">
        <f ca="1">IF('数据-取费表'!E3="否",结果表!E121,'结果表 (1修多)'!E125)</f>
        <v>#REF!</v>
      </c>
      <c r="F4" s="818" t="e">
        <f ca="1">IF('数据-取费表'!E3="否",结果表!F121,'结果表 (1修多)'!F125)</f>
        <v>#REF!</v>
      </c>
      <c r="G4" s="818" t="e">
        <f ca="1">IF('数据-取费表'!E3="否",结果表!G121,'结果表 (1修多)'!G125)</f>
        <v>#REF!</v>
      </c>
      <c r="H4" s="818" t="e">
        <f ca="1">IF('数据-取费表'!E3="否",结果表!H121,'结果表 (1修多)'!H125)</f>
        <v>#REF!</v>
      </c>
      <c r="I4" s="818" t="e">
        <f ca="1">IF('数据-取费表'!E3="否",结果表!I121,'结果表 (1修多)'!I125)</f>
        <v>#REF!</v>
      </c>
    </row>
    <row r="5" spans="1:9" ht="15">
      <c r="A5" s="3226" t="s">
        <v>1269</v>
      </c>
      <c r="B5" s="3226"/>
      <c r="C5" s="3226"/>
      <c r="D5" s="3227" t="e">
        <f ca="1">IF('数据-取费表'!E3="否",结果表!D122,'结果表 (1修多)'!D126)</f>
        <v>#REF!</v>
      </c>
      <c r="E5" s="3227"/>
      <c r="F5" s="3227" t="e">
        <f ca="1">IF('数据-取费表'!E3="否",结果表!F122,'结果表 (1修多)'!F126)</f>
        <v>#REF!</v>
      </c>
      <c r="G5" s="3227"/>
      <c r="H5" s="3227" t="e">
        <f ca="1">IF('数据-取费表'!E3="否",结果表!H122,'结果表 (1修多)'!H126)</f>
        <v>#REF!</v>
      </c>
      <c r="I5" s="3227"/>
    </row>
    <row r="6" spans="1:9" ht="15.6">
      <c r="A6" s="3228" t="str">
        <f>IF('数据-取费表'!E3="否",结果表!A123,'结果表 (1修多)'!A127)</f>
        <v>——</v>
      </c>
      <c r="B6" s="3228"/>
      <c r="C6" s="3228"/>
      <c r="D6" s="3228">
        <f>IF('数据-取费表'!E3="否",结果表!D123,'结果表 (1修多)'!D127)</f>
        <v>0</v>
      </c>
      <c r="E6" s="3228"/>
      <c r="F6" s="3228"/>
      <c r="G6" s="3228"/>
      <c r="H6" s="3228"/>
      <c r="I6" s="3228"/>
    </row>
    <row r="7" spans="1:9" ht="15">
      <c r="A7" s="3226" t="s">
        <v>1269</v>
      </c>
      <c r="B7" s="3226"/>
      <c r="C7" s="3226"/>
      <c r="D7" s="3234">
        <f>IF('数据-取费表'!E3="否",结果表!D124,'结果表 (1修多)'!D128)</f>
        <v>0</v>
      </c>
      <c r="E7" s="3235"/>
      <c r="F7" s="3235"/>
      <c r="G7" s="3235"/>
      <c r="H7" s="3235"/>
      <c r="I7" s="3236"/>
    </row>
    <row r="8" spans="1:9" ht="15.6">
      <c r="A8" s="3228" t="str">
        <f>IF('数据-取费表'!E3="否",结果表!A125,'结果表 (1修多)'!A129)</f>
        <v>——</v>
      </c>
      <c r="B8" s="3228"/>
      <c r="C8" s="3228"/>
      <c r="D8" s="3228" t="e">
        <f ca="1">IF('数据-取费表'!E3="否",结果表!D125,'结果表 (1修多)'!D129)</f>
        <v>#REF!</v>
      </c>
      <c r="E8" s="3228"/>
      <c r="F8" s="3228"/>
      <c r="G8" s="3228"/>
      <c r="H8" s="3228"/>
      <c r="I8" s="3228"/>
    </row>
    <row r="9" spans="1:9" ht="15">
      <c r="A9" s="3226" t="s">
        <v>1269</v>
      </c>
      <c r="B9" s="3226"/>
      <c r="C9" s="3226"/>
      <c r="D9" s="3227" t="e">
        <f ca="1">IF('数据-取费表'!E3="否",结果表!D126,'结果表 (1修多)'!D130)</f>
        <v>#REF!</v>
      </c>
      <c r="E9" s="3227"/>
      <c r="F9" s="3227"/>
      <c r="G9" s="3227"/>
      <c r="H9" s="3227"/>
      <c r="I9" s="3227"/>
    </row>
    <row r="10" spans="1:9" ht="15.6">
      <c r="A10" s="3228" t="str">
        <f>IF('数据-取费表'!E3="否",结果表!A127,'结果表 (1修多)'!A131)</f>
        <v>——</v>
      </c>
      <c r="B10" s="3228"/>
      <c r="C10" s="3228"/>
      <c r="D10" s="3228" t="str">
        <f>IF('数据-取费表'!E3="否",结果表!D127,'结果表 (1修多)'!D130)</f>
        <v>——</v>
      </c>
      <c r="E10" s="3228"/>
      <c r="F10" s="3228"/>
      <c r="G10" s="3228"/>
      <c r="H10" s="3228"/>
      <c r="I10" s="3228"/>
    </row>
    <row r="11" spans="1:9" ht="15">
      <c r="A11" s="3226" t="s">
        <v>1269</v>
      </c>
      <c r="B11" s="3226"/>
      <c r="C11" s="3226"/>
      <c r="D11" s="3227" t="str">
        <f>IF('数据-取费表'!E3="否",结果表!D128,'结果表 (1修多)'!D132)</f>
        <v>——</v>
      </c>
      <c r="E11" s="3227"/>
      <c r="F11" s="3227"/>
      <c r="G11" s="3227"/>
      <c r="H11" s="3227"/>
      <c r="I11" s="3227"/>
    </row>
    <row r="12" spans="1:9" ht="15.6">
      <c r="A12" s="3228" t="str">
        <f>IF('数据-取费表'!E3="否",结果表!A129,'结果表 (1修多)'!A133)</f>
        <v>——</v>
      </c>
      <c r="B12" s="3228"/>
      <c r="C12" s="3228"/>
      <c r="D12" s="3228" t="str">
        <f>IF('数据-取费表'!E3="否",结果表!D129,'结果表 (1修多)'!D133)</f>
        <v>——</v>
      </c>
      <c r="E12" s="3228"/>
      <c r="F12" s="3228"/>
      <c r="G12" s="3228"/>
      <c r="H12" s="3228"/>
      <c r="I12" s="3228"/>
    </row>
    <row r="13" spans="1:9" ht="15.6" thickBot="1">
      <c r="A13" s="3229" t="s">
        <v>1269</v>
      </c>
      <c r="B13" s="3229"/>
      <c r="C13" s="3229"/>
      <c r="D13" s="3230">
        <f>IF('数据-取费表'!E3="否",结果表!D130,'结果表 (1修多)'!D134)</f>
        <v>0</v>
      </c>
      <c r="E13" s="3230"/>
      <c r="F13" s="3230"/>
      <c r="G13" s="3230"/>
      <c r="H13" s="3230"/>
      <c r="I13" s="3230"/>
    </row>
    <row r="14" spans="1:9" ht="14.4" thickTop="1">
      <c r="A14" s="3231" t="str">
        <f>IF('数据-取费表'!E3="否",结果表!A131,'结果表 (1修多)'!A135)</f>
        <v>单位：平方米、万元、元/平方米（币种：人民币）</v>
      </c>
      <c r="B14" s="3231"/>
      <c r="C14" s="3231"/>
      <c r="D14" s="3231"/>
      <c r="E14" s="3231"/>
      <c r="F14" s="3231"/>
      <c r="G14" s="3231"/>
      <c r="H14" s="3231"/>
      <c r="I14" s="3231"/>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109375" style="1344" customWidth="1"/>
    <col min="4" max="4" width="21" style="1344" customWidth="1"/>
    <col min="5" max="16384" width="9" style="1344"/>
  </cols>
  <sheetData>
    <row r="1" spans="1:4" ht="17.399999999999999">
      <c r="A1" s="3238" t="s">
        <v>1282</v>
      </c>
      <c r="B1" s="3238"/>
      <c r="C1" s="3238"/>
      <c r="D1" s="3238"/>
    </row>
    <row r="2" spans="1:4" ht="17.399999999999999">
      <c r="A2" s="3237" t="s">
        <v>1271</v>
      </c>
      <c r="B2" s="3237"/>
      <c r="C2" s="3237"/>
      <c r="D2" s="3237"/>
    </row>
    <row r="3" spans="1:4" ht="17.399999999999999">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7.399999999999999">
      <c r="A7" s="3237" t="s">
        <v>1276</v>
      </c>
      <c r="B7" s="3237"/>
      <c r="C7" s="3237"/>
      <c r="D7" s="3237"/>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239" t="s">
        <v>2746</v>
      </c>
      <c r="B12" s="3240"/>
      <c r="C12" s="3240"/>
      <c r="D12" s="3240"/>
    </row>
    <row r="13" spans="1:4" ht="15.6">
      <c r="A13" s="323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40"/>
      <c r="C13" s="3240"/>
      <c r="D13" s="3240"/>
    </row>
    <row r="14" spans="1:4" ht="30" customHeight="1">
      <c r="A14" s="3239" t="str">
        <f>IF(项目基本情况!D4="抵押","3.抵押双方在办理抵押登记手续时，应使用本公司出具的正式《不动产估价报告书》，特提醒报告使用者注意。","——")</f>
        <v>——</v>
      </c>
      <c r="B14" s="3240"/>
      <c r="C14" s="3240"/>
      <c r="D14" s="3240"/>
    </row>
    <row r="15" spans="1:4" ht="15.75" customHeight="1">
      <c r="A15" s="3239" t="str">
        <f>IF(项目基本情况!D4="抵押","4.本次评估估价师所知悉的法定优先受偿款情况说明如下：","——")</f>
        <v>——</v>
      </c>
      <c r="B15" s="3240"/>
      <c r="C15" s="3240"/>
      <c r="D15" s="3240"/>
    </row>
    <row r="16" spans="1:4" ht="75" customHeight="1">
      <c r="A16" s="3239" t="str">
        <f>IF(项目基本情况!D4="抵押",CONCATENATE(项目基本情况!J13,项目基本情况!J14,项目基本情况!J15),"——")</f>
        <v>——</v>
      </c>
      <c r="B16" s="3239"/>
      <c r="C16" s="3239"/>
      <c r="D16" s="3239"/>
    </row>
    <row r="17" spans="1:4" ht="63.75" customHeight="1">
      <c r="A17" s="3241" t="s">
        <v>1284</v>
      </c>
      <c r="B17" s="3241"/>
      <c r="C17" s="3241"/>
      <c r="D17" s="3241"/>
    </row>
    <row r="18" spans="1:4" ht="15.75" customHeight="1">
      <c r="A18" s="3239" t="str">
        <f>IF(项目基本情况!D4="抵押",结果表!L106,"——")</f>
        <v>——</v>
      </c>
      <c r="B18" s="3239"/>
      <c r="C18" s="3239"/>
      <c r="D18" s="3239"/>
    </row>
    <row r="19" spans="1:4" ht="46.5" customHeight="1">
      <c r="A19" s="323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15">
      <c r="A20" s="3241" t="s">
        <v>2747</v>
      </c>
      <c r="B20" s="3241"/>
      <c r="C20" s="3241"/>
      <c r="D20" s="3241"/>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247" t="s">
        <v>1363</v>
      </c>
      <c r="B15" s="3242" t="s">
        <v>1364</v>
      </c>
      <c r="C15" s="3243"/>
    </row>
    <row r="16" spans="1:7" ht="14.4">
      <c r="A16" s="3248"/>
      <c r="B16" s="3242" t="s">
        <v>1365</v>
      </c>
      <c r="C16" s="3243"/>
    </row>
    <row r="17" spans="1:3" ht="14.4">
      <c r="A17" s="3248"/>
      <c r="B17" s="3242" t="s">
        <v>1366</v>
      </c>
      <c r="C17" s="3243"/>
    </row>
    <row r="18" spans="1:3" ht="14.4">
      <c r="A18" s="3249"/>
      <c r="B18" s="3244" t="s">
        <v>1367</v>
      </c>
      <c r="C18" s="3243"/>
    </row>
    <row r="19" spans="1:3" ht="14.4">
      <c r="A19" s="1412" t="s">
        <v>1368</v>
      </c>
      <c r="B19" s="1413"/>
      <c r="C19" s="1414"/>
    </row>
    <row r="20" spans="1:3" ht="14.4">
      <c r="A20" s="3245" t="s">
        <v>1369</v>
      </c>
      <c r="B20" s="3244" t="s">
        <v>1370</v>
      </c>
      <c r="C20" s="3243"/>
    </row>
    <row r="21" spans="1:3" ht="14.4">
      <c r="A21" s="3245"/>
      <c r="B21" s="3244" t="s">
        <v>1371</v>
      </c>
      <c r="C21" s="3243"/>
    </row>
    <row r="22" spans="1:3" ht="14.4">
      <c r="A22" s="3245"/>
      <c r="B22" s="3244" t="s">
        <v>1372</v>
      </c>
      <c r="C22" s="3243"/>
    </row>
    <row r="23" spans="1:3" ht="14.4">
      <c r="A23" s="3245"/>
      <c r="B23" s="3246" t="s">
        <v>1373</v>
      </c>
      <c r="C23" s="1415" t="s">
        <v>1374</v>
      </c>
    </row>
    <row r="24" spans="1:3" ht="14.4">
      <c r="A24" s="3245"/>
      <c r="B24" s="3246"/>
      <c r="C24" s="1415" t="s">
        <v>1375</v>
      </c>
    </row>
    <row r="25" spans="1:3" ht="14.4">
      <c r="A25" s="3245"/>
      <c r="B25" s="3246"/>
      <c r="C25" s="1415" t="s">
        <v>1376</v>
      </c>
    </row>
    <row r="26" spans="1:3" ht="14.4">
      <c r="A26" s="3245"/>
      <c r="B26" s="3246"/>
      <c r="C26" s="1415" t="s">
        <v>1377</v>
      </c>
    </row>
    <row r="27" spans="1:3" ht="14.4">
      <c r="A27" s="3245"/>
      <c r="B27" s="3246"/>
      <c r="C27" s="1415" t="s">
        <v>1378</v>
      </c>
    </row>
    <row r="28" spans="1:3" ht="14.4">
      <c r="A28" s="3245"/>
      <c r="B28" s="3246"/>
      <c r="C28" s="1415" t="s">
        <v>1379</v>
      </c>
    </row>
    <row r="29" spans="1:3" ht="14.4">
      <c r="A29" s="3245"/>
      <c r="B29" s="3246"/>
      <c r="C29" s="1415" t="s">
        <v>1380</v>
      </c>
    </row>
    <row r="30" spans="1:3" ht="14.4">
      <c r="A30" s="3245"/>
      <c r="B30" s="3246"/>
      <c r="C30" s="1415" t="s">
        <v>1381</v>
      </c>
    </row>
    <row r="31" spans="1:3" ht="14.4">
      <c r="A31" s="3245"/>
      <c r="B31" s="3246"/>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sqref="A1:XFD1048576"/>
    </sheetView>
  </sheetViews>
  <sheetFormatPr defaultColWidth="22.6640625" defaultRowHeight="24" customHeight="1"/>
  <cols>
    <col min="1" max="1" width="24.6640625" style="3062" customWidth="1"/>
    <col min="2" max="2" width="38.6640625" style="3062" customWidth="1"/>
    <col min="3" max="3" width="26" style="3062" customWidth="1"/>
    <col min="4" max="4" width="35" style="3062" hidden="1" customWidth="1"/>
    <col min="5" max="5" width="30.109375" style="3062" customWidth="1"/>
    <col min="6" max="6" width="35.44140625" style="3062" customWidth="1"/>
    <col min="7" max="7" width="31" style="3062" customWidth="1"/>
    <col min="8" max="8" width="37.44140625" style="3062" hidden="1" customWidth="1"/>
    <col min="9" max="16384" width="22.6640625" style="3062"/>
  </cols>
  <sheetData>
    <row r="1" spans="1:8" ht="24" customHeight="1">
      <c r="A1" s="3065"/>
      <c r="B1" s="3065"/>
      <c r="C1" s="3065"/>
      <c r="D1" s="3065"/>
      <c r="E1" s="3065"/>
      <c r="F1" s="3065"/>
      <c r="G1" s="3065"/>
      <c r="H1" s="3065"/>
    </row>
    <row r="2" spans="1:8" ht="24" customHeight="1">
      <c r="A2" s="3066" t="s">
        <v>746</v>
      </c>
      <c r="B2" s="3067">
        <f ca="1">TODAY()</f>
        <v>45803</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t="str">
        <f ca="1">IF(C4&lt;B2,"已过期",1119970066)</f>
        <v>已过期</v>
      </c>
      <c r="C4" s="3072">
        <v>44876</v>
      </c>
      <c r="D4" s="3083" t="str">
        <f ca="1">A4&amp;"（注册号："&amp;B4&amp;"）"</f>
        <v>梁津（注册号：已过期）</v>
      </c>
      <c r="E4" s="3085" t="s">
        <v>753</v>
      </c>
      <c r="F4" s="1301">
        <f ca="1">IF(G4&lt;B2,"已过期",96010014)</f>
        <v>96010014</v>
      </c>
      <c r="G4" s="3073">
        <v>47118</v>
      </c>
      <c r="H4" s="3074" t="str">
        <f ca="1">E4&amp;"（注册号："&amp;F4&amp;"）"</f>
        <v>梁津（注册号：96010014）</v>
      </c>
    </row>
    <row r="5" spans="1:8" ht="24" customHeight="1">
      <c r="A5" s="1301" t="s">
        <v>754</v>
      </c>
      <c r="B5" s="1301" t="str">
        <f ca="1">IF(C5&lt;B2,"已过期",1119970111)</f>
        <v>已过期</v>
      </c>
      <c r="C5" s="3072">
        <v>44876</v>
      </c>
      <c r="D5" s="3083" t="str">
        <f t="shared" ref="D5:D14" ca="1" si="0">A5&amp;"（注册号："&amp;B5&amp;"）"</f>
        <v>叶凌（注册号：已过期）</v>
      </c>
      <c r="E5" s="3085" t="s">
        <v>754</v>
      </c>
      <c r="F5" s="1301">
        <f ca="1">IF(G5&lt;B2,"已过期",94010078)</f>
        <v>94010078</v>
      </c>
      <c r="G5" s="3073">
        <v>46387</v>
      </c>
      <c r="H5" s="3074" t="str">
        <f t="shared" ref="H5:H16" ca="1" si="1">E5&amp;"（注册号："&amp;F5&amp;"）"</f>
        <v>叶凌（注册号：94010078）</v>
      </c>
    </row>
    <row r="6" spans="1:8" ht="24" customHeight="1">
      <c r="A6" s="1301" t="s">
        <v>755</v>
      </c>
      <c r="B6" s="1301" t="str">
        <f ca="1">IF(C6&lt;B2,"已过期",1120050019)</f>
        <v>已过期</v>
      </c>
      <c r="C6" s="3072">
        <v>44395</v>
      </c>
      <c r="D6" s="3083" t="str">
        <f t="shared" ca="1" si="0"/>
        <v>王鹏（注册号：已过期）</v>
      </c>
      <c r="E6" s="3085" t="s">
        <v>755</v>
      </c>
      <c r="F6" s="1301">
        <f ca="1">IF(G6&lt;B2,"已过期",2002110030)</f>
        <v>2002110030</v>
      </c>
      <c r="G6" s="3073">
        <v>46387</v>
      </c>
      <c r="H6" s="3074" t="str">
        <f t="shared" ca="1" si="1"/>
        <v>王鹏（注册号：2002110030）</v>
      </c>
    </row>
    <row r="7" spans="1:8" ht="24" customHeight="1">
      <c r="A7" s="1301" t="s">
        <v>756</v>
      </c>
      <c r="B7" s="1301" t="str">
        <f ca="1">IF(C7&lt;B2,"已过期",1120000080)</f>
        <v>已过期</v>
      </c>
      <c r="C7" s="3072">
        <v>44876</v>
      </c>
      <c r="D7" s="3083" t="str">
        <f t="shared" ca="1" si="0"/>
        <v>欧红伟（注册号：已过期）</v>
      </c>
      <c r="E7" s="3085" t="s">
        <v>756</v>
      </c>
      <c r="F7" s="1301">
        <f ca="1">IF(G7&lt;B2,"已过期",2000110082)</f>
        <v>2000110082</v>
      </c>
      <c r="G7" s="3073">
        <v>46387</v>
      </c>
      <c r="H7" s="3074" t="str">
        <f t="shared" ca="1" si="1"/>
        <v>欧红伟（注册号：2000110082）</v>
      </c>
    </row>
    <row r="8" spans="1:8" ht="24" customHeight="1">
      <c r="A8" s="1301" t="s">
        <v>757</v>
      </c>
      <c r="B8" s="1301" t="str">
        <f ca="1">IF(C8&lt;B2,"已过期",1419970001)</f>
        <v>已过期</v>
      </c>
      <c r="C8" s="3072">
        <v>44899</v>
      </c>
      <c r="D8" s="3083" t="str">
        <f t="shared" ca="1" si="0"/>
        <v>吴薇（注册号：已过期）</v>
      </c>
      <c r="E8" s="3085" t="s">
        <v>757</v>
      </c>
      <c r="F8" s="1301">
        <f ca="1">IF(G8&lt;B2,"已过期",2002110125)</f>
        <v>2002110125</v>
      </c>
      <c r="G8" s="3073">
        <v>47118</v>
      </c>
      <c r="H8" s="3074" t="str">
        <f t="shared" ca="1" si="1"/>
        <v>吴薇（注册号：2002110125）</v>
      </c>
    </row>
    <row r="9" spans="1:8" ht="24" customHeight="1">
      <c r="A9" s="1301" t="s">
        <v>758</v>
      </c>
      <c r="B9" s="1301" t="str">
        <f ca="1">IF(C9&lt;B2,"已过期",1120060040)</f>
        <v>已过期</v>
      </c>
      <c r="C9" s="3075">
        <v>44554</v>
      </c>
      <c r="D9" s="3083" t="str">
        <f t="shared" ca="1" si="0"/>
        <v>陈颖（注册号：已过期）</v>
      </c>
      <c r="E9" s="3085" t="s">
        <v>758</v>
      </c>
      <c r="F9" s="1301">
        <f ca="1">IF(G9&lt;B2,"已过期",2004110096)</f>
        <v>2004110096</v>
      </c>
      <c r="G9" s="3073">
        <v>47118</v>
      </c>
      <c r="H9" s="3074" t="str">
        <f t="shared" ca="1" si="1"/>
        <v>陈颖（注册号：2004110096）</v>
      </c>
    </row>
    <row r="10" spans="1:8" ht="24" customHeight="1">
      <c r="A10" s="1301" t="s">
        <v>759</v>
      </c>
      <c r="B10" s="1301" t="str">
        <f ca="1">IF(C10&lt;B2,"已过期",1120100036)</f>
        <v>已过期</v>
      </c>
      <c r="C10" s="3075">
        <v>44675</v>
      </c>
      <c r="D10" s="3083" t="str">
        <f t="shared" ca="1" si="0"/>
        <v>崔锴（注册号：已过期）</v>
      </c>
      <c r="E10" s="3085" t="s">
        <v>759</v>
      </c>
      <c r="F10" s="1301">
        <f ca="1">IF(G10&lt;B2,"已过期",2010110070)</f>
        <v>2010110070</v>
      </c>
      <c r="G10" s="3073">
        <v>47907</v>
      </c>
      <c r="H10" s="3074" t="str">
        <f t="shared" ca="1" si="1"/>
        <v>崔锴（注册号：2010110070）</v>
      </c>
    </row>
    <row r="11" spans="1:8" ht="24" customHeight="1">
      <c r="A11" s="1301" t="s">
        <v>760</v>
      </c>
      <c r="B11" s="1301" t="str">
        <f ca="1">IF(C11&lt;B2,"已过期",1120070131)</f>
        <v>已过期</v>
      </c>
      <c r="C11" s="3072">
        <v>44849</v>
      </c>
      <c r="D11" s="3083" t="str">
        <f t="shared" ca="1" si="0"/>
        <v>郑燚（注册号：已过期）</v>
      </c>
      <c r="E11" s="3085" t="s">
        <v>760</v>
      </c>
      <c r="F11" s="1301">
        <f ca="1">IF(G11&lt;B2,"已过期",2014110011)</f>
        <v>2014110011</v>
      </c>
      <c r="G11" s="3073">
        <v>49302</v>
      </c>
      <c r="H11" s="3074" t="str">
        <f t="shared" ca="1" si="1"/>
        <v>郑燚（注册号：2014110011）</v>
      </c>
    </row>
    <row r="12" spans="1:8" ht="24" customHeight="1">
      <c r="A12" s="1301" t="s">
        <v>2721</v>
      </c>
      <c r="B12" s="1301" t="str">
        <f ca="1">IF(C12&lt;B2,"已过期",1120040230)</f>
        <v>已过期</v>
      </c>
      <c r="C12" s="3075">
        <v>44864</v>
      </c>
      <c r="D12" s="3083" t="str">
        <f t="shared" ca="1" si="0"/>
        <v>苏海（注册号：已过期）</v>
      </c>
      <c r="E12" s="3085" t="s">
        <v>2721</v>
      </c>
      <c r="F12" s="1301">
        <f ca="1">IF(G12&lt;B2,"已过期",98030020)</f>
        <v>98030020</v>
      </c>
      <c r="G12" s="3073">
        <v>47118</v>
      </c>
      <c r="H12" s="3074" t="str">
        <f t="shared" ca="1" si="1"/>
        <v>苏海（注册号：98030020）</v>
      </c>
    </row>
    <row r="13" spans="1:8" ht="24" customHeight="1">
      <c r="A13" s="1301" t="s">
        <v>761</v>
      </c>
      <c r="B13" s="1301" t="str">
        <f ca="1">IF(C13&lt;B2,"已过期",1120020033)</f>
        <v>已过期</v>
      </c>
      <c r="C13" s="3072">
        <v>44339</v>
      </c>
      <c r="D13" s="3083" t="str">
        <f t="shared" ca="1" si="0"/>
        <v>刘敬东（注册号：已过期）</v>
      </c>
      <c r="E13" s="3085" t="s">
        <v>761</v>
      </c>
      <c r="F13" s="1301">
        <f ca="1">IF(G13&lt;B2,"已过期",2000110137)</f>
        <v>2000110137</v>
      </c>
      <c r="G13" s="3073">
        <v>46387</v>
      </c>
      <c r="H13" s="3074" t="str">
        <f t="shared" ca="1" si="1"/>
        <v>刘敬东（注册号：2000110137）</v>
      </c>
    </row>
    <row r="14" spans="1:8" ht="24" customHeight="1">
      <c r="A14" s="1301" t="s">
        <v>2739</v>
      </c>
      <c r="B14" s="1301" t="str">
        <f ca="1">IF(C14&lt;B2,"已过期",1119980106)</f>
        <v>已过期</v>
      </c>
      <c r="C14" s="3075">
        <v>44969</v>
      </c>
      <c r="D14" s="3083" t="str">
        <f t="shared" ca="1" si="0"/>
        <v>刘俊财（注册号：已过期）</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50" t="s">
        <v>762</v>
      </c>
      <c r="B17" s="3250"/>
      <c r="C17" s="3250"/>
      <c r="D17" s="3250"/>
      <c r="E17" s="3250"/>
      <c r="F17" s="3250"/>
      <c r="G17" s="3250"/>
      <c r="H17" s="3250"/>
    </row>
    <row r="18" spans="1:8" ht="24" customHeight="1">
      <c r="A18" s="3251" t="s">
        <v>763</v>
      </c>
      <c r="B18" s="3251"/>
      <c r="C18" s="3251"/>
      <c r="D18" s="3071"/>
      <c r="E18" s="3252" t="s">
        <v>764</v>
      </c>
      <c r="F18" s="3251"/>
      <c r="G18" s="3251"/>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3" priority="108">
      <formula>AND($C4-TODAY()&lt;30,TODAY()&lt;$C4)</formula>
    </cfRule>
  </conditionalFormatting>
  <conditionalFormatting sqref="C20:D20">
    <cfRule type="expression" dxfId="252" priority="107">
      <formula>AND($C20-TODAY()&lt;30,TODAY()&lt;$C20)</formula>
    </cfRule>
  </conditionalFormatting>
  <conditionalFormatting sqref="C20:D20 G4 C4:D5 C13:D13">
    <cfRule type="cellIs" dxfId="251" priority="109" stopIfTrue="1" operator="lessThan">
      <formula>$B$2</formula>
    </cfRule>
  </conditionalFormatting>
  <conditionalFormatting sqref="G5 G7 G9">
    <cfRule type="cellIs" dxfId="250" priority="103" stopIfTrue="1" operator="lessThan">
      <formula>$B$2</formula>
    </cfRule>
  </conditionalFormatting>
  <conditionalFormatting sqref="C6:D6 D14 D16">
    <cfRule type="expression" dxfId="249" priority="101">
      <formula>AND($C6-TODAY()&lt;30,TODAY()&lt;$C6)</formula>
    </cfRule>
  </conditionalFormatting>
  <conditionalFormatting sqref="G6 G8 G10 C6:D6 D7:D12 D14 D16">
    <cfRule type="cellIs" dxfId="248" priority="102" stopIfTrue="1" operator="lessThan">
      <formula>$B$2</formula>
    </cfRule>
  </conditionalFormatting>
  <conditionalFormatting sqref="D12">
    <cfRule type="expression" dxfId="247" priority="95">
      <formula>AND($C12-TODAY()&lt;30,TODAY()&lt;$C12)</formula>
    </cfRule>
  </conditionalFormatting>
  <conditionalFormatting sqref="D12">
    <cfRule type="cellIs" dxfId="246" priority="96" stopIfTrue="1" operator="lessThan">
      <formula>$B$2</formula>
    </cfRule>
  </conditionalFormatting>
  <conditionalFormatting sqref="C13:D13">
    <cfRule type="expression" dxfId="245" priority="87">
      <formula>AND($C13-TODAY()&lt;30,TODAY()&lt;$C13)</formula>
    </cfRule>
  </conditionalFormatting>
  <conditionalFormatting sqref="C13:D13">
    <cfRule type="cellIs" dxfId="244" priority="88" stopIfTrue="1" operator="lessThan">
      <formula>$B$2</formula>
    </cfRule>
  </conditionalFormatting>
  <conditionalFormatting sqref="D14">
    <cfRule type="expression" dxfId="243" priority="77">
      <formula>AND($C14-TODAY()&lt;30,TODAY()&lt;$C14)</formula>
    </cfRule>
  </conditionalFormatting>
  <conditionalFormatting sqref="D14">
    <cfRule type="cellIs" dxfId="242" priority="78" stopIfTrue="1" operator="lessThan">
      <formula>$B$2</formula>
    </cfRule>
  </conditionalFormatting>
  <conditionalFormatting sqref="G13">
    <cfRule type="cellIs" dxfId="241" priority="73" stopIfTrue="1" operator="lessThan">
      <formula>$B$2</formula>
    </cfRule>
  </conditionalFormatting>
  <conditionalFormatting sqref="B4:B11 F4:F11 B13 F13:F14">
    <cfRule type="cellIs" dxfId="240" priority="70" stopIfTrue="1" operator="equal">
      <formula>"已过期"</formula>
    </cfRule>
  </conditionalFormatting>
  <conditionalFormatting sqref="G20">
    <cfRule type="expression" dxfId="239" priority="68">
      <formula>AND($E20-TODAY()&lt;30,TODAY()&lt;$E20)</formula>
    </cfRule>
  </conditionalFormatting>
  <conditionalFormatting sqref="G20">
    <cfRule type="cellIs" dxfId="238" priority="69" stopIfTrue="1" operator="lessThan">
      <formula>$B$2</formula>
    </cfRule>
  </conditionalFormatting>
  <conditionalFormatting sqref="C7">
    <cfRule type="expression" dxfId="237" priority="60">
      <formula>AND($C7-TODAY()&lt;30,TODAY()&lt;$C7)</formula>
    </cfRule>
  </conditionalFormatting>
  <conditionalFormatting sqref="C7">
    <cfRule type="cellIs" dxfId="236" priority="61" stopIfTrue="1" operator="lessThan">
      <formula>$B$2</formula>
    </cfRule>
  </conditionalFormatting>
  <conditionalFormatting sqref="C8">
    <cfRule type="expression" dxfId="235" priority="58">
      <formula>AND($C8-TODAY()&lt;30,TODAY()&lt;$C8)</formula>
    </cfRule>
  </conditionalFormatting>
  <conditionalFormatting sqref="C8">
    <cfRule type="cellIs" dxfId="234" priority="59" stopIfTrue="1" operator="lessThan">
      <formula>$B$2</formula>
    </cfRule>
  </conditionalFormatting>
  <conditionalFormatting sqref="C11">
    <cfRule type="expression" dxfId="233" priority="56">
      <formula>AND($C11-TODAY()&lt;30,TODAY()&lt;$C11)</formula>
    </cfRule>
  </conditionalFormatting>
  <conditionalFormatting sqref="C11">
    <cfRule type="cellIs" dxfId="232" priority="57" stopIfTrue="1" operator="lessThan">
      <formula>$B$2</formula>
    </cfRule>
  </conditionalFormatting>
  <conditionalFormatting sqref="A16:C16">
    <cfRule type="cellIs" dxfId="231" priority="46" stopIfTrue="1" operator="equal">
      <formula>"已过期"</formula>
    </cfRule>
  </conditionalFormatting>
  <conditionalFormatting sqref="E16:G16">
    <cfRule type="cellIs" dxfId="230" priority="45" stopIfTrue="1" operator="equal">
      <formula>"已过期"</formula>
    </cfRule>
  </conditionalFormatting>
  <conditionalFormatting sqref="G11">
    <cfRule type="cellIs" dxfId="229" priority="44" stopIfTrue="1" operator="lessThan">
      <formula>$B$2</formula>
    </cfRule>
  </conditionalFormatting>
  <conditionalFormatting sqref="F12">
    <cfRule type="cellIs" dxfId="228" priority="35" stopIfTrue="1" operator="equal">
      <formula>"已过期"</formula>
    </cfRule>
  </conditionalFormatting>
  <conditionalFormatting sqref="G12">
    <cfRule type="cellIs" dxfId="227" priority="34" stopIfTrue="1" operator="lessThan">
      <formula>$B$2</formula>
    </cfRule>
  </conditionalFormatting>
  <conditionalFormatting sqref="C12">
    <cfRule type="cellIs" dxfId="226" priority="33" stopIfTrue="1" operator="lessThan">
      <formula>$B$2</formula>
    </cfRule>
  </conditionalFormatting>
  <conditionalFormatting sqref="C12">
    <cfRule type="expression" dxfId="225" priority="30">
      <formula>AND($C12-TODAY()&lt;30,TODAY()&lt;$C12)</formula>
    </cfRule>
  </conditionalFormatting>
  <conditionalFormatting sqref="C12">
    <cfRule type="cellIs" dxfId="224" priority="31" stopIfTrue="1" operator="lessThan">
      <formula>$B$2</formula>
    </cfRule>
  </conditionalFormatting>
  <conditionalFormatting sqref="B12">
    <cfRule type="cellIs" dxfId="223" priority="27"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C14">
    <cfRule type="expression" dxfId="216" priority="14">
      <formula>AND($C14-TODAY()&lt;30,TODAY()&lt;$C14)</formula>
    </cfRule>
  </conditionalFormatting>
  <conditionalFormatting sqref="C14">
    <cfRule type="cellIs" dxfId="215" priority="15" stopIfTrue="1" operator="lessThan">
      <formula>$B$2</formula>
    </cfRule>
  </conditionalFormatting>
  <conditionalFormatting sqref="B14">
    <cfRule type="cellIs" dxfId="214" priority="13" stopIfTrue="1" operator="equal">
      <formula>"已过期"</formula>
    </cfRule>
  </conditionalFormatting>
  <conditionalFormatting sqref="G14">
    <cfRule type="cellIs" dxfId="213" priority="12"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D15">
    <cfRule type="expression" dxfId="210" priority="8">
      <formula>AND($C15-TODAY()&lt;30,TODAY()&lt;$C15)</formula>
    </cfRule>
  </conditionalFormatting>
  <conditionalFormatting sqref="D15">
    <cfRule type="cellIs" dxfId="209" priority="9" stopIfTrue="1" operator="lessThan">
      <formula>$B$2</formula>
    </cfRule>
  </conditionalFormatting>
  <conditionalFormatting sqref="F15">
    <cfRule type="cellIs" dxfId="208" priority="7" stopIfTrue="1" operator="equal">
      <formula>"已过期"</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C15">
    <cfRule type="expression" dxfId="205" priority="3">
      <formula>AND($C15-TODAY()&lt;30,TODAY()&lt;$C15)</formula>
    </cfRule>
  </conditionalFormatting>
  <conditionalFormatting sqref="C15">
    <cfRule type="cellIs" dxfId="204" priority="4" stopIfTrue="1" operator="lessThan">
      <formula>$B$2</formula>
    </cfRule>
  </conditionalFormatting>
  <conditionalFormatting sqref="B15">
    <cfRule type="cellIs" dxfId="203" priority="2" stopIfTrue="1" operator="equal">
      <formula>"已过期"</formula>
    </cfRule>
  </conditionalFormatting>
  <conditionalFormatting sqref="G15">
    <cfRule type="cellIs" dxfId="202"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664062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253"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本次估价的“房地产价值”是指在正常市场情况下，在价值时点2024年9月23日，估价对象规划用途为，假定未设立法定优先受偿款下的房地产市场价值。</v>
      </c>
    </row>
    <row r="54" spans="1:4" ht="14.4">
      <c r="A54" s="3253"/>
      <c r="B54" s="9" t="s">
        <v>1519</v>
      </c>
      <c r="C54" s="9" t="s">
        <v>1520</v>
      </c>
    </row>
    <row r="55" spans="1:4" ht="14.4">
      <c r="A55" s="3253"/>
      <c r="B55" s="9" t="s">
        <v>1521</v>
      </c>
      <c r="C55" s="9" t="s">
        <v>1522</v>
      </c>
    </row>
    <row r="56" spans="1:4" ht="14.4">
      <c r="A56" s="3253"/>
      <c r="B56" s="9" t="s">
        <v>1523</v>
      </c>
      <c r="C56" s="9" t="s">
        <v>1524</v>
      </c>
    </row>
    <row r="57" spans="1:4" ht="14.4">
      <c r="A57" s="3253"/>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176</vt:i4>
      </vt:variant>
    </vt:vector>
  </HeadingPairs>
  <TitlesOfParts>
    <vt:vector size="22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商品房</vt:lpstr>
      <vt:lpstr>Sheet3</vt:lpstr>
      <vt:lpstr>比较法-商业</vt:lpstr>
      <vt:lpstr>Sheet4</vt:lpstr>
      <vt:lpstr>比较法-地下车位</vt:lpstr>
      <vt:lpstr>Sheet5</vt:lpstr>
      <vt:lpstr>Sheet1</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'比较法-办公'!Print_Area</vt:lpstr>
      <vt:lpstr>'比较法-仓储'!Print_Area</vt:lpstr>
      <vt:lpstr>'比较法-车位'!Print_Area</vt:lpstr>
      <vt:lpstr>'比较法-地下车位'!Print_Area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'比较法-地下车位'!住宅朝向</vt:lpstr>
      <vt:lpstr>住宅朝向</vt:lpstr>
      <vt:lpstr>'比较法-地下车位'!住宅房型</vt:lpstr>
      <vt:lpstr>住宅房型</vt:lpstr>
      <vt:lpstr>'比较法-地下车位'!住宅公共部分装修</vt:lpstr>
      <vt:lpstr>住宅公共部分装修</vt:lpstr>
      <vt:lpstr>'比较法-地下车位'!住宅基础设施水平</vt:lpstr>
      <vt:lpstr>住宅基础设施水平</vt:lpstr>
      <vt:lpstr>'比较法-地下车位'!住宅建筑结构</vt:lpstr>
      <vt:lpstr>住宅建筑结构</vt:lpstr>
      <vt:lpstr>'比较法-地下车位'!住宅建筑类型</vt:lpstr>
      <vt:lpstr>住宅建筑类型</vt:lpstr>
      <vt:lpstr>'比较法-地下车位'!住宅建筑品质</vt:lpstr>
      <vt:lpstr>住宅建筑品质</vt:lpstr>
      <vt:lpstr>'比较法-地下车位'!住宅交易情况</vt:lpstr>
      <vt:lpstr>住宅交易情况</vt:lpstr>
      <vt:lpstr>'比较法-地下车位'!住宅楼层</vt:lpstr>
      <vt:lpstr>住宅楼层</vt:lpstr>
      <vt:lpstr>'比较法-地下车位'!住宅内部装修</vt:lpstr>
      <vt:lpstr>住宅内部装修</vt:lpstr>
      <vt:lpstr>'比较法-地下车位'!住宅物业管理</vt:lpstr>
      <vt:lpstr>住宅物业管理</vt:lpstr>
      <vt:lpstr>'比较法-地下车位'!住宅用途</vt:lpstr>
      <vt:lpstr>住宅用途</vt:lpstr>
      <vt:lpstr>'比较法-地下车位'!住宅主力户型面积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2020-08-03T08:20:51Z</cp:lastPrinted>
  <dcterms:created xsi:type="dcterms:W3CDTF">2015-07-13T07:17:23Z</dcterms:created>
  <dcterms:modified xsi:type="dcterms:W3CDTF">2025-05-26T05:53:49Z</dcterms:modified>
</cp:coreProperties>
</file>