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4" i="1" l="1"/>
  <c r="L14" i="1"/>
  <c r="AL13" i="3"/>
  <c r="K13" i="3"/>
  <c r="I13" i="3"/>
  <c r="Y34" i="1" l="1"/>
  <c r="Y32" i="1"/>
  <c r="V31" i="1" l="1"/>
  <c r="AB32" i="1"/>
  <c r="V33" i="1"/>
  <c r="AB33" i="1"/>
  <c r="AB34" i="1"/>
  <c r="V35" i="1"/>
  <c r="AB35" i="1"/>
  <c r="Z23" i="1" s="1"/>
  <c r="AB36" i="1"/>
  <c r="Z24" i="1" s="1"/>
  <c r="I33" i="33"/>
  <c r="G33" i="33"/>
  <c r="E33" i="33"/>
  <c r="I5" i="33"/>
  <c r="G5" i="33"/>
  <c r="E5" i="33"/>
  <c r="M23" i="80"/>
  <c r="G47" i="33" s="1"/>
  <c r="M24" i="80"/>
  <c r="I47" i="33" s="1"/>
  <c r="M22" i="80"/>
  <c r="E47" i="33" s="1"/>
  <c r="AA33" i="1" l="1"/>
  <c r="Z22" i="1" s="1"/>
  <c r="AA31" i="1"/>
  <c r="V36" i="1"/>
  <c r="C33" i="33"/>
  <c r="E93" i="33"/>
  <c r="Z21" i="1" l="1"/>
  <c r="V37" i="1"/>
  <c r="AB21" i="1" l="1"/>
  <c r="I12" i="80" l="1"/>
  <c r="H12" i="80"/>
  <c r="V24" i="1" l="1"/>
  <c r="AA24" i="1" s="1"/>
  <c r="V23" i="1"/>
  <c r="AA23" i="1" s="1"/>
  <c r="V22" i="1"/>
  <c r="AA22" i="1" s="1"/>
  <c r="V21" i="1"/>
  <c r="U3" i="43"/>
  <c r="U2" i="43"/>
  <c r="D38" i="43"/>
  <c r="D37" i="43"/>
  <c r="G19" i="6"/>
  <c r="F19" i="6"/>
  <c r="N6" i="1"/>
  <c r="Y6" i="1" s="1"/>
  <c r="C19" i="6"/>
  <c r="C14" i="3"/>
  <c r="C15" i="3"/>
  <c r="C16" i="3"/>
  <c r="C17" i="3"/>
  <c r="C18" i="3"/>
  <c r="C19" i="3"/>
  <c r="C20" i="3"/>
  <c r="C21" i="3"/>
  <c r="C22" i="3"/>
  <c r="C23" i="3"/>
  <c r="C24" i="3"/>
  <c r="C25" i="3"/>
  <c r="C26" i="3"/>
  <c r="C13" i="3"/>
  <c r="D18" i="80"/>
  <c r="K26" i="3" s="1"/>
  <c r="D13" i="80"/>
  <c r="I21" i="3" s="1"/>
  <c r="D14" i="80"/>
  <c r="I22" i="3" s="1"/>
  <c r="D15" i="80"/>
  <c r="I23" i="3" s="1"/>
  <c r="D16" i="80"/>
  <c r="I24" i="3" s="1"/>
  <c r="D17" i="80"/>
  <c r="I25" i="3" s="1"/>
  <c r="D12" i="80"/>
  <c r="I20" i="3" s="1"/>
  <c r="D3" i="4"/>
  <c r="V25" i="1" l="1"/>
  <c r="AD25" i="1" s="1"/>
  <c r="AA21" i="1"/>
  <c r="AA25" i="1"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AH10" i="71"/>
  <c r="AG10" i="71"/>
  <c r="AE10" i="71"/>
  <c r="AF10" i="71" s="1"/>
  <c r="AD10" i="71"/>
  <c r="Q10" i="71"/>
  <c r="P10" i="71"/>
  <c r="O10" i="71"/>
  <c r="N10" i="71"/>
  <c r="E32" i="77" l="1"/>
  <c r="R5" i="77"/>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X38" i="71" s="1"/>
  <c r="Q37" i="71"/>
  <c r="F38" i="71" s="1"/>
  <c r="P37" i="71"/>
  <c r="O37" i="71"/>
  <c r="N37" i="71"/>
  <c r="X37" i="71" s="1"/>
  <c r="D37" i="71"/>
  <c r="Q36" i="71"/>
  <c r="P36" i="71"/>
  <c r="AA36" i="71" s="1"/>
  <c r="O36" i="71"/>
  <c r="N36" i="71"/>
  <c r="Q35" i="71"/>
  <c r="P35" i="71"/>
  <c r="O35" i="71"/>
  <c r="Y35" i="71"/>
  <c r="Z35" i="71" s="1"/>
  <c r="N35" i="71"/>
  <c r="Q34" i="71"/>
  <c r="P34" i="71"/>
  <c r="O34" i="71"/>
  <c r="Y34" i="71" s="1"/>
  <c r="Z34" i="71" s="1"/>
  <c r="N34" i="71"/>
  <c r="Q33" i="71"/>
  <c r="F34" i="71" s="1"/>
  <c r="P33" i="71"/>
  <c r="O33" i="71"/>
  <c r="Y33" i="71" s="1"/>
  <c r="Z33" i="71" s="1"/>
  <c r="N33" i="71"/>
  <c r="D33" i="71"/>
  <c r="Q32" i="71"/>
  <c r="P32" i="71"/>
  <c r="AA32" i="71" s="1"/>
  <c r="O32" i="71"/>
  <c r="N32" i="71"/>
  <c r="Q31" i="71"/>
  <c r="P31" i="71"/>
  <c r="O31" i="71"/>
  <c r="Y31" i="71"/>
  <c r="Z31" i="71" s="1"/>
  <c r="N31" i="71"/>
  <c r="Q30" i="71"/>
  <c r="AB30" i="71" s="1"/>
  <c r="P30" i="71"/>
  <c r="O30" i="71"/>
  <c r="Y30" i="71" s="1"/>
  <c r="Z30" i="71" s="1"/>
  <c r="N30" i="71"/>
  <c r="Q29" i="71"/>
  <c r="P29" i="71"/>
  <c r="O29" i="71"/>
  <c r="Y29" i="71" s="1"/>
  <c r="Z29" i="71" s="1"/>
  <c r="N29" i="71"/>
  <c r="D29" i="71"/>
  <c r="O28" i="71"/>
  <c r="C28" i="71" s="1"/>
  <c r="N28" i="71"/>
  <c r="B28" i="71" s="1"/>
  <c r="B30" i="71"/>
  <c r="B31" i="71" s="1"/>
  <c r="B32" i="71" s="1"/>
  <c r="S32" i="71" s="1"/>
  <c r="E30" i="71"/>
  <c r="E31" i="71" s="1"/>
  <c r="E32" i="71" s="1"/>
  <c r="U32" i="71" s="1"/>
  <c r="B34" i="71"/>
  <c r="B35" i="71" s="1"/>
  <c r="B36" i="71" s="1"/>
  <c r="S36" i="71" s="1"/>
  <c r="B38" i="71"/>
  <c r="B39" i="71" s="1"/>
  <c r="B40" i="71" s="1"/>
  <c r="S40" i="71" s="1"/>
  <c r="E38" i="71"/>
  <c r="E39" i="71" s="1"/>
  <c r="E40" i="71" s="1"/>
  <c r="U40" i="71" s="1"/>
  <c r="AA37" i="71"/>
  <c r="N68" i="71"/>
  <c r="E34" i="71"/>
  <c r="E35" i="71" s="1"/>
  <c r="E36" i="71" s="1"/>
  <c r="U36" i="71" s="1"/>
  <c r="X31" i="71"/>
  <c r="C34" i="71"/>
  <c r="C35" i="71" s="1"/>
  <c r="C36" i="71" s="1"/>
  <c r="X34" i="71"/>
  <c r="X35" i="71"/>
  <c r="X36" i="71"/>
  <c r="C38" i="71"/>
  <c r="C39" i="71" s="1"/>
  <c r="Y37" i="71"/>
  <c r="Z37" i="71" s="1"/>
  <c r="AB37" i="71"/>
  <c r="AA38" i="71"/>
  <c r="F51" i="71"/>
  <c r="F52" i="71"/>
  <c r="V52" i="71" s="1"/>
  <c r="Y26" i="71"/>
  <c r="Z26" i="71" s="1"/>
  <c r="Y28" i="71"/>
  <c r="Z28" i="71" s="1"/>
  <c r="X25" i="71"/>
  <c r="D38" i="71"/>
  <c r="D50" i="71"/>
  <c r="P28" i="71"/>
  <c r="AA25" i="71" s="1"/>
  <c r="E55" i="71"/>
  <c r="E56" i="71" s="1"/>
  <c r="U56" i="71" s="1"/>
  <c r="E64" i="71"/>
  <c r="U64" i="71" s="1"/>
  <c r="Q65" i="71"/>
  <c r="U68" i="71"/>
  <c r="E67" i="71"/>
  <c r="E66" i="71" s="1"/>
  <c r="Q28" i="71"/>
  <c r="D54" i="71"/>
  <c r="C63" i="71"/>
  <c r="C64" i="71" s="1"/>
  <c r="D64" i="71" s="1"/>
  <c r="D62" i="71"/>
  <c r="Q67" i="71"/>
  <c r="T68" i="71"/>
  <c r="O68" i="71"/>
  <c r="D68" i="71"/>
  <c r="C67" i="71"/>
  <c r="O67" i="71" s="1"/>
  <c r="Q68" i="71"/>
  <c r="C71" i="71"/>
  <c r="C70" i="71" s="1"/>
  <c r="D70" i="71" s="1"/>
  <c r="E71" i="71"/>
  <c r="E70" i="71" s="1"/>
  <c r="D72" i="71"/>
  <c r="C75" i="71"/>
  <c r="C74" i="71" s="1"/>
  <c r="D74" i="71" s="1"/>
  <c r="E75" i="71"/>
  <c r="E74" i="71" s="1"/>
  <c r="D76" i="71"/>
  <c r="C79" i="71"/>
  <c r="D79" i="71" s="1"/>
  <c r="E79" i="71"/>
  <c r="E78" i="71" s="1"/>
  <c r="D80" i="71"/>
  <c r="C83" i="71"/>
  <c r="D83" i="71" s="1"/>
  <c r="C87" i="71"/>
  <c r="D87" i="71" s="1"/>
  <c r="AB26" i="71"/>
  <c r="AB28" i="71"/>
  <c r="E28" i="71"/>
  <c r="E27" i="71" s="1"/>
  <c r="E26" i="71" s="1"/>
  <c r="AA28" i="71"/>
  <c r="D63" i="71"/>
  <c r="D75" i="71"/>
  <c r="C86" i="71"/>
  <c r="D86" i="71" s="1"/>
  <c r="D71" i="71"/>
  <c r="C56" i="71"/>
  <c r="T56" i="71" s="1"/>
  <c r="D55" i="71"/>
  <c r="P67" i="71"/>
  <c r="C52" i="71"/>
  <c r="T52" i="71" s="1"/>
  <c r="D51" i="71"/>
  <c r="C40" i="71"/>
  <c r="T40" i="71" s="1"/>
  <c r="D39" i="71"/>
  <c r="D35" i="71"/>
  <c r="D40" i="71"/>
  <c r="D52"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9" i="39"/>
  <c r="S25" i="40"/>
  <c r="U18" i="36"/>
  <c r="S21" i="34"/>
  <c r="H25" i="40"/>
  <c r="J25" i="40"/>
  <c r="H29" i="39"/>
  <c r="AB29" i="39" s="1"/>
  <c r="J29" i="39"/>
  <c r="AC29" i="39" s="1"/>
  <c r="J18" i="36"/>
  <c r="H18" i="35"/>
  <c r="AB18" i="35" s="1"/>
  <c r="S18" i="35"/>
  <c r="J18" i="35"/>
  <c r="AC18" i="35" s="1"/>
  <c r="H21" i="37"/>
  <c r="F21" i="37"/>
  <c r="S21" i="37" s="1"/>
  <c r="H21" i="34"/>
  <c r="U21" i="34" s="1"/>
  <c r="H21" i="33"/>
  <c r="U21" i="33" s="1"/>
  <c r="F21" i="33"/>
  <c r="S21" i="33" s="1"/>
  <c r="E83" i="21"/>
  <c r="F83" i="21" s="1"/>
  <c r="G83" i="21" s="1"/>
  <c r="S21" i="21"/>
  <c r="H1" i="69"/>
  <c r="AC25" i="40"/>
  <c r="W25" i="40"/>
  <c r="AB25" i="40"/>
  <c r="U25" i="40"/>
  <c r="U29" i="39"/>
  <c r="W29" i="39"/>
  <c r="AC18" i="36"/>
  <c r="W18" i="36"/>
  <c r="AB21" i="37"/>
  <c r="U21" i="37"/>
  <c r="AB21" i="34"/>
  <c r="U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H44" i="33" s="1"/>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c r="J38" i="33"/>
  <c r="AC38" i="33" s="1"/>
  <c r="H38" i="33"/>
  <c r="AB38" i="33" s="1"/>
  <c r="F38" i="33"/>
  <c r="S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s="1"/>
  <c r="F26" i="33"/>
  <c r="AA26" i="33" s="1"/>
  <c r="U35" i="33"/>
  <c r="S40" i="33"/>
  <c r="H39" i="37"/>
  <c r="AB39" i="37" s="1"/>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J44" i="33"/>
  <c r="AC44" i="33" s="1"/>
  <c r="J46" i="33"/>
  <c r="AC46" i="33" s="1"/>
  <c r="F46" i="33"/>
  <c r="AA46" i="33" s="1"/>
  <c r="H46" i="33"/>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B30" i="21"/>
  <c r="AA14" i="37"/>
  <c r="S11" i="36"/>
  <c r="AB46" i="34"/>
  <c r="AA14" i="34"/>
  <c r="AB45" i="33"/>
  <c r="U31"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J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U35"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AZ128" i="3" s="1"/>
  <c r="G129" i="3"/>
  <c r="BA131" i="3"/>
  <c r="BL132" i="3"/>
  <c r="AZ132" i="3" s="1"/>
  <c r="G133" i="3"/>
  <c r="BA135" i="3"/>
  <c r="BL136" i="3"/>
  <c r="AZ136" i="3" s="1"/>
  <c r="G137" i="3"/>
  <c r="BA139" i="3"/>
  <c r="BL140" i="3"/>
  <c r="AZ140" i="3" s="1"/>
  <c r="G141" i="3"/>
  <c r="BA143" i="3"/>
  <c r="BL144" i="3"/>
  <c r="G145" i="3"/>
  <c r="BA147" i="3"/>
  <c r="BL148" i="3"/>
  <c r="AZ148" i="3"/>
  <c r="G149" i="3"/>
  <c r="BA151" i="3"/>
  <c r="BL152" i="3"/>
  <c r="G153" i="3"/>
  <c r="BA155" i="3"/>
  <c r="BL156" i="3"/>
  <c r="G157" i="3"/>
  <c r="BA159" i="3"/>
  <c r="BL160" i="3"/>
  <c r="G161" i="3"/>
  <c r="BA163" i="3"/>
  <c r="BL164" i="3"/>
  <c r="AZ164" i="3" s="1"/>
  <c r="G165" i="3"/>
  <c r="BA167" i="3"/>
  <c r="AZ167" i="3" s="1"/>
  <c r="BL168" i="3"/>
  <c r="G169" i="3"/>
  <c r="BA171" i="3"/>
  <c r="BL172" i="3"/>
  <c r="G173" i="3"/>
  <c r="BA175" i="3"/>
  <c r="BL176" i="3"/>
  <c r="G177" i="3"/>
  <c r="BA179" i="3"/>
  <c r="BL180" i="3"/>
  <c r="G181" i="3"/>
  <c r="BA183" i="3"/>
  <c r="AZ183" i="3" s="1"/>
  <c r="BL184" i="3"/>
  <c r="G185" i="3"/>
  <c r="BA187" i="3"/>
  <c r="AZ187" i="3" s="1"/>
  <c r="BL188" i="3"/>
  <c r="G189" i="3"/>
  <c r="BA191" i="3"/>
  <c r="AZ191" i="3" s="1"/>
  <c r="BL192" i="3"/>
  <c r="G193" i="3"/>
  <c r="BA195" i="3"/>
  <c r="AZ195" i="3" s="1"/>
  <c r="BL196" i="3"/>
  <c r="AZ196" i="3" s="1"/>
  <c r="G197" i="3"/>
  <c r="BA199" i="3"/>
  <c r="AZ199" i="3" s="1"/>
  <c r="BL200" i="3"/>
  <c r="AZ200" i="3" s="1"/>
  <c r="G201" i="3"/>
  <c r="BA203" i="3"/>
  <c r="BL204" i="3"/>
  <c r="AZ144" i="3"/>
  <c r="AZ160" i="3"/>
  <c r="AZ192"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AZ390" i="3" s="1"/>
  <c r="G391" i="3"/>
  <c r="G394" i="3"/>
  <c r="AZ190" i="3"/>
  <c r="AZ194" i="3"/>
  <c r="AZ198" i="3"/>
  <c r="AZ500"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AZ358" i="3" s="1"/>
  <c r="G359" i="3"/>
  <c r="BA361" i="3"/>
  <c r="BL362" i="3"/>
  <c r="G363" i="3"/>
  <c r="BA365" i="3"/>
  <c r="AZ365" i="3" s="1"/>
  <c r="BL366" i="3"/>
  <c r="G367" i="3"/>
  <c r="BA369" i="3"/>
  <c r="BL370" i="3"/>
  <c r="G371" i="3"/>
  <c r="BA373" i="3"/>
  <c r="BL374" i="3"/>
  <c r="G375" i="3"/>
  <c r="BA377" i="3"/>
  <c r="AZ233" i="3"/>
  <c r="AZ237" i="3"/>
  <c r="BA379" i="3"/>
  <c r="AZ379" i="3" s="1"/>
  <c r="BL380" i="3"/>
  <c r="AZ380" i="3" s="1"/>
  <c r="G381" i="3"/>
  <c r="BA383" i="3"/>
  <c r="BL384" i="3"/>
  <c r="G385" i="3"/>
  <c r="BA387" i="3"/>
  <c r="AZ387" i="3" s="1"/>
  <c r="BL388" i="3"/>
  <c r="G389" i="3"/>
  <c r="BA391" i="3"/>
  <c r="AZ391" i="3" s="1"/>
  <c r="BL392" i="3"/>
  <c r="G393" i="3"/>
  <c r="BO5" i="3"/>
  <c r="BM5" i="3"/>
  <c r="BJ5" i="3"/>
  <c r="BH5" i="3"/>
  <c r="BF5" i="3"/>
  <c r="BD5" i="3"/>
  <c r="AZ333" i="3"/>
  <c r="BQ5" i="3"/>
  <c r="AC5" i="3"/>
  <c r="AZ549" i="3"/>
  <c r="AZ506" i="3"/>
  <c r="AZ496" i="3"/>
  <c r="G548" i="3"/>
  <c r="G538" i="3"/>
  <c r="G520" i="3"/>
  <c r="G502" i="3"/>
  <c r="BS5" i="3"/>
  <c r="BP5" i="3"/>
  <c r="BN5" i="3"/>
  <c r="AZ343" i="3"/>
  <c r="BK5" i="3"/>
  <c r="BI5" i="3"/>
  <c r="BG5" i="3"/>
  <c r="BE5" i="3"/>
  <c r="G17" i="3"/>
  <c r="BA17" i="3"/>
  <c r="BT5" i="3"/>
  <c r="AZ352" i="3"/>
  <c r="BA15" i="3"/>
  <c r="BR5" i="3"/>
  <c r="G509" i="3"/>
  <c r="BL493" i="3"/>
  <c r="AZ493" i="3" s="1"/>
  <c r="U36" i="40"/>
  <c r="F83" i="43"/>
  <c r="H85" i="43" s="1"/>
  <c r="F50" i="43"/>
  <c r="H54" i="43" s="1"/>
  <c r="G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35" i="3"/>
  <c r="AZ240" i="3"/>
  <c r="AZ117" i="3"/>
  <c r="AZ42"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C26" i="33"/>
  <c r="W26" i="33"/>
  <c r="W27" i="34"/>
  <c r="AC27" i="34"/>
  <c r="AB34" i="36"/>
  <c r="U34" i="36"/>
  <c r="AB33" i="36"/>
  <c r="U33" i="36"/>
  <c r="AC12" i="39"/>
  <c r="W12" i="39"/>
  <c r="W12" i="33"/>
  <c r="AC12" i="33"/>
  <c r="AA32" i="36"/>
  <c r="S32" i="36"/>
  <c r="AA39" i="34"/>
  <c r="BL14" i="3"/>
  <c r="U30" i="33"/>
  <c r="AC13" i="34"/>
  <c r="AA47" i="34"/>
  <c r="W28" i="37"/>
  <c r="S19" i="39"/>
  <c r="F12" i="33"/>
  <c r="H12" i="39"/>
  <c r="AB12" i="39" s="1"/>
  <c r="F39" i="40"/>
  <c r="BA14" i="3"/>
  <c r="AZ238" i="3"/>
  <c r="AZ189" i="3"/>
  <c r="B12" i="1"/>
  <c r="E12" i="1" s="1"/>
  <c r="B10" i="1"/>
  <c r="E10" i="1" s="1"/>
  <c r="K12" i="1"/>
  <c r="M12" i="1" s="1"/>
  <c r="S13" i="1"/>
  <c r="AR13" i="1" s="1"/>
  <c r="R13" i="1"/>
  <c r="J51" i="67"/>
  <c r="C42" i="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S32" i="33"/>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F87" i="33"/>
  <c r="H25" i="33"/>
  <c r="AB25" i="33" s="1"/>
  <c r="F25" i="33"/>
  <c r="AA25" i="33" s="1"/>
  <c r="J23" i="33"/>
  <c r="W23" i="33" s="1"/>
  <c r="F85" i="33"/>
  <c r="H23" i="33"/>
  <c r="U23" i="33" s="1"/>
  <c r="F81" i="33"/>
  <c r="G81" i="33" s="1"/>
  <c r="F19" i="33"/>
  <c r="S19" i="33" s="1"/>
  <c r="W19" i="33"/>
  <c r="J17" i="33"/>
  <c r="W17" i="33" s="1"/>
  <c r="F79"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0" i="69"/>
  <c r="F48" i="69" s="1"/>
  <c r="F32" i="15"/>
  <c r="F60" i="15" s="1"/>
  <c r="M18" i="15"/>
  <c r="F28" i="15"/>
  <c r="AA39" i="40"/>
  <c r="S39" i="40"/>
  <c r="S12" i="33"/>
  <c r="AA12" i="33"/>
  <c r="D68" i="9"/>
  <c r="F54" i="9"/>
  <c r="J32" i="39"/>
  <c r="H32" i="39"/>
  <c r="AB32" i="39" s="1"/>
  <c r="AA32" i="39"/>
  <c r="S32" i="39"/>
  <c r="AB21" i="39"/>
  <c r="U21" i="39"/>
  <c r="AA21" i="39"/>
  <c r="S21" i="39"/>
  <c r="S17" i="37"/>
  <c r="J19" i="37"/>
  <c r="AC19" i="37" s="1"/>
  <c r="G75" i="37"/>
  <c r="AA19" i="37"/>
  <c r="J23" i="37"/>
  <c r="W23" i="37" s="1"/>
  <c r="G79" i="37"/>
  <c r="J10" i="37"/>
  <c r="W10" i="37" s="1"/>
  <c r="H11" i="37"/>
  <c r="AB11" i="37" s="1"/>
  <c r="H11" i="34"/>
  <c r="U11" i="34" s="1"/>
  <c r="J10" i="34"/>
  <c r="AC10" i="34" s="1"/>
  <c r="U25" i="33"/>
  <c r="G87" i="33"/>
  <c r="H87" i="33" s="1"/>
  <c r="I87" i="33" s="1"/>
  <c r="J87" i="33" s="1"/>
  <c r="K87" i="33" s="1"/>
  <c r="L87" i="33" s="1"/>
  <c r="M87" i="33" s="1"/>
  <c r="J25" i="33"/>
  <c r="AC25" i="33" s="1"/>
  <c r="F23" i="33"/>
  <c r="AA23" i="33" s="1"/>
  <c r="G85" i="33"/>
  <c r="AA19" i="33"/>
  <c r="H19" i="33"/>
  <c r="U19" i="33" s="1"/>
  <c r="G79" i="33"/>
  <c r="H17" i="33"/>
  <c r="F17" i="33"/>
  <c r="S17" i="33" s="1"/>
  <c r="AC17" i="33"/>
  <c r="S37" i="21"/>
  <c r="AA23" i="21"/>
  <c r="AB15" i="21"/>
  <c r="J23" i="21"/>
  <c r="W23" i="21" s="1"/>
  <c r="F85" i="21"/>
  <c r="G85" i="21" s="1"/>
  <c r="H23" i="21"/>
  <c r="U23" i="21" s="1"/>
  <c r="S13" i="21"/>
  <c r="D6" i="52"/>
  <c r="AP7" i="1"/>
  <c r="AB9" i="21"/>
  <c r="U9" i="21"/>
  <c r="AA32" i="21"/>
  <c r="W9" i="21"/>
  <c r="AB32" i="21"/>
  <c r="AC32" i="39"/>
  <c r="W32" i="39"/>
  <c r="W19" i="37"/>
  <c r="AC23" i="37"/>
  <c r="J11" i="37"/>
  <c r="AC11" i="37" s="1"/>
  <c r="J11" i="34"/>
  <c r="W11" i="34" s="1"/>
  <c r="U17" i="33"/>
  <c r="AB17" i="33"/>
  <c r="H109" i="9"/>
  <c r="D16" i="53" s="1"/>
  <c r="B34" i="72" s="1"/>
  <c r="H112" i="9"/>
  <c r="H111" i="9"/>
  <c r="D126" i="9" s="1"/>
  <c r="AD3" i="71"/>
  <c r="J1" i="73"/>
  <c r="H69" i="43"/>
  <c r="C24" i="12"/>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J15" i="67"/>
  <c r="L48" i="15"/>
  <c r="F36" i="67"/>
  <c r="B12" i="76"/>
  <c r="E2" i="68"/>
  <c r="F42" i="15"/>
  <c r="F26" i="67"/>
  <c r="F7" i="67"/>
  <c r="M8" i="15"/>
  <c r="M8" i="67"/>
  <c r="C76" i="15"/>
  <c r="B8" i="76"/>
  <c r="E10" i="76"/>
  <c r="F40" i="67"/>
  <c r="F13" i="15"/>
  <c r="D7" i="73"/>
  <c r="M29" i="15"/>
  <c r="L47" i="15"/>
  <c r="F40" i="15"/>
  <c r="F16" i="15"/>
  <c r="F38" i="67"/>
  <c r="F8" i="67"/>
  <c r="M6" i="15"/>
  <c r="M23" i="67"/>
  <c r="B13" i="76"/>
  <c r="F5" i="73"/>
  <c r="B10" i="76"/>
  <c r="E12" i="76"/>
  <c r="F7" i="15"/>
  <c r="L47" i="67"/>
  <c r="M26" i="15"/>
  <c r="F4" i="73"/>
  <c r="C76" i="67"/>
  <c r="M26" i="67"/>
  <c r="J15" i="15"/>
  <c r="F43" i="15"/>
  <c r="E11" i="76"/>
  <c r="F6" i="73"/>
  <c r="M22" i="67"/>
  <c r="B9" i="76"/>
  <c r="F20" i="31"/>
  <c r="F3" i="73"/>
  <c r="F38" i="15"/>
  <c r="F26" i="15"/>
  <c r="M23" i="15"/>
  <c r="M24" i="67"/>
  <c r="B7" i="76"/>
  <c r="F37" i="15"/>
  <c r="F43" i="67"/>
  <c r="F36" i="15"/>
  <c r="M9" i="67"/>
  <c r="F8" i="15"/>
  <c r="D3" i="73"/>
  <c r="E13" i="76"/>
  <c r="B11" i="76"/>
  <c r="E2" i="69"/>
  <c r="F42" i="67"/>
  <c r="M29" i="67"/>
  <c r="M9" i="15"/>
  <c r="F16" i="67"/>
  <c r="F7" i="73"/>
  <c r="M22" i="15"/>
  <c r="F13" i="67"/>
  <c r="M28" i="67"/>
  <c r="E9" i="76"/>
  <c r="F6" i="67"/>
  <c r="F9" i="15"/>
  <c r="E7" i="76"/>
  <c r="M28" i="15"/>
  <c r="F9" i="67"/>
  <c r="AO13" i="1"/>
  <c r="M6" i="67"/>
  <c r="M24" i="15"/>
  <c r="F37" i="67"/>
  <c r="E8" i="76"/>
  <c r="D4" i="73"/>
  <c r="C19" i="71" l="1"/>
  <c r="T20" i="71"/>
  <c r="D20" i="71"/>
  <c r="U20" i="71" s="1"/>
  <c r="AA38" i="40"/>
  <c r="S38" i="40"/>
  <c r="U25" i="37"/>
  <c r="AB25" i="37"/>
  <c r="AC32" i="40"/>
  <c r="W32" i="40"/>
  <c r="AC39" i="40"/>
  <c r="W39" i="40"/>
  <c r="AB23" i="21"/>
  <c r="G398" i="3"/>
  <c r="BA399" i="3"/>
  <c r="G400" i="3"/>
  <c r="BL401" i="3"/>
  <c r="G402" i="3"/>
  <c r="BA403" i="3"/>
  <c r="AZ403" i="3" s="1"/>
  <c r="BL405" i="3"/>
  <c r="G406" i="3"/>
  <c r="BL407" i="3"/>
  <c r="G408" i="3"/>
  <c r="BA409" i="3"/>
  <c r="BL409" i="3"/>
  <c r="G412" i="3"/>
  <c r="BL413" i="3"/>
  <c r="G426" i="3"/>
  <c r="BA427" i="3"/>
  <c r="G428" i="3"/>
  <c r="BL429" i="3"/>
  <c r="U32" i="39"/>
  <c r="U12" i="39"/>
  <c r="AZ377" i="3"/>
  <c r="AZ369" i="3"/>
  <c r="AZ361" i="3"/>
  <c r="AZ338" i="3"/>
  <c r="AZ327" i="3"/>
  <c r="AZ306" i="3"/>
  <c r="AZ356" i="3"/>
  <c r="AZ355" i="3"/>
  <c r="AZ351" i="3"/>
  <c r="AZ394" i="3"/>
  <c r="AZ325" i="3"/>
  <c r="AZ504" i="3"/>
  <c r="AZ516" i="3"/>
  <c r="AZ524" i="3"/>
  <c r="AZ528" i="3"/>
  <c r="AZ532" i="3"/>
  <c r="AZ536" i="3"/>
  <c r="AZ544" i="3"/>
  <c r="AZ554" i="3"/>
  <c r="AZ558" i="3"/>
  <c r="AZ566" i="3"/>
  <c r="AZ574" i="3"/>
  <c r="AZ582" i="3"/>
  <c r="AZ584" i="3"/>
  <c r="AC11" i="35"/>
  <c r="F15" i="33"/>
  <c r="AA15" i="33" s="1"/>
  <c r="F12" i="35"/>
  <c r="H24" i="36"/>
  <c r="J25" i="37"/>
  <c r="J38" i="40"/>
  <c r="H39" i="40"/>
  <c r="G578" i="3"/>
  <c r="G574" i="3"/>
  <c r="BA434" i="3"/>
  <c r="AZ434" i="3" s="1"/>
  <c r="BA435" i="3"/>
  <c r="BL435" i="3"/>
  <c r="BA436" i="3"/>
  <c r="AZ436" i="3" s="1"/>
  <c r="BA437" i="3"/>
  <c r="AZ437" i="3" s="1"/>
  <c r="BA438" i="3"/>
  <c r="BL438" i="3"/>
  <c r="BA439" i="3"/>
  <c r="AZ439" i="3" s="1"/>
  <c r="BA441" i="3"/>
  <c r="AZ441" i="3" s="1"/>
  <c r="BL441" i="3"/>
  <c r="G444" i="3"/>
  <c r="BA445" i="3"/>
  <c r="BL445" i="3"/>
  <c r="BA447" i="3"/>
  <c r="BL447" i="3"/>
  <c r="BA448" i="3"/>
  <c r="AZ448" i="3" s="1"/>
  <c r="BA450" i="3"/>
  <c r="AZ450" i="3" s="1"/>
  <c r="BA451" i="3"/>
  <c r="BL451" i="3"/>
  <c r="BA452" i="3"/>
  <c r="AZ452" i="3" s="1"/>
  <c r="BA454" i="3"/>
  <c r="AZ454" i="3" s="1"/>
  <c r="BL456" i="3"/>
  <c r="G457" i="3"/>
  <c r="G459" i="3"/>
  <c r="BA460" i="3"/>
  <c r="G461" i="3"/>
  <c r="G463" i="3"/>
  <c r="BA464" i="3"/>
  <c r="BL464" i="3"/>
  <c r="BL466" i="3"/>
  <c r="G467" i="3"/>
  <c r="BL468" i="3"/>
  <c r="BL470" i="3"/>
  <c r="G475" i="3"/>
  <c r="BA476" i="3"/>
  <c r="G477" i="3"/>
  <c r="BA478" i="3"/>
  <c r="G479" i="3"/>
  <c r="BA480" i="3"/>
  <c r="BL480" i="3"/>
  <c r="BA482" i="3"/>
  <c r="BL482" i="3"/>
  <c r="BA483" i="3"/>
  <c r="AZ483" i="3" s="1"/>
  <c r="BL485" i="3"/>
  <c r="G486" i="3"/>
  <c r="BA487" i="3"/>
  <c r="BL487" i="3"/>
  <c r="G488" i="3"/>
  <c r="BL489" i="3"/>
  <c r="BL491" i="3"/>
  <c r="BA303" i="3"/>
  <c r="AZ303" i="3" s="1"/>
  <c r="BA307" i="3"/>
  <c r="G345" i="3"/>
  <c r="G347" i="3"/>
  <c r="BA348" i="3"/>
  <c r="AZ348" i="3" s="1"/>
  <c r="BA349" i="3"/>
  <c r="AZ349" i="3" s="1"/>
  <c r="BA353" i="3"/>
  <c r="G358" i="3"/>
  <c r="BL359" i="3"/>
  <c r="AZ359" i="3" s="1"/>
  <c r="BL363" i="3"/>
  <c r="AZ363" i="3" s="1"/>
  <c r="G364" i="3"/>
  <c r="BA366" i="3"/>
  <c r="AZ366" i="3" s="1"/>
  <c r="BA368" i="3"/>
  <c r="AZ368" i="3" s="1"/>
  <c r="BL368" i="3"/>
  <c r="G374" i="3"/>
  <c r="G387" i="3"/>
  <c r="BA392" i="3"/>
  <c r="AZ392" i="3" s="1"/>
  <c r="G395" i="3"/>
  <c r="BL396" i="3"/>
  <c r="G397" i="3"/>
  <c r="BL208" i="3"/>
  <c r="BA210" i="3"/>
  <c r="G211" i="3"/>
  <c r="BA212" i="3"/>
  <c r="BL212" i="3"/>
  <c r="BA214" i="3"/>
  <c r="BL214" i="3"/>
  <c r="BL216" i="3"/>
  <c r="G217" i="3"/>
  <c r="G219" i="3"/>
  <c r="BA220" i="3"/>
  <c r="G221" i="3"/>
  <c r="BL222" i="3"/>
  <c r="G223" i="3"/>
  <c r="BL224" i="3"/>
  <c r="G225" i="3"/>
  <c r="BL226" i="3"/>
  <c r="BL228" i="3"/>
  <c r="G248" i="3"/>
  <c r="G250" i="3"/>
  <c r="G252" i="3"/>
  <c r="BL253" i="3"/>
  <c r="BA255" i="3"/>
  <c r="G256" i="3"/>
  <c r="BA257" i="3"/>
  <c r="G258" i="3"/>
  <c r="BL259" i="3"/>
  <c r="G260" i="3"/>
  <c r="BA261" i="3"/>
  <c r="G262" i="3"/>
  <c r="BL263" i="3"/>
  <c r="G264" i="3"/>
  <c r="BA265" i="3"/>
  <c r="G266" i="3"/>
  <c r="BL267" i="3"/>
  <c r="BL269" i="3"/>
  <c r="BA271" i="3"/>
  <c r="G272" i="3"/>
  <c r="BL273" i="3"/>
  <c r="G274" i="3"/>
  <c r="BA275" i="3"/>
  <c r="G276" i="3"/>
  <c r="BA277" i="3"/>
  <c r="AZ277" i="3" s="1"/>
  <c r="BL277" i="3"/>
  <c r="BA278" i="3"/>
  <c r="AZ278" i="3" s="1"/>
  <c r="BA279" i="3"/>
  <c r="AZ279" i="3" s="1"/>
  <c r="BA280" i="3"/>
  <c r="AZ280" i="3" s="1"/>
  <c r="BA281" i="3"/>
  <c r="AZ281" i="3" s="1"/>
  <c r="BA283" i="3"/>
  <c r="AZ283" i="3" s="1"/>
  <c r="BL283" i="3"/>
  <c r="BA284" i="3"/>
  <c r="AZ284" i="3" s="1"/>
  <c r="BA286" i="3"/>
  <c r="G287" i="3"/>
  <c r="BA288" i="3"/>
  <c r="G289" i="3"/>
  <c r="BA290" i="3"/>
  <c r="BL290" i="3"/>
  <c r="BL292" i="3"/>
  <c r="G293" i="3"/>
  <c r="BL294" i="3"/>
  <c r="BL296" i="3"/>
  <c r="BL298" i="3"/>
  <c r="G299" i="3"/>
  <c r="BL300" i="3"/>
  <c r="G134" i="3"/>
  <c r="G136" i="3"/>
  <c r="BL137" i="3"/>
  <c r="G140" i="3"/>
  <c r="BL141" i="3"/>
  <c r="G144" i="3"/>
  <c r="BL145" i="3"/>
  <c r="G148" i="3"/>
  <c r="BA149" i="3"/>
  <c r="G150" i="3"/>
  <c r="BL151" i="3"/>
  <c r="AZ151" i="3" s="1"/>
  <c r="BA153" i="3"/>
  <c r="BL153" i="3"/>
  <c r="BL155" i="3"/>
  <c r="AZ155" i="3" s="1"/>
  <c r="G156" i="3"/>
  <c r="BA157" i="3"/>
  <c r="AZ157" i="3" s="1"/>
  <c r="BA158" i="3"/>
  <c r="AZ158" i="3" s="1"/>
  <c r="BL159" i="3"/>
  <c r="AZ159" i="3" s="1"/>
  <c r="BA161" i="3"/>
  <c r="AZ161" i="3" s="1"/>
  <c r="BA162" i="3"/>
  <c r="AZ162" i="3" s="1"/>
  <c r="BL163" i="3"/>
  <c r="AZ163" i="3" s="1"/>
  <c r="BA166" i="3"/>
  <c r="BL166" i="3"/>
  <c r="BA168" i="3"/>
  <c r="AZ168" i="3" s="1"/>
  <c r="BA170" i="3"/>
  <c r="G171" i="3"/>
  <c r="BL174" i="3"/>
  <c r="BA176" i="3"/>
  <c r="AZ176" i="3" s="1"/>
  <c r="BL178" i="3"/>
  <c r="BA180" i="3"/>
  <c r="AZ180" i="3" s="1"/>
  <c r="G183" i="3"/>
  <c r="G202" i="3"/>
  <c r="G50" i="3"/>
  <c r="G52" i="3"/>
  <c r="BL53" i="3"/>
  <c r="G56" i="3"/>
  <c r="BA57" i="3"/>
  <c r="G58" i="3"/>
  <c r="BA59" i="3"/>
  <c r="G60" i="3"/>
  <c r="BA61" i="3"/>
  <c r="G62" i="3"/>
  <c r="BA63" i="3"/>
  <c r="G64" i="3"/>
  <c r="BA65" i="3"/>
  <c r="BL65" i="3"/>
  <c r="BA67" i="3"/>
  <c r="AZ67" i="3" s="1"/>
  <c r="BL67" i="3"/>
  <c r="BA68" i="3"/>
  <c r="BA69" i="3"/>
  <c r="AZ69" i="3" s="1"/>
  <c r="BA71" i="3"/>
  <c r="AZ71" i="3" s="1"/>
  <c r="BL71" i="3"/>
  <c r="P65" i="71"/>
  <c r="P66" i="71"/>
  <c r="B27" i="71"/>
  <c r="B26" i="71" s="1"/>
  <c r="S28" i="71"/>
  <c r="C59" i="71"/>
  <c r="D58" i="71"/>
  <c r="BL73" i="3"/>
  <c r="BL75" i="3"/>
  <c r="BA77" i="3"/>
  <c r="G78" i="3"/>
  <c r="BL79" i="3"/>
  <c r="BA81" i="3"/>
  <c r="BL81" i="3"/>
  <c r="BA83" i="3"/>
  <c r="BL83" i="3"/>
  <c r="BA85" i="3"/>
  <c r="BL85" i="3"/>
  <c r="BL87" i="3"/>
  <c r="BL89" i="3"/>
  <c r="G100" i="3"/>
  <c r="BA103" i="3"/>
  <c r="G104" i="3"/>
  <c r="BL105" i="3"/>
  <c r="BA107" i="3"/>
  <c r="G108" i="3"/>
  <c r="BA109" i="3"/>
  <c r="G110" i="3"/>
  <c r="BL111" i="3"/>
  <c r="G112" i="3"/>
  <c r="F3" i="35"/>
  <c r="W18" i="35"/>
  <c r="AB21" i="33"/>
  <c r="AA21" i="37"/>
  <c r="T64" i="71"/>
  <c r="V28" i="71"/>
  <c r="C78" i="71"/>
  <c r="D78" i="71" s="1"/>
  <c r="C66" i="71"/>
  <c r="D34" i="71"/>
  <c r="X27" i="71"/>
  <c r="Y27" i="71"/>
  <c r="Z27" i="71" s="1"/>
  <c r="Y25" i="71"/>
  <c r="Z25" i="71" s="1"/>
  <c r="C30" i="71"/>
  <c r="X30" i="71"/>
  <c r="Y32" i="71"/>
  <c r="Z32" i="71" s="1"/>
  <c r="AB32" i="71"/>
  <c r="AA34" i="71"/>
  <c r="Y36" i="71"/>
  <c r="Z36" i="71" s="1"/>
  <c r="AB36" i="71"/>
  <c r="B43" i="71"/>
  <c r="B44" i="71" s="1"/>
  <c r="S44" i="71" s="1"/>
  <c r="B47" i="71"/>
  <c r="B48" i="71" s="1"/>
  <c r="S48" i="71" s="1"/>
  <c r="B22" i="71"/>
  <c r="B21" i="71" s="1"/>
  <c r="B20" i="71" s="1"/>
  <c r="AB45" i="21"/>
  <c r="AA23" i="37"/>
  <c r="AC17" i="37"/>
  <c r="S43" i="34"/>
  <c r="AA27" i="40"/>
  <c r="AB27" i="40"/>
  <c r="AP6" i="1"/>
  <c r="AE21" i="1"/>
  <c r="AZ373" i="3"/>
  <c r="AZ322" i="3"/>
  <c r="AZ311" i="3"/>
  <c r="AZ389" i="3"/>
  <c r="AZ382" i="3"/>
  <c r="AZ371" i="3"/>
  <c r="AZ347" i="3"/>
  <c r="AZ344" i="3"/>
  <c r="AZ342" i="3"/>
  <c r="AZ321" i="3"/>
  <c r="AZ378" i="3"/>
  <c r="AZ495" i="3"/>
  <c r="AZ499" i="3"/>
  <c r="AZ513" i="3"/>
  <c r="AZ520" i="3"/>
  <c r="AZ563" i="3"/>
  <c r="AZ583" i="3"/>
  <c r="AZ518" i="3"/>
  <c r="AZ538" i="3"/>
  <c r="AZ552" i="3"/>
  <c r="AC31" i="34"/>
  <c r="W31" i="34"/>
  <c r="AZ568" i="3"/>
  <c r="AZ576" i="3"/>
  <c r="BL585" i="3"/>
  <c r="AZ585" i="3" s="1"/>
  <c r="B76" i="43"/>
  <c r="F44" i="39"/>
  <c r="G562" i="3"/>
  <c r="G558" i="3"/>
  <c r="G542" i="3"/>
  <c r="G526" i="3"/>
  <c r="G14" i="3"/>
  <c r="BA398" i="3"/>
  <c r="AZ398" i="3" s="1"/>
  <c r="BL400" i="3"/>
  <c r="G401" i="3"/>
  <c r="G403" i="3"/>
  <c r="G405" i="3"/>
  <c r="G407" i="3"/>
  <c r="BL408" i="3"/>
  <c r="G409" i="3"/>
  <c r="G411" i="3"/>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492" i="3"/>
  <c r="AZ492" i="3" s="1"/>
  <c r="G307" i="3"/>
  <c r="BL308" i="3"/>
  <c r="G311" i="3"/>
  <c r="BA315" i="3"/>
  <c r="BA317" i="3"/>
  <c r="BL317" i="3"/>
  <c r="G318" i="3"/>
  <c r="BA319" i="3"/>
  <c r="AZ319" i="3" s="1"/>
  <c r="BA323" i="3"/>
  <c r="AZ323" i="3" s="1"/>
  <c r="G331" i="3"/>
  <c r="BL332" i="3"/>
  <c r="G343" i="3"/>
  <c r="BL350" i="3"/>
  <c r="G351" i="3"/>
  <c r="BA354" i="3"/>
  <c r="AZ354" i="3" s="1"/>
  <c r="BL367" i="3"/>
  <c r="BA370" i="3"/>
  <c r="AZ370" i="3" s="1"/>
  <c r="G380" i="3"/>
  <c r="BL381" i="3"/>
  <c r="AZ381" i="3" s="1"/>
  <c r="BA384" i="3"/>
  <c r="AZ384" i="3" s="1"/>
  <c r="BA386" i="3"/>
  <c r="BL386" i="3"/>
  <c r="G392" i="3"/>
  <c r="BL393" i="3"/>
  <c r="AZ393" i="3" s="1"/>
  <c r="BL395" i="3"/>
  <c r="G396" i="3"/>
  <c r="BA397" i="3"/>
  <c r="BL397" i="3"/>
  <c r="BA208" i="3"/>
  <c r="AZ208" i="3" s="1"/>
  <c r="BA209" i="3"/>
  <c r="AZ209" i="3" s="1"/>
  <c r="BL211" i="3"/>
  <c r="G212" i="3"/>
  <c r="G214" i="3"/>
  <c r="G216" i="3"/>
  <c r="BA218" i="3"/>
  <c r="BL218" i="3"/>
  <c r="BA219" i="3"/>
  <c r="AZ219" i="3" s="1"/>
  <c r="BL221" i="3"/>
  <c r="G222" i="3"/>
  <c r="BL223" i="3"/>
  <c r="G224" i="3"/>
  <c r="BA225" i="3"/>
  <c r="BL225" i="3"/>
  <c r="BA226" i="3"/>
  <c r="AZ226" i="3" s="1"/>
  <c r="BA227" i="3"/>
  <c r="AZ227" i="3" s="1"/>
  <c r="BA228" i="3"/>
  <c r="AZ228" i="3" s="1"/>
  <c r="BL230" i="3"/>
  <c r="G231" i="3"/>
  <c r="G233" i="3"/>
  <c r="G235" i="3"/>
  <c r="G240" i="3"/>
  <c r="G242" i="3"/>
  <c r="BL243" i="3"/>
  <c r="G244" i="3"/>
  <c r="G246" i="3"/>
  <c r="BA247" i="3"/>
  <c r="BL247" i="3"/>
  <c r="BA249" i="3"/>
  <c r="AZ249" i="3" s="1"/>
  <c r="BL249" i="3"/>
  <c r="BA251" i="3"/>
  <c r="AZ251" i="3" s="1"/>
  <c r="BL251" i="3"/>
  <c r="BA252" i="3"/>
  <c r="AZ252" i="3" s="1"/>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0" i="3"/>
  <c r="AZ270" i="3" s="1"/>
  <c r="BL270" i="3"/>
  <c r="BL272" i="3"/>
  <c r="G273" i="3"/>
  <c r="BA274" i="3"/>
  <c r="AZ274" i="3" s="1"/>
  <c r="BL274" i="3"/>
  <c r="BL276" i="3"/>
  <c r="G277" i="3"/>
  <c r="G283" i="3"/>
  <c r="G286" i="3"/>
  <c r="BA287" i="3"/>
  <c r="AZ287" i="3" s="1"/>
  <c r="BL287" i="3"/>
  <c r="BL289" i="3"/>
  <c r="G290" i="3"/>
  <c r="G292" i="3"/>
  <c r="BA293" i="3"/>
  <c r="BL293" i="3"/>
  <c r="BA294" i="3"/>
  <c r="AZ294" i="3" s="1"/>
  <c r="BA295" i="3"/>
  <c r="AZ295" i="3" s="1"/>
  <c r="BA296" i="3"/>
  <c r="AZ296" i="3" s="1"/>
  <c r="BA297" i="3"/>
  <c r="AZ297" i="3" s="1"/>
  <c r="BA298" i="3"/>
  <c r="AZ298"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BL182" i="3"/>
  <c r="BA184" i="3"/>
  <c r="AZ184" i="3" s="1"/>
  <c r="G187" i="3"/>
  <c r="G198" i="3"/>
  <c r="BA201" i="3"/>
  <c r="AZ201" i="3" s="1"/>
  <c r="BL201" i="3"/>
  <c r="BL203" i="3"/>
  <c r="AZ203" i="3" s="1"/>
  <c r="G204" i="3"/>
  <c r="BL205" i="3"/>
  <c r="G206" i="3"/>
  <c r="BA207" i="3"/>
  <c r="AZ207" i="3" s="1"/>
  <c r="BL207" i="3"/>
  <c r="BL19" i="3"/>
  <c r="G24" i="3"/>
  <c r="G26" i="3"/>
  <c r="BL27" i="3"/>
  <c r="BL29" i="3"/>
  <c r="G32" i="3"/>
  <c r="G34" i="3"/>
  <c r="BL35" i="3"/>
  <c r="G38" i="3"/>
  <c r="BL39" i="3"/>
  <c r="G42" i="3"/>
  <c r="G44" i="3"/>
  <c r="BL45" i="3"/>
  <c r="G48" i="3"/>
  <c r="BA49" i="3"/>
  <c r="BL49" i="3"/>
  <c r="BA51" i="3"/>
  <c r="AZ51" i="3" s="1"/>
  <c r="BL51" i="3"/>
  <c r="BA52" i="3"/>
  <c r="BA53" i="3"/>
  <c r="AZ53" i="3" s="1"/>
  <c r="BA55" i="3"/>
  <c r="AZ55" i="3" s="1"/>
  <c r="BL55" i="3"/>
  <c r="BA56" i="3"/>
  <c r="AZ56" i="3" s="1"/>
  <c r="BA58" i="3"/>
  <c r="BL58" i="3"/>
  <c r="BA62" i="3"/>
  <c r="BL62" i="3"/>
  <c r="BL64" i="3"/>
  <c r="G67" i="3"/>
  <c r="G71" i="3"/>
  <c r="G73" i="3"/>
  <c r="BL74" i="3"/>
  <c r="BA76" i="3"/>
  <c r="BL76" i="3"/>
  <c r="BL78" i="3"/>
  <c r="BL80" i="3"/>
  <c r="G83" i="3"/>
  <c r="G85" i="3"/>
  <c r="G87" i="3"/>
  <c r="BL88" i="3"/>
  <c r="BA90" i="3"/>
  <c r="BL90" i="3"/>
  <c r="BA91" i="3"/>
  <c r="G92" i="3"/>
  <c r="G94" i="3"/>
  <c r="G97" i="3"/>
  <c r="BA99" i="3"/>
  <c r="BL99" i="3"/>
  <c r="BA100" i="3"/>
  <c r="AZ100" i="3" s="1"/>
  <c r="BA101" i="3"/>
  <c r="G102" i="3"/>
  <c r="BL104" i="3"/>
  <c r="BA106" i="3"/>
  <c r="BL106" i="3"/>
  <c r="BL110" i="3"/>
  <c r="G111" i="3"/>
  <c r="BA112" i="3"/>
  <c r="AZ112" i="3" s="1"/>
  <c r="BL112" i="3"/>
  <c r="AB21" i="21"/>
  <c r="C25" i="40"/>
  <c r="B77" i="43"/>
  <c r="F28" i="71"/>
  <c r="F27" i="71" s="1"/>
  <c r="F26" i="71" s="1"/>
  <c r="AB25" i="71"/>
  <c r="AB27" i="71"/>
  <c r="C27" i="71"/>
  <c r="C26" i="71" s="1"/>
  <c r="D26" i="71" s="1"/>
  <c r="T28" i="71"/>
  <c r="D28" i="71"/>
  <c r="U28" i="71" s="1"/>
  <c r="X26" i="71"/>
  <c r="X28" i="71"/>
  <c r="AA29" i="71"/>
  <c r="AA27" i="71"/>
  <c r="E23" i="71"/>
  <c r="E22" i="71" s="1"/>
  <c r="E21" i="71" s="1"/>
  <c r="E20" i="71" s="1"/>
  <c r="V24" i="71"/>
  <c r="AA30" i="71"/>
  <c r="X32" i="71"/>
  <c r="AB34" i="71"/>
  <c r="AB33" i="71"/>
  <c r="AA33" i="71"/>
  <c r="AA35" i="71"/>
  <c r="AA3" i="71"/>
  <c r="AB29" i="71"/>
  <c r="X29" i="71"/>
  <c r="AB31" i="71"/>
  <c r="F35" i="71"/>
  <c r="F36" i="71" s="1"/>
  <c r="V36" i="71" s="1"/>
  <c r="X33" i="71"/>
  <c r="AB35" i="71"/>
  <c r="F39" i="71"/>
  <c r="F40" i="71" s="1"/>
  <c r="V40" i="71" s="1"/>
  <c r="B55" i="71"/>
  <c r="B56" i="71" s="1"/>
  <c r="S56" i="71" s="1"/>
  <c r="S39" i="33"/>
  <c r="AC42" i="33"/>
  <c r="W42" i="33"/>
  <c r="F123" i="33"/>
  <c r="G123" i="33" s="1"/>
  <c r="H123" i="33" s="1"/>
  <c r="I123" i="33" s="1"/>
  <c r="J123" i="33" s="1"/>
  <c r="K123" i="33" s="1"/>
  <c r="L123" i="33" s="1"/>
  <c r="M123" i="33" s="1"/>
  <c r="F42" i="33"/>
  <c r="AA42" i="33" s="1"/>
  <c r="F27" i="33"/>
  <c r="AA27" i="33" s="1"/>
  <c r="F91" i="33"/>
  <c r="G91" i="33" s="1"/>
  <c r="H91" i="33" s="1"/>
  <c r="I91" i="33" s="1"/>
  <c r="J91" i="33" s="1"/>
  <c r="K91" i="33" s="1"/>
  <c r="L91" i="33" s="1"/>
  <c r="M91" i="33" s="1"/>
  <c r="H27" i="33"/>
  <c r="AB27" i="33" s="1"/>
  <c r="J27" i="33"/>
  <c r="AC27" i="33" s="1"/>
  <c r="S26" i="33"/>
  <c r="S33" i="33"/>
  <c r="AB44" i="33"/>
  <c r="U44" i="33"/>
  <c r="W44" i="33"/>
  <c r="F44" i="33"/>
  <c r="S44" i="33" s="1"/>
  <c r="U43" i="33"/>
  <c r="S41" i="33"/>
  <c r="U41" i="33"/>
  <c r="S43" i="33"/>
  <c r="U38" i="33"/>
  <c r="U37" i="33"/>
  <c r="AC37" i="33"/>
  <c r="F36" i="33"/>
  <c r="J36" i="33"/>
  <c r="W36" i="33" s="1"/>
  <c r="H111" i="33"/>
  <c r="I111" i="33" s="1"/>
  <c r="J111" i="33" s="1"/>
  <c r="K111" i="33" s="1"/>
  <c r="L111" i="33" s="1"/>
  <c r="M111" i="33" s="1"/>
  <c r="H36" i="33"/>
  <c r="AC35" i="33"/>
  <c r="AC23" i="33"/>
  <c r="AA21" i="33"/>
  <c r="S23" i="33"/>
  <c r="AB23" i="33"/>
  <c r="AB19" i="33"/>
  <c r="AA17" i="33"/>
  <c r="S15" i="33"/>
  <c r="U15" i="33"/>
  <c r="G7" i="33"/>
  <c r="I7" i="33"/>
  <c r="E7" i="33"/>
  <c r="U32" i="33"/>
  <c r="W33" i="33"/>
  <c r="S28" i="33"/>
  <c r="U42" i="33"/>
  <c r="W39" i="33"/>
  <c r="W38" i="33"/>
  <c r="AA38" i="33"/>
  <c r="AB34" i="33"/>
  <c r="AA34" i="33"/>
  <c r="W32" i="33"/>
  <c r="AC28" i="33"/>
  <c r="AB28" i="33"/>
  <c r="AB26" i="33"/>
  <c r="W25" i="33"/>
  <c r="S25" i="33"/>
  <c r="AZ14" i="3"/>
  <c r="F28" i="6"/>
  <c r="AZ314" i="3"/>
  <c r="AZ372" i="3"/>
  <c r="AZ337" i="3"/>
  <c r="AZ305" i="3"/>
  <c r="AZ376" i="3"/>
  <c r="AZ362" i="3"/>
  <c r="AZ360" i="3"/>
  <c r="AZ341" i="3"/>
  <c r="AZ309" i="3"/>
  <c r="AZ503" i="3"/>
  <c r="AZ507" i="3"/>
  <c r="AZ523" i="3"/>
  <c r="AZ527" i="3"/>
  <c r="AZ531" i="3"/>
  <c r="AZ535" i="3"/>
  <c r="AZ539" i="3"/>
  <c r="AZ543" i="3"/>
  <c r="AZ547" i="3"/>
  <c r="AZ553" i="3"/>
  <c r="AZ559" i="3"/>
  <c r="BL586" i="3"/>
  <c r="AZ586" i="3" s="1"/>
  <c r="G582" i="3"/>
  <c r="G566" i="3"/>
  <c r="G552" i="3"/>
  <c r="BA551" i="3"/>
  <c r="AZ551" i="3" s="1"/>
  <c r="G551" i="3"/>
  <c r="BL550" i="3"/>
  <c r="BA550" i="3"/>
  <c r="BL548" i="3"/>
  <c r="BL16" i="3"/>
  <c r="AZ16" i="3" s="1"/>
  <c r="G399" i="3"/>
  <c r="BL399" i="3"/>
  <c r="BA400" i="3"/>
  <c r="AZ400" i="3" s="1"/>
  <c r="BA401" i="3"/>
  <c r="AZ401" i="3" s="1"/>
  <c r="BA402" i="3"/>
  <c r="BL402" i="3"/>
  <c r="G404" i="3"/>
  <c r="BL404" i="3"/>
  <c r="AZ404" i="3" s="1"/>
  <c r="BA405" i="3"/>
  <c r="AZ405" i="3" s="1"/>
  <c r="BA406" i="3"/>
  <c r="BL406" i="3"/>
  <c r="BA407" i="3"/>
  <c r="AZ407" i="3" s="1"/>
  <c r="BA408" i="3"/>
  <c r="AZ408" i="3" s="1"/>
  <c r="BL410" i="3"/>
  <c r="BA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AZ440" i="3" s="1"/>
  <c r="BA443" i="3"/>
  <c r="BL443" i="3"/>
  <c r="BA444" i="3"/>
  <c r="AZ444" i="3" s="1"/>
  <c r="G449" i="3"/>
  <c r="BL449" i="3"/>
  <c r="G451" i="3"/>
  <c r="G453" i="3"/>
  <c r="BL453" i="3"/>
  <c r="AZ453" i="3" s="1"/>
  <c r="G455" i="3"/>
  <c r="BL455" i="3"/>
  <c r="AZ455" i="3" s="1"/>
  <c r="BA456" i="3"/>
  <c r="AZ456" i="3" s="1"/>
  <c r="BA457" i="3"/>
  <c r="AZ457" i="3" s="1"/>
  <c r="BA458" i="3"/>
  <c r="BL458" i="3"/>
  <c r="G460" i="3"/>
  <c r="BL460" i="3"/>
  <c r="AZ460" i="3" s="1"/>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BA479" i="3"/>
  <c r="AZ479" i="3" s="1"/>
  <c r="G484" i="3"/>
  <c r="BL484" i="3"/>
  <c r="AZ484" i="3" s="1"/>
  <c r="BA485" i="3"/>
  <c r="AZ485" i="3" s="1"/>
  <c r="G490" i="3"/>
  <c r="G491" i="3"/>
  <c r="G492" i="3"/>
  <c r="G313" i="3"/>
  <c r="BA316" i="3"/>
  <c r="AZ316" i="3" s="1"/>
  <c r="AZ315" i="3"/>
  <c r="AZ307" i="3"/>
  <c r="AZ308" i="3"/>
  <c r="AZ548" i="3"/>
  <c r="AZ410" i="3"/>
  <c r="AZ421" i="3"/>
  <c r="AZ430" i="3"/>
  <c r="AZ442" i="3"/>
  <c r="AZ446" i="3"/>
  <c r="AZ449" i="3"/>
  <c r="AZ471" i="3"/>
  <c r="AZ478" i="3"/>
  <c r="AZ481" i="3"/>
  <c r="AZ487" i="3"/>
  <c r="BL217" i="3"/>
  <c r="AZ217" i="3" s="1"/>
  <c r="G220" i="3"/>
  <c r="BL220" i="3"/>
  <c r="AZ220" i="3" s="1"/>
  <c r="BA221" i="3"/>
  <c r="AZ221" i="3" s="1"/>
  <c r="BA222" i="3"/>
  <c r="AZ222" i="3" s="1"/>
  <c r="BA223" i="3"/>
  <c r="AZ223" i="3" s="1"/>
  <c r="BA224" i="3"/>
  <c r="AZ224" i="3" s="1"/>
  <c r="G227" i="3"/>
  <c r="G228" i="3"/>
  <c r="G229" i="3"/>
  <c r="BL229" i="3"/>
  <c r="AZ229" i="3" s="1"/>
  <c r="BA230" i="3"/>
  <c r="AZ230" i="3" s="1"/>
  <c r="BA231" i="3"/>
  <c r="AZ231"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G323" i="3"/>
  <c r="BL324" i="3"/>
  <c r="AZ324" i="3" s="1"/>
  <c r="BL330" i="3"/>
  <c r="AZ330" i="3" s="1"/>
  <c r="BA332" i="3"/>
  <c r="AZ332" i="3" s="1"/>
  <c r="BA335" i="3"/>
  <c r="AZ335" i="3" s="1"/>
  <c r="BA339" i="3"/>
  <c r="AZ339" i="3" s="1"/>
  <c r="BL346" i="3"/>
  <c r="AZ346" i="3" s="1"/>
  <c r="G349" i="3"/>
  <c r="BA350" i="3"/>
  <c r="AZ350" i="3" s="1"/>
  <c r="BL353" i="3"/>
  <c r="AZ353" i="3" s="1"/>
  <c r="G362" i="3"/>
  <c r="G366" i="3"/>
  <c r="BA367" i="3"/>
  <c r="AZ367" i="3" s="1"/>
  <c r="BA374" i="3"/>
  <c r="AZ374" i="3" s="1"/>
  <c r="G378" i="3"/>
  <c r="BL383" i="3"/>
  <c r="AZ383" i="3" s="1"/>
  <c r="BA385" i="3"/>
  <c r="AZ385" i="3" s="1"/>
  <c r="BA388" i="3"/>
  <c r="AZ388" i="3" s="1"/>
  <c r="BA395" i="3"/>
  <c r="AZ395" i="3" s="1"/>
  <c r="BA396" i="3"/>
  <c r="AZ396" i="3" s="1"/>
  <c r="G209" i="3"/>
  <c r="G210" i="3"/>
  <c r="BL210" i="3"/>
  <c r="BA211" i="3"/>
  <c r="AZ211" i="3" s="1"/>
  <c r="BL213" i="3"/>
  <c r="AZ213" i="3" s="1"/>
  <c r="BL215" i="3"/>
  <c r="AZ215" i="3" s="1"/>
  <c r="BA216" i="3"/>
  <c r="AZ216" i="3" s="1"/>
  <c r="BL271" i="3"/>
  <c r="AZ271" i="3" s="1"/>
  <c r="BA272" i="3"/>
  <c r="AZ272" i="3" s="1"/>
  <c r="BA273" i="3"/>
  <c r="AZ273" i="3" s="1"/>
  <c r="BL275" i="3"/>
  <c r="AZ275" i="3" s="1"/>
  <c r="BA276" i="3"/>
  <c r="AZ276" i="3" s="1"/>
  <c r="G279" i="3"/>
  <c r="G280" i="3"/>
  <c r="G281" i="3"/>
  <c r="G282" i="3"/>
  <c r="BL282" i="3"/>
  <c r="G285" i="3"/>
  <c r="BL285" i="3"/>
  <c r="BL286" i="3"/>
  <c r="AZ286" i="3" s="1"/>
  <c r="BL288" i="3"/>
  <c r="AZ288" i="3" s="1"/>
  <c r="BA289" i="3"/>
  <c r="AZ289" i="3" s="1"/>
  <c r="BL291" i="3"/>
  <c r="AZ291" i="3" s="1"/>
  <c r="BA292" i="3"/>
  <c r="AZ292" i="3" s="1"/>
  <c r="G295" i="3"/>
  <c r="G296" i="3"/>
  <c r="G297" i="3"/>
  <c r="G298" i="3"/>
  <c r="G301" i="3"/>
  <c r="BL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L18" i="3"/>
  <c r="G19" i="3"/>
  <c r="BA20" i="3"/>
  <c r="AZ20" i="3" s="1"/>
  <c r="BA21" i="3"/>
  <c r="BL21" i="3"/>
  <c r="G22" i="3"/>
  <c r="BA23" i="3"/>
  <c r="BA24" i="3"/>
  <c r="BA25" i="3"/>
  <c r="BL26" i="3"/>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AZ122" i="3"/>
  <c r="AZ52" i="3"/>
  <c r="BL54" i="3"/>
  <c r="BL57" i="3"/>
  <c r="BL59" i="3"/>
  <c r="AZ59" i="3" s="1"/>
  <c r="BA60" i="3"/>
  <c r="BL60" i="3"/>
  <c r="G61" i="3"/>
  <c r="BL63" i="3"/>
  <c r="AZ63" i="3" s="1"/>
  <c r="BA64" i="3"/>
  <c r="AZ64" i="3" s="1"/>
  <c r="BL66" i="3"/>
  <c r="AZ66" i="3" s="1"/>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BL93" i="3"/>
  <c r="AZ93" i="3" s="1"/>
  <c r="BL96" i="3"/>
  <c r="BA102" i="3"/>
  <c r="BL102" i="3"/>
  <c r="G103" i="3"/>
  <c r="BL103" i="3"/>
  <c r="BA104" i="3"/>
  <c r="AZ104" i="3" s="1"/>
  <c r="BA105" i="3"/>
  <c r="AZ105" i="3" s="1"/>
  <c r="BL107" i="3"/>
  <c r="AZ107" i="3" s="1"/>
  <c r="BA108" i="3"/>
  <c r="BL108" i="3"/>
  <c r="BA110" i="3"/>
  <c r="AZ110" i="3" s="1"/>
  <c r="BA111" i="3"/>
  <c r="AZ111" i="3" s="1"/>
  <c r="AZ57" i="3"/>
  <c r="BL61" i="3"/>
  <c r="AZ61" i="3" s="1"/>
  <c r="AZ68" i="3"/>
  <c r="BL91" i="3"/>
  <c r="AZ91" i="3" s="1"/>
  <c r="BL98" i="3"/>
  <c r="AZ98" i="3" s="1"/>
  <c r="BL101" i="3"/>
  <c r="AZ101" i="3" s="1"/>
  <c r="BL109" i="3"/>
  <c r="AZ109" i="3" s="1"/>
  <c r="AZ90" i="3"/>
  <c r="AZ96" i="3"/>
  <c r="AZ99" i="3"/>
  <c r="G101" i="3"/>
  <c r="AZ106" i="3"/>
  <c r="G18" i="3"/>
  <c r="G20" i="3"/>
  <c r="G23" i="3"/>
  <c r="G28" i="3"/>
  <c r="G29" i="3"/>
  <c r="G30" i="3"/>
  <c r="G35" i="3"/>
  <c r="G36" i="3"/>
  <c r="G39" i="3"/>
  <c r="G40" i="3"/>
  <c r="G45" i="3"/>
  <c r="G46" i="3"/>
  <c r="G49" i="3"/>
  <c r="G53" i="3"/>
  <c r="G54" i="3"/>
  <c r="G57" i="3"/>
  <c r="AZ62" i="3"/>
  <c r="G65" i="3"/>
  <c r="G69" i="3"/>
  <c r="G70" i="3"/>
  <c r="G74" i="3"/>
  <c r="G75" i="3"/>
  <c r="G76" i="3"/>
  <c r="G79" i="3"/>
  <c r="G80" i="3"/>
  <c r="G81" i="3"/>
  <c r="G88" i="3"/>
  <c r="G89" i="3"/>
  <c r="G90" i="3"/>
  <c r="G96" i="3"/>
  <c r="G105" i="3"/>
  <c r="G106" i="3"/>
  <c r="G109" i="3"/>
  <c r="E19" i="71"/>
  <c r="E18" i="71" s="1"/>
  <c r="E17" i="71" s="1"/>
  <c r="E16" i="71" s="1"/>
  <c r="V20" i="71"/>
  <c r="AZ521" i="3"/>
  <c r="AZ557" i="3"/>
  <c r="AZ567" i="3"/>
  <c r="AZ571" i="3"/>
  <c r="AZ575" i="3"/>
  <c r="AZ579" i="3"/>
  <c r="AA44" i="34"/>
  <c r="S44" i="34"/>
  <c r="U23" i="34"/>
  <c r="AB23" i="34"/>
  <c r="AB33" i="35"/>
  <c r="U33" i="35"/>
  <c r="W11" i="40"/>
  <c r="AC11" i="40"/>
  <c r="AC9" i="34"/>
  <c r="W9" i="34"/>
  <c r="AC34" i="35"/>
  <c r="W34" i="35"/>
  <c r="AC31" i="40"/>
  <c r="W31" i="40"/>
  <c r="AZ409" i="3"/>
  <c r="AC23" i="21"/>
  <c r="K54" i="43"/>
  <c r="J54" i="43" s="1"/>
  <c r="M54" i="43"/>
  <c r="N54" i="43" s="1"/>
  <c r="AC12" i="37"/>
  <c r="AZ581" i="3"/>
  <c r="AC28" i="21"/>
  <c r="W13" i="36"/>
  <c r="AA14" i="33"/>
  <c r="S13" i="35"/>
  <c r="AA13" i="35"/>
  <c r="AB46" i="33"/>
  <c r="U46" i="33"/>
  <c r="W30" i="34"/>
  <c r="AC30" i="34"/>
  <c r="AA45" i="33"/>
  <c r="S45" i="33"/>
  <c r="AC29" i="33"/>
  <c r="W29" i="33"/>
  <c r="S29" i="35"/>
  <c r="AA29" i="35"/>
  <c r="AB23" i="40"/>
  <c r="U23" i="40"/>
  <c r="AB9" i="36"/>
  <c r="U9" i="36"/>
  <c r="AB14" i="37"/>
  <c r="U14" i="37"/>
  <c r="AZ399" i="3"/>
  <c r="AA39" i="37"/>
  <c r="AB12" i="33"/>
  <c r="S34" i="21"/>
  <c r="U33" i="33"/>
  <c r="W28" i="35"/>
  <c r="J33" i="36"/>
  <c r="AC33" i="36" s="1"/>
  <c r="W28" i="36"/>
  <c r="U30" i="37"/>
  <c r="J12" i="21"/>
  <c r="F9" i="34"/>
  <c r="AA9" i="34" s="1"/>
  <c r="F12" i="34"/>
  <c r="AC31" i="35"/>
  <c r="F34" i="35"/>
  <c r="H34" i="35"/>
  <c r="J36" i="35"/>
  <c r="F23" i="36"/>
  <c r="H23" i="36"/>
  <c r="BC5" i="3"/>
  <c r="F7" i="1"/>
  <c r="G44" i="43"/>
  <c r="A15" i="62"/>
  <c r="B61" i="72" s="1"/>
  <c r="AZ425" i="3"/>
  <c r="AZ432" i="3"/>
  <c r="AZ445" i="3"/>
  <c r="AZ447" i="3"/>
  <c r="AZ464" i="3"/>
  <c r="AZ467" i="3"/>
  <c r="AZ474" i="3"/>
  <c r="AZ480" i="3"/>
  <c r="AZ482" i="3"/>
  <c r="AZ486" i="3"/>
  <c r="AZ488" i="3"/>
  <c r="BL15" i="3"/>
  <c r="AZ15" i="3" s="1"/>
  <c r="G6" i="1"/>
  <c r="I24" i="43"/>
  <c r="C24" i="43" s="1"/>
  <c r="AZ414" i="3"/>
  <c r="AZ210" i="3"/>
  <c r="AZ225" i="3"/>
  <c r="AZ244" i="3"/>
  <c r="AZ247" i="3"/>
  <c r="AZ260" i="3"/>
  <c r="AZ264" i="3"/>
  <c r="AZ282" i="3"/>
  <c r="AZ285" i="3"/>
  <c r="AZ290" i="3"/>
  <c r="AZ293" i="3"/>
  <c r="AZ153" i="3"/>
  <c r="AZ46" i="3"/>
  <c r="AZ49" i="3"/>
  <c r="BL23" i="3"/>
  <c r="AZ23" i="3" s="1"/>
  <c r="BL24" i="3"/>
  <c r="BL25" i="3"/>
  <c r="AZ25" i="3" s="1"/>
  <c r="AZ54" i="3"/>
  <c r="AZ65" i="3"/>
  <c r="AZ70" i="3"/>
  <c r="AZ76" i="3"/>
  <c r="D36" i="71"/>
  <c r="T36" i="71"/>
  <c r="G21" i="3"/>
  <c r="AZ92" i="3"/>
  <c r="AZ103" i="3"/>
  <c r="J51" i="15"/>
  <c r="C21" i="68"/>
  <c r="C43" i="71"/>
  <c r="D42" i="71"/>
  <c r="C47" i="71"/>
  <c r="D47" i="71" s="1"/>
  <c r="D46" i="71"/>
  <c r="S18" i="36"/>
  <c r="O65" i="71"/>
  <c r="D27" i="71"/>
  <c r="C82" i="71"/>
  <c r="D82" i="71" s="1"/>
  <c r="D67" i="71"/>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AA26" i="71"/>
  <c r="AA31" i="71"/>
  <c r="X9" i="71"/>
  <c r="X10" i="71"/>
  <c r="Y39" i="71"/>
  <c r="Z39" i="71" s="1"/>
  <c r="AA39" i="71"/>
  <c r="AB10" i="71"/>
  <c r="AB9" i="71"/>
  <c r="AB24" i="71"/>
  <c r="AA23" i="71"/>
  <c r="AA22" i="71"/>
  <c r="Y18" i="71"/>
  <c r="Z18" i="71" s="1"/>
  <c r="X18" i="71"/>
  <c r="AA18" i="71"/>
  <c r="X14" i="71"/>
  <c r="AA13" i="71"/>
  <c r="X24" i="71"/>
  <c r="Y24" i="71"/>
  <c r="Z24" i="71" s="1"/>
  <c r="AB15" i="71"/>
  <c r="AB17" i="71"/>
  <c r="AB12" i="71"/>
  <c r="AB14" i="71"/>
  <c r="AA11" i="71"/>
  <c r="X11" i="71"/>
  <c r="Y12" i="71"/>
  <c r="Z12" i="71" s="1"/>
  <c r="Y13" i="71"/>
  <c r="Z13" i="71" s="1"/>
  <c r="Y23" i="71"/>
  <c r="Z23" i="71" s="1"/>
  <c r="Y22" i="71"/>
  <c r="Z22" i="71" s="1"/>
  <c r="X15" i="71"/>
  <c r="AA15" i="71"/>
  <c r="AB11" i="71"/>
  <c r="AB13" i="71"/>
  <c r="AA12" i="71"/>
  <c r="AA14" i="71"/>
  <c r="X13" i="71"/>
  <c r="X12" i="71"/>
  <c r="Y11" i="71"/>
  <c r="Z11" i="71" s="1"/>
  <c r="C28" i="67"/>
  <c r="D54" i="43"/>
  <c r="BA13" i="3"/>
  <c r="H50" i="43"/>
  <c r="G50" i="43" s="1"/>
  <c r="F32" i="67"/>
  <c r="F60" i="67" s="1"/>
  <c r="C40" i="68"/>
  <c r="C40" i="69"/>
  <c r="BB5" i="3"/>
  <c r="E10" i="6" s="1"/>
  <c r="BA26" i="3"/>
  <c r="AZ26" i="3" s="1"/>
  <c r="H5" i="3"/>
  <c r="BA18" i="3"/>
  <c r="AZ18" i="3" s="1"/>
  <c r="BA19" i="3"/>
  <c r="AZ19" i="3" s="1"/>
  <c r="AZ24" i="3"/>
  <c r="F29" i="6"/>
  <c r="G29" i="6"/>
  <c r="G28" i="6"/>
  <c r="B68" i="43"/>
  <c r="B73" i="43"/>
  <c r="B79" i="43"/>
  <c r="B75" i="43"/>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E26" i="43"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H16" i="1"/>
  <c r="P11" i="1"/>
  <c r="K14"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D6" i="73"/>
  <c r="C16" i="67"/>
  <c r="D5" i="73"/>
  <c r="C16" i="15"/>
  <c r="D30" i="71" l="1"/>
  <c r="C31" i="71"/>
  <c r="AZ85" i="3"/>
  <c r="AZ83" i="3"/>
  <c r="AZ81" i="3"/>
  <c r="AZ166" i="3"/>
  <c r="AZ214" i="3"/>
  <c r="AZ212" i="3"/>
  <c r="AZ451" i="3"/>
  <c r="AZ438" i="3"/>
  <c r="AZ435" i="3"/>
  <c r="U39" i="40"/>
  <c r="AB39" i="40"/>
  <c r="AC25" i="37"/>
  <c r="W25" i="37"/>
  <c r="S12" i="35"/>
  <c r="AA12" i="35"/>
  <c r="G30" i="6"/>
  <c r="G31" i="6" s="1"/>
  <c r="G37" i="6" s="1"/>
  <c r="G39" i="6" s="1"/>
  <c r="E29" i="6"/>
  <c r="K15" i="1" s="1"/>
  <c r="AZ108" i="3"/>
  <c r="W27" i="33"/>
  <c r="B19" i="71"/>
  <c r="B18" i="71" s="1"/>
  <c r="B17" i="71" s="1"/>
  <c r="B16" i="71" s="1"/>
  <c r="S20" i="71"/>
  <c r="O66" i="71"/>
  <c r="D66" i="71"/>
  <c r="D59" i="71"/>
  <c r="C60" i="71"/>
  <c r="AC38" i="40"/>
  <c r="W38" i="40"/>
  <c r="AB24" i="36"/>
  <c r="U24" i="36"/>
  <c r="C18" i="71"/>
  <c r="D19" i="71"/>
  <c r="AA44" i="39"/>
  <c r="S44" i="39"/>
  <c r="AZ60" i="3"/>
  <c r="AZ21" i="3"/>
  <c r="AZ458" i="3"/>
  <c r="AZ443" i="3"/>
  <c r="AZ406" i="3"/>
  <c r="AZ550" i="3"/>
  <c r="AZ58" i="3"/>
  <c r="AZ182" i="3"/>
  <c r="AZ169" i="3"/>
  <c r="AZ133" i="3"/>
  <c r="AZ266" i="3"/>
  <c r="AZ256" i="3"/>
  <c r="AZ218" i="3"/>
  <c r="AZ397" i="3"/>
  <c r="AZ386" i="3"/>
  <c r="AZ317" i="3"/>
  <c r="AZ469" i="3"/>
  <c r="AZ412" i="3"/>
  <c r="S42" i="33"/>
  <c r="U27" i="33"/>
  <c r="S27" i="33"/>
  <c r="E15" i="6"/>
  <c r="E64" i="39" s="1"/>
  <c r="AA44" i="33"/>
  <c r="U36" i="33"/>
  <c r="AB36" i="33"/>
  <c r="AA36" i="33"/>
  <c r="S36" i="33"/>
  <c r="F7" i="36"/>
  <c r="S7" i="36" s="1"/>
  <c r="E13" i="6"/>
  <c r="E12" i="6"/>
  <c r="E57" i="40" s="1"/>
  <c r="BL5" i="3"/>
  <c r="BA5" i="3"/>
  <c r="AZ102" i="3"/>
  <c r="AZ462" i="3"/>
  <c r="AZ411" i="3"/>
  <c r="AZ402" i="3"/>
  <c r="G5" i="3"/>
  <c r="B3" i="3" s="1"/>
  <c r="E85" i="3" s="1"/>
  <c r="J57" i="67"/>
  <c r="J55" i="67" s="1"/>
  <c r="J58" i="67" s="1"/>
  <c r="Q50" i="67" s="1"/>
  <c r="I54" i="67"/>
  <c r="L58" i="67"/>
  <c r="Q73" i="67" s="1"/>
  <c r="J53" i="67"/>
  <c r="Q52" i="67" s="1"/>
  <c r="L56" i="67"/>
  <c r="J7" i="37"/>
  <c r="AC7" i="37" s="1"/>
  <c r="V42" i="37" s="1"/>
  <c r="I42" i="37" s="1"/>
  <c r="H7" i="36"/>
  <c r="U7" i="36" s="1"/>
  <c r="K57" i="43"/>
  <c r="J57" i="43" s="1"/>
  <c r="D57" i="43" s="1"/>
  <c r="M57" i="43"/>
  <c r="N57" i="43" s="1"/>
  <c r="M55" i="43"/>
  <c r="N55" i="43" s="1"/>
  <c r="K55" i="43"/>
  <c r="K56" i="43"/>
  <c r="M56" i="43"/>
  <c r="N56" i="43" s="1"/>
  <c r="M58" i="43"/>
  <c r="N58" i="43" s="1"/>
  <c r="K58" i="43"/>
  <c r="K50" i="43"/>
  <c r="M50" i="43"/>
  <c r="N50" i="43" s="1"/>
  <c r="C44" i="71"/>
  <c r="D43" i="71"/>
  <c r="AA23" i="36"/>
  <c r="S23" i="36"/>
  <c r="AB34" i="35"/>
  <c r="U34" i="35"/>
  <c r="B15" i="71"/>
  <c r="B14" i="71" s="1"/>
  <c r="B13" i="71" s="1"/>
  <c r="B12" i="71" s="1"/>
  <c r="S16" i="71"/>
  <c r="K53" i="43"/>
  <c r="M53" i="43"/>
  <c r="N53" i="43" s="1"/>
  <c r="K52" i="43"/>
  <c r="M52" i="43"/>
  <c r="N52" i="43" s="1"/>
  <c r="D33" i="43"/>
  <c r="D1" i="43" s="1"/>
  <c r="M51" i="43"/>
  <c r="N51" i="43" s="1"/>
  <c r="K51" i="43"/>
  <c r="B66" i="71"/>
  <c r="N67" i="71"/>
  <c r="G7" i="1"/>
  <c r="G16" i="1" s="1"/>
  <c r="F10" i="39" s="1"/>
  <c r="AA10" i="39" s="1"/>
  <c r="AB23" i="36"/>
  <c r="U23" i="36"/>
  <c r="AC36" i="35"/>
  <c r="W36" i="35"/>
  <c r="AA34" i="35"/>
  <c r="S34" i="35"/>
  <c r="S12" i="34"/>
  <c r="AA12" i="34"/>
  <c r="AC12" i="21"/>
  <c r="W12" i="21"/>
  <c r="E15" i="71"/>
  <c r="E14" i="71" s="1"/>
  <c r="E13" i="71" s="1"/>
  <c r="E12" i="71" s="1"/>
  <c r="V16" i="71"/>
  <c r="E11" i="6"/>
  <c r="E60" i="39" s="1"/>
  <c r="E14" i="6"/>
  <c r="E63" i="39" s="1"/>
  <c r="E396" i="3"/>
  <c r="E91" i="3"/>
  <c r="AA6" i="3"/>
  <c r="E359" i="3"/>
  <c r="E395" i="3"/>
  <c r="E69" i="3"/>
  <c r="E245" i="3"/>
  <c r="E445" i="3"/>
  <c r="E191" i="3"/>
  <c r="E518" i="3"/>
  <c r="E501" i="3"/>
  <c r="E278" i="3"/>
  <c r="E261" i="3"/>
  <c r="E117" i="3"/>
  <c r="E415" i="3"/>
  <c r="E489" i="3"/>
  <c r="E304" i="3"/>
  <c r="E337" i="3"/>
  <c r="E290" i="3"/>
  <c r="E509" i="3"/>
  <c r="E213" i="3"/>
  <c r="E523" i="3"/>
  <c r="E570" i="3"/>
  <c r="E237" i="3"/>
  <c r="E514" i="3"/>
  <c r="E175" i="3"/>
  <c r="E478" i="3"/>
  <c r="AB6" i="3"/>
  <c r="E201" i="3"/>
  <c r="E426" i="3"/>
  <c r="E528" i="3"/>
  <c r="E230" i="3"/>
  <c r="E538" i="3"/>
  <c r="E143" i="3"/>
  <c r="E322" i="3"/>
  <c r="E215" i="3"/>
  <c r="E506" i="3"/>
  <c r="E229" i="3"/>
  <c r="E305" i="3"/>
  <c r="E331" i="3"/>
  <c r="E273" i="3"/>
  <c r="E433" i="3"/>
  <c r="E295" i="3"/>
  <c r="E481" i="3"/>
  <c r="V6" i="3"/>
  <c r="E311" i="3"/>
  <c r="E579" i="3"/>
  <c r="E268" i="3"/>
  <c r="E121" i="3"/>
  <c r="E555" i="3"/>
  <c r="E343" i="3"/>
  <c r="E71" i="3"/>
  <c r="M6" i="3"/>
  <c r="E97" i="3"/>
  <c r="E516" i="3"/>
  <c r="E553" i="3"/>
  <c r="E28" i="3"/>
  <c r="E546" i="3"/>
  <c r="E367" i="3"/>
  <c r="AR6" i="3"/>
  <c r="E247" i="3"/>
  <c r="E328" i="3"/>
  <c r="E217" i="3"/>
  <c r="E441" i="3"/>
  <c r="E414" i="3"/>
  <c r="E572" i="3"/>
  <c r="E485" i="3"/>
  <c r="E432" i="3"/>
  <c r="E14" i="3"/>
  <c r="E106" i="3"/>
  <c r="E480" i="3"/>
  <c r="E272" i="3"/>
  <c r="E476" i="3"/>
  <c r="E515" i="3"/>
  <c r="E529" i="3"/>
  <c r="E298" i="3"/>
  <c r="E418" i="3"/>
  <c r="S6" i="3"/>
  <c r="E285" i="3"/>
  <c r="O6" i="3"/>
  <c r="E153" i="3"/>
  <c r="E53" i="3"/>
  <c r="E29" i="3"/>
  <c r="E211" i="3"/>
  <c r="E444" i="3"/>
  <c r="AG6" i="3"/>
  <c r="E109" i="3"/>
  <c r="E126" i="3"/>
  <c r="E531" i="3"/>
  <c r="U6" i="3"/>
  <c r="E30" i="3"/>
  <c r="E182" i="3"/>
  <c r="E547" i="3"/>
  <c r="E327" i="3"/>
  <c r="AM6" i="3"/>
  <c r="E162" i="3"/>
  <c r="E557" i="3"/>
  <c r="E271" i="3"/>
  <c r="E431" i="3"/>
  <c r="AJ6" i="3"/>
  <c r="E526" i="3"/>
  <c r="E317" i="3"/>
  <c r="E70" i="3"/>
  <c r="E477" i="3"/>
  <c r="E549" i="3"/>
  <c r="E183" i="3"/>
  <c r="E185" i="3"/>
  <c r="E380" i="3"/>
  <c r="E561" i="3"/>
  <c r="E270" i="3"/>
  <c r="E410" i="3"/>
  <c r="E508" i="3"/>
  <c r="E530" i="3"/>
  <c r="E377" i="3"/>
  <c r="E88" i="3"/>
  <c r="E443" i="3"/>
  <c r="E93" i="3"/>
  <c r="N370" i="46"/>
  <c r="E334" i="3"/>
  <c r="E166" i="3"/>
  <c r="E404" i="3"/>
  <c r="E558" i="3"/>
  <c r="E411" i="3"/>
  <c r="E368" i="3"/>
  <c r="E562" i="3"/>
  <c r="E193" i="3"/>
  <c r="E576" i="3"/>
  <c r="E362" i="3"/>
  <c r="E314" i="3"/>
  <c r="E291" i="3"/>
  <c r="E92" i="3"/>
  <c r="E403" i="3"/>
  <c r="E400" i="3"/>
  <c r="E379" i="3"/>
  <c r="E318" i="3"/>
  <c r="E257" i="3"/>
  <c r="E44" i="3"/>
  <c r="E210" i="3"/>
  <c r="E27" i="3"/>
  <c r="AS6" i="3"/>
  <c r="P6" i="3"/>
  <c r="E107" i="3"/>
  <c r="E171" i="3"/>
  <c r="E581" i="3"/>
  <c r="E548" i="3"/>
  <c r="E164" i="3"/>
  <c r="E150" i="3"/>
  <c r="E384" i="3"/>
  <c r="E186" i="3"/>
  <c r="E447" i="3"/>
  <c r="E505" i="3"/>
  <c r="E448" i="3"/>
  <c r="E196" i="3"/>
  <c r="E496" i="3"/>
  <c r="E236" i="3"/>
  <c r="E580" i="3"/>
  <c r="E256" i="3"/>
  <c r="E475" i="3"/>
  <c r="E465" i="3"/>
  <c r="E352" i="3"/>
  <c r="E208" i="3"/>
  <c r="E454" i="3"/>
  <c r="E457" i="3"/>
  <c r="E545" i="3"/>
  <c r="E461" i="3"/>
  <c r="I6" i="3"/>
  <c r="E394" i="3"/>
  <c r="E203" i="3"/>
  <c r="E471" i="3"/>
  <c r="E560" i="3"/>
  <c r="E122" i="3"/>
  <c r="E145" i="3"/>
  <c r="E397" i="3"/>
  <c r="E357" i="3"/>
  <c r="E168" i="3"/>
  <c r="E468" i="3"/>
  <c r="E573" i="3"/>
  <c r="E345" i="3"/>
  <c r="AO6" i="3"/>
  <c r="E204" i="3"/>
  <c r="E227" i="3"/>
  <c r="E315" i="3"/>
  <c r="E146" i="3"/>
  <c r="AE6" i="3"/>
  <c r="E330" i="3"/>
  <c r="E567" i="3"/>
  <c r="E351" i="3"/>
  <c r="E111" i="3"/>
  <c r="W6" i="3"/>
  <c r="E313" i="3"/>
  <c r="E252" i="3"/>
  <c r="E32" i="3"/>
  <c r="E274" i="3"/>
  <c r="E73" i="3"/>
  <c r="E587" i="3"/>
  <c r="E133" i="3"/>
  <c r="Z6" i="3"/>
  <c r="E89" i="3"/>
  <c r="E74" i="3"/>
  <c r="E214" i="3"/>
  <c r="E72" i="3"/>
  <c r="E344" i="3"/>
  <c r="E224" i="3"/>
  <c r="E585" i="3"/>
  <c r="E269" i="3"/>
  <c r="E31" i="3"/>
  <c r="E279" i="3"/>
  <c r="E55" i="3"/>
  <c r="E288" i="3"/>
  <c r="AK6" i="3"/>
  <c r="E238" i="3"/>
  <c r="E568" i="3"/>
  <c r="E474" i="3"/>
  <c r="E277" i="3"/>
  <c r="J26" i="43"/>
  <c r="E450" i="3"/>
  <c r="E472" i="3"/>
  <c r="E45" i="3"/>
  <c r="E429" i="3"/>
  <c r="E458" i="3"/>
  <c r="E262" i="3"/>
  <c r="E437" i="3"/>
  <c r="E306" i="3"/>
  <c r="P6" i="1"/>
  <c r="C13" i="12" s="1"/>
  <c r="E511" i="3"/>
  <c r="E453" i="3"/>
  <c r="E177" i="3"/>
  <c r="E128" i="3"/>
  <c r="E156" i="3"/>
  <c r="F26" i="43"/>
  <c r="E77" i="3"/>
  <c r="E253" i="3"/>
  <c r="E424" i="3"/>
  <c r="Q6" i="3"/>
  <c r="E120" i="3"/>
  <c r="E434" i="3"/>
  <c r="E54" i="3"/>
  <c r="E537" i="3"/>
  <c r="E438" i="3"/>
  <c r="E532" i="3"/>
  <c r="E157" i="3"/>
  <c r="E136" i="3"/>
  <c r="E577" i="3"/>
  <c r="E406" i="3"/>
  <c r="K6" i="3"/>
  <c r="E228" i="3"/>
  <c r="E181" i="3"/>
  <c r="E571" i="3"/>
  <c r="E527" i="3"/>
  <c r="E519" i="3"/>
  <c r="E99" i="3"/>
  <c r="E510" i="3"/>
  <c r="E205" i="3"/>
  <c r="E197" i="3"/>
  <c r="E405" i="3"/>
  <c r="E512" i="3"/>
  <c r="E470" i="3"/>
  <c r="E281" i="3"/>
  <c r="E428" i="3"/>
  <c r="E324" i="3"/>
  <c r="AF6" i="3"/>
  <c r="E83" i="3"/>
  <c r="E494" i="3"/>
  <c r="E190" i="3"/>
  <c r="E102" i="3"/>
  <c r="E141" i="3"/>
  <c r="E219" i="3"/>
  <c r="E479" i="3"/>
  <c r="E369" i="3"/>
  <c r="E26" i="3"/>
  <c r="E412" i="3"/>
  <c r="E370" i="3"/>
  <c r="E165" i="3"/>
  <c r="E167" i="3"/>
  <c r="AD6" i="3"/>
  <c r="E421" i="3"/>
  <c r="E398" i="3"/>
  <c r="E374" i="3"/>
  <c r="E582" i="3"/>
  <c r="E520" i="3"/>
  <c r="E90" i="3"/>
  <c r="E187" i="3"/>
  <c r="E297" i="3"/>
  <c r="E378" i="3"/>
  <c r="E58" i="3"/>
  <c r="E462" i="3"/>
  <c r="E47" i="3"/>
  <c r="E138" i="3"/>
  <c r="E248" i="3"/>
  <c r="E307" i="3"/>
  <c r="E584" i="3"/>
  <c r="E48" i="3"/>
  <c r="E250" i="3"/>
  <c r="Y6" i="3"/>
  <c r="E154" i="3"/>
  <c r="E323" i="3"/>
  <c r="E296" i="3"/>
  <c r="E534" i="3"/>
  <c r="E408" i="3"/>
  <c r="E556" i="3"/>
  <c r="E420" i="3"/>
  <c r="E139" i="3"/>
  <c r="E356" i="3"/>
  <c r="E96" i="3"/>
  <c r="E35" i="3"/>
  <c r="E251" i="3"/>
  <c r="AH6" i="3"/>
  <c r="E137" i="3"/>
  <c r="E20" i="3"/>
  <c r="R6" i="3"/>
  <c r="E59" i="3"/>
  <c r="E84" i="3"/>
  <c r="E174" i="3"/>
  <c r="E16" i="3"/>
  <c r="E116" i="3"/>
  <c r="E493" i="3"/>
  <c r="E427" i="3"/>
  <c r="E422" i="3"/>
  <c r="E376" i="3"/>
  <c r="E498" i="3"/>
  <c r="E401" i="3"/>
  <c r="E25" i="3"/>
  <c r="E119" i="3"/>
  <c r="E226" i="3"/>
  <c r="E333" i="3"/>
  <c r="E60" i="3"/>
  <c r="E473" i="3"/>
  <c r="E79" i="3"/>
  <c r="E170" i="3"/>
  <c r="E234" i="3"/>
  <c r="E339" i="3"/>
  <c r="AQ6" i="3"/>
  <c r="E112" i="3"/>
  <c r="E289" i="3"/>
  <c r="E50" i="3"/>
  <c r="E176" i="3"/>
  <c r="E365" i="3"/>
  <c r="E68" i="3"/>
  <c r="E309" i="3"/>
  <c r="E542" i="3"/>
  <c r="E413" i="3"/>
  <c r="E57" i="3"/>
  <c r="E375" i="3"/>
  <c r="E98" i="3"/>
  <c r="E195" i="3"/>
  <c r="E386" i="3"/>
  <c r="E284" i="3"/>
  <c r="E373" i="3"/>
  <c r="E188" i="3"/>
  <c r="E564" i="3"/>
  <c r="E419" i="3"/>
  <c r="E276" i="3"/>
  <c r="E325" i="3"/>
  <c r="E218" i="3"/>
  <c r="E95" i="3"/>
  <c r="E249" i="3"/>
  <c r="E536" i="3"/>
  <c r="E199" i="3"/>
  <c r="E499" i="3"/>
  <c r="E442" i="3"/>
  <c r="E430" i="3"/>
  <c r="I3" i="6"/>
  <c r="E517" i="3"/>
  <c r="E417" i="3"/>
  <c r="E37" i="3"/>
  <c r="E132" i="3"/>
  <c r="E241" i="3"/>
  <c r="E349" i="3"/>
  <c r="E76" i="3"/>
  <c r="E484" i="3"/>
  <c r="E64" i="3"/>
  <c r="E160" i="3"/>
  <c r="E267" i="3"/>
  <c r="E371" i="3"/>
  <c r="E23" i="3"/>
  <c r="E33" i="3"/>
  <c r="E233" i="3"/>
  <c r="E118" i="3"/>
  <c r="E173" i="3"/>
  <c r="E41" i="3"/>
  <c r="E94" i="3"/>
  <c r="E383" i="3"/>
  <c r="E158" i="3"/>
  <c r="E464" i="3"/>
  <c r="E372" i="3"/>
  <c r="E524" i="3"/>
  <c r="E425" i="3"/>
  <c r="E497" i="3"/>
  <c r="AL6" i="3"/>
  <c r="E86" i="3"/>
  <c r="E22" i="3"/>
  <c r="E110" i="3"/>
  <c r="E51" i="3"/>
  <c r="E486" i="3"/>
  <c r="E38" i="3"/>
  <c r="E292" i="3"/>
  <c r="E63" i="3"/>
  <c r="E140" i="3"/>
  <c r="E451" i="3"/>
  <c r="E115" i="3"/>
  <c r="E75" i="3"/>
  <c r="E342" i="3"/>
  <c r="E287" i="3"/>
  <c r="E244" i="3"/>
  <c r="E416" i="3"/>
  <c r="E566" i="3"/>
  <c r="E436" i="3"/>
  <c r="E155" i="3"/>
  <c r="E259" i="3"/>
  <c r="E521" i="3"/>
  <c r="E209" i="3"/>
  <c r="E66" i="3"/>
  <c r="E179" i="3"/>
  <c r="E463" i="3"/>
  <c r="E52" i="3"/>
  <c r="E435" i="3"/>
  <c r="E355" i="3"/>
  <c r="T6" i="3"/>
  <c r="E452" i="3"/>
  <c r="E225" i="3"/>
  <c r="E78" i="3"/>
  <c r="E80" i="3"/>
  <c r="E149" i="3"/>
  <c r="E312" i="3"/>
  <c r="E552" i="3"/>
  <c r="E487" i="3"/>
  <c r="E459" i="3"/>
  <c r="E500" i="3"/>
  <c r="E460" i="3"/>
  <c r="E39" i="3"/>
  <c r="E131" i="3"/>
  <c r="E240" i="3"/>
  <c r="E348" i="3"/>
  <c r="E504" i="3"/>
  <c r="E488" i="3"/>
  <c r="E446" i="3"/>
  <c r="E65" i="3"/>
  <c r="E163" i="3"/>
  <c r="E266" i="3"/>
  <c r="E354" i="3"/>
  <c r="E24" i="3"/>
  <c r="E127" i="3"/>
  <c r="E341" i="3"/>
  <c r="E19" i="3"/>
  <c r="E222" i="3"/>
  <c r="E82" i="3"/>
  <c r="E43" i="3"/>
  <c r="E340" i="3"/>
  <c r="E148" i="3"/>
  <c r="E466" i="3"/>
  <c r="E192" i="3"/>
  <c r="E46" i="3"/>
  <c r="E310" i="3"/>
  <c r="E513" i="3"/>
  <c r="E329" i="3"/>
  <c r="E223" i="3"/>
  <c r="E393" i="3"/>
  <c r="E543" i="3"/>
  <c r="E507" i="3"/>
  <c r="E490" i="3"/>
  <c r="J6" i="3"/>
  <c r="E483" i="3"/>
  <c r="E40" i="3"/>
  <c r="E178" i="3"/>
  <c r="E242" i="3"/>
  <c r="E346" i="3"/>
  <c r="L6" i="3"/>
  <c r="E540" i="3"/>
  <c r="E455" i="3"/>
  <c r="E100" i="3"/>
  <c r="E194" i="3"/>
  <c r="E299" i="3"/>
  <c r="E392" i="3"/>
  <c r="E36" i="3"/>
  <c r="E147" i="3"/>
  <c r="E364" i="3"/>
  <c r="E62" i="3"/>
  <c r="E265" i="3"/>
  <c r="E101" i="3"/>
  <c r="E202" i="3"/>
  <c r="AP6" i="3"/>
  <c r="E264" i="3"/>
  <c r="E469" i="3"/>
  <c r="E332" i="3"/>
  <c r="E206" i="3"/>
  <c r="E539" i="3"/>
  <c r="E212" i="3"/>
  <c r="E575" i="3"/>
  <c r="E502" i="3"/>
  <c r="E541" i="3"/>
  <c r="E255" i="3"/>
  <c r="E554" i="3"/>
  <c r="E491" i="3"/>
  <c r="E56" i="3"/>
  <c r="E152" i="3"/>
  <c r="E258" i="3"/>
  <c r="E363" i="3"/>
  <c r="E544" i="3"/>
  <c r="E409" i="3"/>
  <c r="E467" i="3"/>
  <c r="E103" i="3"/>
  <c r="E200" i="3"/>
  <c r="E300" i="3"/>
  <c r="E492" i="3"/>
  <c r="E67" i="3"/>
  <c r="E184" i="3"/>
  <c r="E381" i="3"/>
  <c r="E81" i="3"/>
  <c r="E283" i="3"/>
  <c r="E21" i="3"/>
  <c r="E525" i="3"/>
  <c r="E360" i="3"/>
  <c r="E13" i="3"/>
  <c r="E104" i="3"/>
  <c r="E198" i="3"/>
  <c r="E391" i="3"/>
  <c r="E42" i="3"/>
  <c r="E18" i="3"/>
  <c r="E129" i="3"/>
  <c r="E220" i="3"/>
  <c r="E522" i="3"/>
  <c r="E34" i="3"/>
  <c r="E232" i="3"/>
  <c r="E113" i="3"/>
  <c r="E308" i="3"/>
  <c r="E456" i="3"/>
  <c r="E243" i="3"/>
  <c r="E482" i="3"/>
  <c r="E275" i="3"/>
  <c r="E49" i="3"/>
  <c r="E326" i="3"/>
  <c r="E87" i="3"/>
  <c r="E105" i="3"/>
  <c r="E440" i="3"/>
  <c r="E108" i="3"/>
  <c r="E15" i="3"/>
  <c r="E123" i="3"/>
  <c r="E286" i="3"/>
  <c r="E449" i="3"/>
  <c r="E389" i="3"/>
  <c r="E142" i="3"/>
  <c r="E144" i="3"/>
  <c r="E235" i="3"/>
  <c r="H26" i="43"/>
  <c r="K16" i="1"/>
  <c r="E59" i="40"/>
  <c r="G26" i="43"/>
  <c r="N94" i="46"/>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F37" i="6" s="1"/>
  <c r="F39" i="6" s="1"/>
  <c r="E51" i="40"/>
  <c r="E16" i="6"/>
  <c r="E58" i="40"/>
  <c r="E62" i="39"/>
  <c r="AY6" i="3"/>
  <c r="M14" i="1"/>
  <c r="D5" i="43"/>
  <c r="J10" i="40"/>
  <c r="AC10" i="40" s="1"/>
  <c r="F10" i="40"/>
  <c r="S10" i="40" s="1"/>
  <c r="H10" i="40"/>
  <c r="AB10" i="40" s="1"/>
  <c r="C7" i="43"/>
  <c r="C5" i="43" s="1"/>
  <c r="D10" i="52"/>
  <c r="D125" i="9"/>
  <c r="D11" i="52" s="1"/>
  <c r="B7" i="74"/>
  <c r="C7" i="74" s="1"/>
  <c r="F59" i="67"/>
  <c r="H7" i="37"/>
  <c r="AB7" i="37" s="1"/>
  <c r="T42" i="37" s="1"/>
  <c r="G42" i="37" s="1"/>
  <c r="S10" i="39"/>
  <c r="H7" i="33"/>
  <c r="J7" i="33"/>
  <c r="D65" i="40"/>
  <c r="E63" i="40"/>
  <c r="F48" i="35"/>
  <c r="AA7" i="36"/>
  <c r="R36" i="36"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Q60" i="15"/>
  <c r="Q73" i="15"/>
  <c r="Q61" i="67"/>
  <c r="Q74" i="67"/>
  <c r="Q74" i="15"/>
  <c r="Q61" i="15"/>
  <c r="AE11" i="1"/>
  <c r="AE9" i="1"/>
  <c r="F27" i="68"/>
  <c r="AE7" i="1"/>
  <c r="AE8" i="1"/>
  <c r="AE12" i="1"/>
  <c r="AE10" i="1"/>
  <c r="G1" i="73"/>
  <c r="F41" i="67"/>
  <c r="AE6" i="1"/>
  <c r="E207" i="3" l="1"/>
  <c r="E316" i="3"/>
  <c r="E574" i="3"/>
  <c r="E320" i="3"/>
  <c r="E239" i="3"/>
  <c r="E388" i="3"/>
  <c r="E169" i="3"/>
  <c r="E303" i="3"/>
  <c r="E130" i="3"/>
  <c r="E293" i="3"/>
  <c r="E151" i="3"/>
  <c r="E134" i="3"/>
  <c r="E390" i="3"/>
  <c r="E358" i="3"/>
  <c r="E336" i="3"/>
  <c r="E423" i="3"/>
  <c r="E402" i="3"/>
  <c r="E172" i="3"/>
  <c r="E294" i="3"/>
  <c r="N6" i="3"/>
  <c r="E385" i="3"/>
  <c r="E189" i="3"/>
  <c r="E563" i="3"/>
  <c r="E17" i="3"/>
  <c r="E246" i="3"/>
  <c r="E583" i="3"/>
  <c r="E254" i="3"/>
  <c r="B40" i="1"/>
  <c r="L36" i="43" s="1"/>
  <c r="P36" i="43" s="1"/>
  <c r="D60" i="71"/>
  <c r="T60" i="71"/>
  <c r="C17" i="71"/>
  <c r="D18" i="71"/>
  <c r="D31" i="71"/>
  <c r="C32" i="71"/>
  <c r="AZ5" i="3"/>
  <c r="E3" i="6" s="1"/>
  <c r="B14" i="74" s="1"/>
  <c r="E302" i="3"/>
  <c r="AI6" i="3"/>
  <c r="F1" i="67"/>
  <c r="Q60" i="67"/>
  <c r="J10" i="39"/>
  <c r="W10" i="39" s="1"/>
  <c r="H10" i="39"/>
  <c r="U10" i="39" s="1"/>
  <c r="E221" i="3"/>
  <c r="E353" i="3"/>
  <c r="E551" i="3"/>
  <c r="E260" i="3"/>
  <c r="E382" i="3"/>
  <c r="E125" i="3"/>
  <c r="E319" i="3"/>
  <c r="E335" i="3"/>
  <c r="E503" i="3"/>
  <c r="E586" i="3"/>
  <c r="E366" i="3"/>
  <c r="E321" i="3"/>
  <c r="E535" i="3"/>
  <c r="E114" i="3"/>
  <c r="E350" i="3"/>
  <c r="E533" i="3"/>
  <c r="E180" i="3"/>
  <c r="E559" i="3"/>
  <c r="E161" i="3"/>
  <c r="X6" i="3"/>
  <c r="E338" i="3"/>
  <c r="E61" i="3"/>
  <c r="E282" i="3"/>
  <c r="E361" i="3"/>
  <c r="E495" i="3"/>
  <c r="E231" i="3"/>
  <c r="E159" i="3"/>
  <c r="E216" i="3"/>
  <c r="E347" i="3"/>
  <c r="E301" i="3"/>
  <c r="E263" i="3"/>
  <c r="E578" i="3"/>
  <c r="E569" i="3"/>
  <c r="E124" i="3"/>
  <c r="E550" i="3"/>
  <c r="E407" i="3"/>
  <c r="E439" i="3"/>
  <c r="E387" i="3"/>
  <c r="E135" i="3"/>
  <c r="E399" i="3"/>
  <c r="AN6" i="3"/>
  <c r="E280" i="3"/>
  <c r="E565" i="3"/>
  <c r="H6" i="3"/>
  <c r="N66" i="71"/>
  <c r="N65" i="71"/>
  <c r="J52" i="43"/>
  <c r="D52" i="43"/>
  <c r="D53" i="43"/>
  <c r="J53" i="43"/>
  <c r="B11" i="71"/>
  <c r="B10" i="71" s="1"/>
  <c r="B9" i="71" s="1"/>
  <c r="B8" i="71" s="1"/>
  <c r="B7" i="71" s="1"/>
  <c r="B6" i="71" s="1"/>
  <c r="B5" i="71" s="1"/>
  <c r="S12" i="71"/>
  <c r="J50" i="43"/>
  <c r="D50" i="43"/>
  <c r="J56" i="43"/>
  <c r="D56" i="43"/>
  <c r="E11" i="71"/>
  <c r="E10" i="71" s="1"/>
  <c r="E9" i="71" s="1"/>
  <c r="E8" i="71" s="1"/>
  <c r="E7" i="71" s="1"/>
  <c r="E6" i="71" s="1"/>
  <c r="E5" i="71" s="1"/>
  <c r="V12" i="71"/>
  <c r="J51" i="43"/>
  <c r="D51" i="43"/>
  <c r="D44" i="71"/>
  <c r="T44" i="71"/>
  <c r="J58" i="43"/>
  <c r="D58" i="43"/>
  <c r="J55" i="43"/>
  <c r="D55" i="43"/>
  <c r="E65" i="39"/>
  <c r="D26" i="43"/>
  <c r="C25" i="43" s="1"/>
  <c r="AC6" i="3"/>
  <c r="E69" i="39"/>
  <c r="L37" i="43"/>
  <c r="N36" i="43"/>
  <c r="O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F25" i="12"/>
  <c r="F22" i="69"/>
  <c r="F41" i="69" s="1"/>
  <c r="F24" i="67"/>
  <c r="C24" i="67" s="1"/>
  <c r="F22" i="11"/>
  <c r="F22" i="68"/>
  <c r="F24" i="15"/>
  <c r="C24" i="15" s="1"/>
  <c r="F41" i="15"/>
  <c r="M27" i="15"/>
  <c r="M27" i="67"/>
  <c r="M36" i="43" l="1"/>
  <c r="Q36" i="43"/>
  <c r="C16" i="71"/>
  <c r="D17" i="71"/>
  <c r="T32" i="71"/>
  <c r="D32" i="71"/>
  <c r="G54" i="34"/>
  <c r="H54" i="34" s="1"/>
  <c r="AC10" i="39"/>
  <c r="E6" i="3"/>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D16" i="71" l="1"/>
  <c r="U16" i="71" s="1"/>
  <c r="C15" i="71"/>
  <c r="T16" i="71"/>
  <c r="M23" i="43"/>
  <c r="T13" i="43"/>
  <c r="V13" i="43" s="1"/>
  <c r="T9" i="43"/>
  <c r="V9" i="43" s="1"/>
  <c r="T16" i="43"/>
  <c r="V16" i="43" s="1"/>
  <c r="T12" i="43"/>
  <c r="V12" i="43" s="1"/>
  <c r="T8" i="43"/>
  <c r="V8" i="43" s="1"/>
  <c r="T3" i="43"/>
  <c r="V3" i="43" s="1"/>
  <c r="T6" i="43"/>
  <c r="V6" i="43" s="1"/>
  <c r="C33" i="43"/>
  <c r="E33" i="43" s="1"/>
  <c r="C37" i="43"/>
  <c r="C39" i="43"/>
  <c r="C38" i="43"/>
  <c r="T15" i="43"/>
  <c r="V15" i="43" s="1"/>
  <c r="T11" i="43"/>
  <c r="V11" i="43" s="1"/>
  <c r="T7" i="43"/>
  <c r="V7" i="43" s="1"/>
  <c r="T14" i="43"/>
  <c r="V14" i="43" s="1"/>
  <c r="T10" i="43"/>
  <c r="V10" i="43" s="1"/>
  <c r="T4" i="43"/>
  <c r="V4" i="43" s="1"/>
  <c r="T2" i="43"/>
  <c r="V2" i="43" s="1"/>
  <c r="T5" i="43"/>
  <c r="V5" i="43" s="1"/>
  <c r="C40" i="43"/>
  <c r="C41" i="43"/>
  <c r="C42" i="43"/>
  <c r="D30" i="6"/>
  <c r="C25" i="11"/>
  <c r="C22" i="11" s="1"/>
  <c r="C31" i="11" s="1"/>
  <c r="H24" i="6"/>
  <c r="R24" i="6" s="1"/>
  <c r="R11"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W31" i="1" s="1"/>
  <c r="Y31" i="1" s="1"/>
  <c r="Z31" i="1" s="1"/>
  <c r="H58" i="21"/>
  <c r="E47" i="37"/>
  <c r="F47" i="37" s="1"/>
  <c r="E46" i="37"/>
  <c r="F46" i="37" s="1"/>
  <c r="I47" i="37"/>
  <c r="J47" i="37" s="1"/>
  <c r="E53" i="33"/>
  <c r="F53" i="33" s="1"/>
  <c r="E52" i="33"/>
  <c r="F52" i="33" s="1"/>
  <c r="C33" i="67"/>
  <c r="J19" i="67"/>
  <c r="C34" i="68"/>
  <c r="C14" i="15"/>
  <c r="D15" i="71" l="1"/>
  <c r="C14" i="71"/>
  <c r="W33" i="1"/>
  <c r="Y33" i="1" s="1"/>
  <c r="Z33" i="1" s="1"/>
  <c r="W35" i="1"/>
  <c r="Y35" i="1" s="1"/>
  <c r="W36" i="1"/>
  <c r="C34" i="43"/>
  <c r="E34" i="43" s="1"/>
  <c r="E42" i="43"/>
  <c r="G42" i="43"/>
  <c r="I42" i="43" s="1"/>
  <c r="E40" i="43"/>
  <c r="G40" i="43"/>
  <c r="I40" i="43" s="1"/>
  <c r="E39" i="43"/>
  <c r="G39" i="43"/>
  <c r="I39" i="43" s="1"/>
  <c r="E41" i="43"/>
  <c r="G41" i="43"/>
  <c r="I41" i="43" s="1"/>
  <c r="G38" i="43"/>
  <c r="I38" i="43" s="1"/>
  <c r="E38" i="43"/>
  <c r="E37" i="43"/>
  <c r="G37" i="43"/>
  <c r="I37" i="43" s="1"/>
  <c r="D31" i="6"/>
  <c r="I5" i="6" s="1"/>
  <c r="C18" i="12"/>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C23" i="69"/>
  <c r="I69" i="39"/>
  <c r="J67" i="39"/>
  <c r="I63" i="40"/>
  <c r="H65" i="40"/>
  <c r="I58" i="21"/>
  <c r="J58" i="21" s="1"/>
  <c r="K58" i="21" s="1"/>
  <c r="L58" i="21" s="1"/>
  <c r="M58" i="21" s="1"/>
  <c r="N58" i="21" s="1"/>
  <c r="O58" i="21" s="1"/>
  <c r="H7" i="21" s="1"/>
  <c r="J48" i="35"/>
  <c r="C13" i="71" l="1"/>
  <c r="D14" i="71"/>
  <c r="F7" i="21"/>
  <c r="AA7" i="21" s="1"/>
  <c r="R48" i="21" s="1"/>
  <c r="W23" i="1"/>
  <c r="Y23" i="1" s="1"/>
  <c r="W24" i="1"/>
  <c r="Y24" i="1" s="1"/>
  <c r="Y36" i="1"/>
  <c r="J7" i="21"/>
  <c r="AC7" i="21" s="1"/>
  <c r="V48" i="21" s="1"/>
  <c r="I48" i="21" s="1"/>
  <c r="C31" i="43"/>
  <c r="C6" i="68"/>
  <c r="C30" i="43"/>
  <c r="C21" i="12"/>
  <c r="C22" i="12" s="1"/>
  <c r="C30" i="12" s="1"/>
  <c r="C28" i="12"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J63" i="40"/>
  <c r="I65" i="40"/>
  <c r="K48" i="35"/>
  <c r="L48" i="35" s="1"/>
  <c r="M48" i="35" s="1"/>
  <c r="N48" i="35" s="1"/>
  <c r="O48" i="35" s="1"/>
  <c r="H7" i="35" s="1"/>
  <c r="E6" i="76"/>
  <c r="D13" i="71" l="1"/>
  <c r="C12" i="71"/>
  <c r="W7" i="21"/>
  <c r="W21" i="1"/>
  <c r="Y21" i="1" s="1"/>
  <c r="Y37" i="1"/>
  <c r="W37" i="1" s="1"/>
  <c r="W22" i="1"/>
  <c r="Y22" i="1" s="1"/>
  <c r="J7" i="35"/>
  <c r="W7" i="35" s="1"/>
  <c r="E2" i="76"/>
  <c r="B2" i="43"/>
  <c r="C7" i="68"/>
  <c r="C5" i="68" s="1"/>
  <c r="C27" i="12"/>
  <c r="C25" i="12" s="1"/>
  <c r="C32" i="12" s="1"/>
  <c r="B2" i="12" s="1"/>
  <c r="B3" i="12" s="1"/>
  <c r="C39" i="68"/>
  <c r="C43" i="68" s="1"/>
  <c r="C91" i="9"/>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B6" i="76"/>
  <c r="F35" i="15"/>
  <c r="M21" i="15"/>
  <c r="M21" i="67"/>
  <c r="F35" i="67"/>
  <c r="C11" i="71" l="1"/>
  <c r="D12" i="71"/>
  <c r="U12" i="71" s="1"/>
  <c r="T12" i="71"/>
  <c r="Y25" i="1"/>
  <c r="W25" i="1" s="1"/>
  <c r="U6" i="1" s="1"/>
  <c r="B2" i="76"/>
  <c r="B3" i="76" s="1"/>
  <c r="C23" i="68"/>
  <c r="C20" i="68"/>
  <c r="B3" i="43"/>
  <c r="C46" i="68"/>
  <c r="C45" i="68" s="1"/>
  <c r="C92" i="9"/>
  <c r="C94" i="9"/>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15"/>
  <c r="D11" i="71" l="1"/>
  <c r="C10" i="71"/>
  <c r="C6" i="15"/>
  <c r="C32" i="15" s="1"/>
  <c r="C28" i="68"/>
  <c r="C27" i="68" s="1"/>
  <c r="C25" i="68"/>
  <c r="C22" i="68" s="1"/>
  <c r="C49" i="68"/>
  <c r="C5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57" i="69"/>
  <c r="C56" i="69" s="1"/>
  <c r="M69" i="39"/>
  <c r="N67" i="39"/>
  <c r="R39" i="35"/>
  <c r="E38" i="35"/>
  <c r="M63" i="40"/>
  <c r="L65" i="40"/>
  <c r="D2" i="21"/>
  <c r="D10" i="71" l="1"/>
  <c r="C9" i="71"/>
  <c r="C33" i="15"/>
  <c r="C31" i="15" s="1"/>
  <c r="C10" i="15"/>
  <c r="C5" i="15" s="1"/>
  <c r="C38" i="15" s="1"/>
  <c r="C31" i="68"/>
  <c r="C52" i="68" s="1"/>
  <c r="C80" i="67"/>
  <c r="C79" i="67" s="1"/>
  <c r="C40" i="67"/>
  <c r="C45" i="67" s="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67"/>
  <c r="C8" i="71" l="1"/>
  <c r="D9" i="71"/>
  <c r="C30" i="15"/>
  <c r="C39" i="15" s="1"/>
  <c r="Q69" i="15" s="1"/>
  <c r="Q68" i="15" s="1"/>
  <c r="B2" i="68"/>
  <c r="C57" i="68"/>
  <c r="C56" i="68"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L51" i="15"/>
  <c r="D2" i="37"/>
  <c r="C19" i="9"/>
  <c r="D2" i="36"/>
  <c r="D2" i="35"/>
  <c r="D2" i="34"/>
  <c r="C7" i="71" l="1"/>
  <c r="D8" i="71"/>
  <c r="C80" i="15"/>
  <c r="C79" i="15" s="1"/>
  <c r="C40" i="15"/>
  <c r="C46" i="15" s="1"/>
  <c r="C102" i="9"/>
  <c r="C21" i="9"/>
  <c r="B3" i="68"/>
  <c r="Q57" i="67"/>
  <c r="Q62" i="67" s="1"/>
  <c r="Q66" i="67"/>
  <c r="Q75" i="67" s="1"/>
  <c r="B3" i="67"/>
  <c r="L57" i="15"/>
  <c r="L60" i="15" s="1"/>
  <c r="Q57" i="15" s="1"/>
  <c r="Q67" i="15"/>
  <c r="B2" i="36"/>
  <c r="B3" i="36" s="1"/>
  <c r="B2" i="35"/>
  <c r="B3" i="35" s="1"/>
  <c r="M3" i="35"/>
  <c r="B2" i="37"/>
  <c r="B3" i="37" s="1"/>
  <c r="B2" i="34"/>
  <c r="B3" i="34" s="1"/>
  <c r="L46" i="15"/>
  <c r="W7" i="39"/>
  <c r="AC7" i="39"/>
  <c r="V47" i="39" s="1"/>
  <c r="I47" i="39" s="1"/>
  <c r="E47" i="39"/>
  <c r="R48" i="39"/>
  <c r="U7" i="39"/>
  <c r="AB7" i="39"/>
  <c r="T47" i="39" s="1"/>
  <c r="G47" i="39" s="1"/>
  <c r="J7" i="40"/>
  <c r="F7" i="40"/>
  <c r="H7" i="40"/>
  <c r="AO11" i="1"/>
  <c r="AO7" i="1"/>
  <c r="AO9" i="1"/>
  <c r="C20" i="9"/>
  <c r="D35" i="9"/>
  <c r="AO12" i="1"/>
  <c r="AO8" i="1"/>
  <c r="D34" i="9"/>
  <c r="AO10" i="1"/>
  <c r="D7" i="71" l="1"/>
  <c r="C6" i="71"/>
  <c r="B2" i="15"/>
  <c r="C83" i="15"/>
  <c r="C82" i="15" s="1"/>
  <c r="C43" i="15"/>
  <c r="Q56" i="15"/>
  <c r="Q62" i="15" s="1"/>
  <c r="Q65" i="15"/>
  <c r="Q47" i="15"/>
  <c r="Q53" i="15" s="1"/>
  <c r="C103" i="9"/>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6" i="71" l="1"/>
  <c r="C5" i="71"/>
  <c r="D5" i="71" s="1"/>
  <c r="B6" i="70"/>
  <c r="B2" i="70" s="1"/>
  <c r="B3" i="70" s="1"/>
  <c r="D102" i="9"/>
  <c r="D22" i="9"/>
  <c r="D21" i="9"/>
  <c r="G19" i="9"/>
  <c r="G21" i="9" s="1"/>
  <c r="B3" i="15"/>
  <c r="Q75"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M24" i="43" l="1"/>
  <c r="G20" i="9"/>
  <c r="C32" i="9" s="1"/>
  <c r="C35" i="9" s="1"/>
  <c r="C34" i="9" s="1"/>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101" i="9" s="1"/>
  <c r="D14" i="74" s="1"/>
  <c r="F14" i="74" l="1"/>
  <c r="E14" i="74"/>
  <c r="B5" i="74"/>
  <c r="D5" i="74" s="1"/>
  <c r="D4" i="52"/>
  <c r="B47" i="72" s="1"/>
  <c r="D45" i="9"/>
  <c r="M48" i="9"/>
  <c r="H107" i="9"/>
  <c r="G14" i="74" s="1"/>
  <c r="B6" i="74" s="1"/>
  <c r="D6" i="74" s="1"/>
  <c r="D5" i="53"/>
  <c r="H4" i="52"/>
  <c r="I118" i="9"/>
  <c r="C104" i="9"/>
  <c r="H119" i="9"/>
  <c r="H5" i="52" s="1"/>
  <c r="F119" i="9"/>
  <c r="F5" i="52" s="1"/>
  <c r="B53" i="72" s="1"/>
  <c r="G118" i="9"/>
  <c r="G4" i="52" s="1"/>
  <c r="B52" i="72" s="1"/>
  <c r="I4" i="52" l="1"/>
  <c r="E118" i="9"/>
  <c r="E4" i="52" s="1"/>
  <c r="B48" i="72" s="1"/>
  <c r="H102" i="9"/>
  <c r="C105" i="9"/>
  <c r="B20" i="72"/>
  <c r="D6" i="53"/>
  <c r="B22" i="72" s="1"/>
  <c r="H108" i="9"/>
  <c r="D13" i="53"/>
  <c r="D122" i="9"/>
  <c r="M49" i="9"/>
  <c r="C78" i="9"/>
  <c r="C73" i="9" s="1"/>
  <c r="C64" i="9"/>
  <c r="C63" i="9" s="1"/>
  <c r="C67" i="9" s="1"/>
  <c r="C72" i="9"/>
  <c r="D55" i="9"/>
  <c r="M53" i="9" s="1"/>
  <c r="D52" i="9"/>
  <c r="D53" i="9"/>
  <c r="D48" i="9" s="1"/>
  <c r="M52" i="9" s="1"/>
  <c r="C93" i="9"/>
  <c r="C86" i="9" s="1"/>
  <c r="C85" i="9"/>
  <c r="C95" i="9" l="1"/>
  <c r="C96" i="9" s="1"/>
  <c r="E96" i="9" s="1"/>
  <c r="E97" i="9" s="1"/>
  <c r="L67" i="9"/>
  <c r="M67" i="9" s="1"/>
  <c r="L63" i="9"/>
  <c r="M63" i="9" s="1"/>
  <c r="L64" i="9"/>
  <c r="M64" i="9" s="1"/>
  <c r="L65" i="9"/>
  <c r="M65" i="9" s="1"/>
  <c r="L66" i="9"/>
  <c r="M66" i="9" s="1"/>
  <c r="L68" i="9"/>
  <c r="M68" i="9" s="1"/>
  <c r="C68" i="9"/>
  <c r="D54" i="9" s="1"/>
  <c r="D59" i="9"/>
  <c r="M55" i="9" s="1"/>
  <c r="D123" i="9"/>
  <c r="D9" i="52" s="1"/>
  <c r="D8" i="52"/>
  <c r="B30" i="72"/>
  <c r="D14" i="53"/>
  <c r="B32" i="72" s="1"/>
  <c r="C6" i="74"/>
  <c r="D15" i="53"/>
  <c r="B31" i="72" s="1"/>
  <c r="D7" i="53"/>
  <c r="B21" i="72" s="1"/>
  <c r="C5" i="74"/>
  <c r="C79" i="9"/>
  <c r="C80" i="9" l="1"/>
  <c r="E80" i="9" s="1"/>
  <c r="E81" i="9" s="1"/>
  <c r="M69" i="9"/>
  <c r="N69"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<sst xmlns="http://schemas.openxmlformats.org/spreadsheetml/2006/main" count="8008" uniqueCount="3528">
  <si>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</si>
  <si>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</si>
  <si>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</si>
  <si>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</si>
  <si>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</si>
  <si>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</si>
  <si>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</si>
  <si>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</si>
  <si>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</si>
  <si>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</si>
  <si>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</si>
  <si>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</si>
  <si>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</si>
  <si>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</si>
  <si>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</si>
  <si>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</si>
  <si>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</si>
  <si>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</si>
  <si>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</si>
  <si>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</si>
  <si>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</si>
  <si>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</si>
  <si>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</si>
  <si>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</si>
  <si>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</si>
  <si>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</si>
  <si>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</si>
  <si>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</si>
  <si>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</si>
  <si>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</si>
  <si>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</si>
  <si>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</si>
  <si>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</si>
  <si>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</si>
  <si>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</si>
  <si>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</si>
  <si>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</si>
  <si>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</si>
  <si>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</si>
  <si>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</si>
  <si>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</si>
  <si>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</si>
  <si>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</si>
  <si>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</si>
  <si>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</si>
  <si>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</si>
  <si>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</si>
  <si>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</si>
  <si>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</si>
  <si>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</si>
  <si>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</si>
  <si>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</si>
  <si>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</si>
  <si>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</si>
  <si>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</si>
  <si>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</si>
  <si>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</si>
  <si>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</si>
  <si>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</si>
  <si>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</si>
  <si>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</si>
  <si>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</si>
  <si>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</si>
  <si>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</si>
  <si>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</si>
  <si>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</si>
  <si>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</si>
  <si>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</si>
  <si>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</si>
  <si>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</si>
  <si>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</si>
  <si>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</si>
  <si>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</si>
  <si>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</si>
  <si>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</si>
  <si>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</si>
  <si>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</si>
  <si>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</si>
  <si>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</si>
  <si>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</si>
  <si>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</si>
  <si>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</si>
  <si>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</si>
  <si>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</si>
  <si>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</si>
  <si>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</si>
  <si>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</si>
  <si>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</si>
  <si>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</si>
  <si>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</si>
  <si>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</si>
  <si>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</si>
  <si>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</si>
  <si>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</si>
  <si>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</si>
  <si>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</si>
  <si>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</si>
  <si>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</si>
  <si>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</si>
  <si>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</si>
  <si>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</si>
  <si>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</si>
  <si>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</si>
  <si>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</si>
  <si>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</si>
  <si>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</si>
  <si>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</si>
  <si>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</si>
  <si>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</si>
  <si>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</si>
  <si>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</si>
  <si>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</si>
  <si>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</si>
  <si>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</si>
  <si>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</si>
  <si>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</si>
  <si>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</si>
  <si>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</si>
  <si>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</si>
  <si>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</si>
  <si>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</si>
  <si>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</si>
  <si>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</si>
  <si>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</si>
  <si>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</si>
  <si>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</si>
  <si>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</si>
  <si>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</si>
  <si>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</si>
  <si>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</si>
  <si>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</si>
  <si>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</si>
  <si>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</si>
  <si>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</si>
  <si>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</si>
  <si>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</si>
  <si>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</si>
  <si>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</si>
  <si>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</si>
  <si>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</si>
  <si>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</si>
  <si>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</si>
  <si>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</si>
  <si>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</si>
  <si>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</si>
  <si>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</si>
  <si>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</si>
  <si>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</si>
  <si>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</si>
  <si>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</si>
  <si>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</si>
  <si>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</si>
  <si>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</si>
  <si>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</si>
  <si>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</si>
  <si>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</si>
  <si>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</si>
  <si>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</si>
  <si>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</si>
  <si>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</si>
  <si>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</si>
  <si>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</si>
  <si>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</si>
  <si>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</si>
  <si>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</si>
  <si>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</si>
  <si>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</si>
  <si>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</si>
  <si>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</si>
  <si>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</si>
  <si>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</si>
  <si>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</si>
  <si>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</si>
  <si>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</si>
  <si>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</si>
  <si>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</si>
  <si>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</si>
  <si>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</si>
  <si>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</si>
  <si>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</si>
  <si>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</si>
  <si>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</si>
  <si>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</si>
  <si>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</si>
  <si>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</si>
  <si>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</si>
  <si>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</si>
  <si>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</si>
  <si>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</si>
  <si>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</si>
  <si>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</si>
  <si>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</si>
  <si>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</si>
  <si>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</si>
  <si>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</si>
  <si>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</si>
  <si>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</si>
  <si>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</si>
  <si>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</si>
  <si>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</si>
  <si>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</si>
  <si>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</si>
  <si>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</si>
  <si>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</si>
  <si>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</si>
  <si>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</si>
  <si>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</si>
  <si>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</si>
  <si>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</si>
  <si>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</si>
  <si>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</si>
  <si>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</si>
  <si>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</si>
  <si>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</si>
  <si>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</si>
  <si>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</si>
  <si>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</si>
  <si>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</si>
  <si>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</si>
  <si>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</si>
  <si>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</si>
  <si>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</si>
  <si>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</si>
  <si>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</si>
  <si>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</si>
  <si>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</si>
  <si>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</si>
  <si>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</si>
  <si>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</si>
  <si>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</si>
  <si>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</si>
  <si>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</si>
  <si>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</si>
  <si>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</si>
  <si>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</si>
  <si>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</si>
  <si>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</si>
  <si>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</si>
  <si>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</si>
  <si>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</si>
  <si>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</si>
  <si>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</si>
  <si>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</si>
  <si>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</si>
  <si>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</si>
  <si>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</si>
  <si>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</si>
  <si>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</si>
  <si>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</si>
  <si>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</si>
  <si>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</si>
  <si>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</si>
  <si>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</si>
  <si>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</si>
  <si>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</si>
  <si>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</si>
  <si>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</si>
  <si>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</si>
  <si>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</si>
  <si>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</si>
  <si>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</si>
  <si>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</si>
  <si>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</si>
  <si>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</si>
  <si>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</si>
  <si>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</si>
  <si>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</si>
  <si>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</si>
  <si>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</si>
  <si>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</si>
  <si>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</si>
  <si>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</si>
  <si>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</si>
  <si>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</si>
  <si>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</si>
  <si>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</si>
  <si>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</si>
  <si>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</si>
  <si>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</si>
  <si>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</si>
  <si>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</si>
  <si>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</si>
  <si>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</si>
  <si>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</si>
  <si>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</si>
  <si>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</si>
  <si>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</si>
  <si>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</si>
  <si>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</si>
  <si>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</si>
  <si>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</si>
  <si>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</si>
  <si>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</si>
  <si>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</si>
  <si>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</si>
  <si>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</si>
  <si>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</si>
  <si>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</si>
  <si>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</si>
  <si>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</si>
  <si>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</si>
  <si>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</si>
  <si>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</si>
  <si>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</si>
  <si>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</si>
  <si>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</si>
  <si>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</si>
  <si>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</si>
  <si>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</si>
  <si>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</si>
  <si>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</si>
  <si>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</si>
  <si>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</si>
  <si>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</si>
  <si>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</si>
  <si>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</si>
  <si>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</si>
  <si>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</si>
  <si>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</si>
  <si>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</si>
  <si>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</si>
  <si>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</si>
  <si>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</si>
  <si>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</si>
  <si>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</si>
  <si>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</si>
  <si>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</si>
  <si>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</si>
  <si>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</si>
  <si>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</si>
  <si>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</si>
  <si>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</si>
  <si>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</si>
  <si>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</si>
  <si>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</si>
  <si>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</si>
  <si>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</si>
  <si>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</si>
  <si>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</si>
  <si>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</si>
  <si>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</si>
  <si>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</si>
  <si>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</si>
  <si>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</si>
  <si>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</si>
  <si>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</si>
  <si>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</si>
  <si>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</si>
  <si>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</si>
  <si>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</si>
  <si>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</si>
  <si>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</si>
  <si>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</si>
  <si>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</si>
  <si>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</si>
  <si>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</si>
  <si>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</si>
  <si>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</si>
  <si>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</si>
  <si>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</si>
  <si>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</si>
  <si>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</si>
  <si>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</si>
  <si>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</si>
  <si>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</si>
  <si>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</si>
  <si>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</si>
  <si>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</si>
  <si>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</si>
  <si>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</si>
  <si>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</si>
  <si>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</si>
  <si>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</si>
  <si>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</si>
  <si>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</si>
  <si>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</si>
  <si>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</si>
  <si>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</si>
  <si>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</si>
  <si>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</si>
  <si>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</si>
  <si>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</si>
  <si>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</si>
  <si>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</si>
  <si>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</si>
  <si>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</si>
  <si>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</si>
  <si>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</si>
  <si>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</si>
  <si>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</si>
  <si>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</si>
  <si>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</si>
  <si>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</si>
  <si>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</si>
  <si>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</si>
  <si>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</si>
  <si>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</si>
  <si>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</si>
  <si>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</si>
  <si>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</si>
  <si>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</si>
  <si>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</si>
  <si>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</si>
  <si>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</si>
  <si>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</si>
  <si>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</si>
  <si>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</si>
  <si>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</si>
  <si>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</si>
  <si>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</si>
  <si>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</si>
  <si>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</si>
  <si>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</si>
  <si>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</si>
  <si>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</si>
  <si>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</si>
  <si>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</si>
  <si>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</si>
  <si>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</si>
  <si>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</si>
  <si>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</si>
  <si>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</si>
  <si>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</si>
  <si>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</si>
  <si>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</si>
  <si>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</si>
  <si>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</si>
  <si>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</si>
  <si>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</si>
  <si>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</si>
  <si>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</si>
  <si>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</si>
  <si>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</si>
  <si>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</si>
  <si>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</si>
  <si>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</si>
  <si>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</si>
  <si>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</si>
  <si>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</si>
  <si>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</si>
  <si>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</si>
  <si>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</si>
  <si>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</si>
  <si>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</si>
  <si>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</si>
  <si>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</si>
  <si>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</si>
  <si>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</si>
  <si>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</si>
  <si>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</si>
  <si>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</si>
  <si>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</si>
  <si>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</si>
  <si>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</si>
  <si>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</si>
  <si>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</si>
  <si>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</si>
  <si>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</si>
  <si>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</si>
  <si>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</si>
  <si>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</si>
  <si>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</si>
  <si>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</si>
  <si>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</si>
  <si>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</si>
  <si>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</si>
  <si>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</si>
  <si>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</si>
  <si>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</si>
  <si>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</si>
  <si>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</si>
  <si>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</si>
  <si>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</si>
  <si>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</si>
  <si>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</si>
  <si>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</si>
  <si>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</si>
  <si>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</si>
  <si>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</si>
  <si>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</si>
  <si>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</si>
  <si>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</si>
  <si>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</si>
  <si>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</si>
  <si>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</si>
  <si>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</si>
  <si>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</si>
  <si>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</si>
  <si>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</si>
  <si>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</si>
  <si>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</si>
  <si>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</si>
  <si>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</si>
  <si>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</si>
  <si>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</si>
  <si>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</si>
  <si>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</si>
  <si>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</si>
  <si>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</si>
  <si>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</si>
  <si>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</si>
  <si>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</si>
  <si>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</si>
  <si>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</si>
  <si>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</si>
  <si>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</si>
  <si>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</si>
  <si>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</si>
  <si>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</si>
  <si>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</si>
  <si>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</si>
  <si>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</si>
  <si>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</si>
  <si>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</si>
  <si>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</si>
  <si>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</si>
  <si>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</si>
  <si>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</si>
  <si>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</si>
  <si>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</si>
  <si>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</si>
  <si>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</si>
  <si>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</si>
  <si>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</si>
  <si>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</si>
  <si>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</si>
  <si>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</si>
  <si>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</si>
  <si>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</si>
  <si>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</si>
  <si>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</si>
  <si>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</si>
  <si>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</si>
  <si>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</si>
  <si>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</si>
  <si>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</si>
  <si>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</si>
  <si>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</si>
  <si>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</si>
  <si>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</si>
  <si>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</si>
  <si>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</si>
  <si>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</si>
  <si>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</si>
  <si>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</si>
  <si>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</si>
  <si>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</si>
  <si>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</si>
  <si>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</si>
  <si>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</si>
  <si>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</si>
  <si>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</si>
  <si>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</si>
  <si>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</si>
  <si>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</si>
  <si>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</si>
  <si>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</si>
  <si>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</si>
  <si>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</si>
  <si>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</si>
  <si>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</si>
  <si>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</si>
  <si>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</si>
  <si>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</si>
  <si>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</si>
  <si>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</si>
  <si>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</si>
  <si>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</si>
  <si>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</si>
  <si>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</si>
  <si>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</si>
  <si>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</si>
  <si>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</si>
  <si>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</si>
  <si>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</si>
  <si>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</si>
  <si>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</si>
  <si>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</si>
  <si>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</si>
  <si>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</si>
  <si>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</si>
  <si>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</si>
  <si>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</si>
  <si>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</si>
  <si>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</si>
  <si>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</si>
  <si>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</si>
  <si>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</si>
  <si>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</si>
  <si>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</si>
  <si>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</si>
  <si>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</si>
  <si>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</si>
  <si>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</si>
  <si>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</si>
  <si>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</si>
  <si>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</si>
  <si>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</si>
  <si>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</si>
  <si>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</si>
  <si>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</si>
  <si>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</si>
  <si>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</si>
  <si>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</si>
  <si>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</si>
  <si>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</si>
  <si>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</si>
  <si>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</si>
  <si>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</si>
  <si>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</si>
  <si>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</si>
  <si>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</si>
  <si>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</si>
  <si>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</si>
  <si>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</si>
  <si>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</si>
  <si>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</si>
  <si>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</si>
  <si>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</si>
  <si>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</si>
  <si>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</si>
  <si>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</si>
  <si>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</si>
  <si>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</si>
  <si>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</si>
  <si>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</si>
  <si>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</si>
  <si>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</si>
  <si>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</si>
  <si>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</si>
  <si>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</si>
  <si>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</si>
  <si>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</si>
  <si>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</si>
  <si>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</si>
  <si>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</si>
  <si>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</si>
  <si>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</si>
  <si>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</si>
  <si>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</si>
  <si>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</si>
  <si>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</si>
  <si>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</si>
  <si>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</si>
  <si>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</si>
  <si>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</si>
  <si>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</si>
  <si>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</si>
  <si>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</si>
  <si>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</si>
  <si>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</si>
  <si>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</si>
  <si>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</si>
  <si>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</si>
  <si>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</si>
  <si>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</si>
  <si>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</si>
  <si>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</si>
  <si>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</si>
  <si>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</si>
  <si>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</si>
  <si>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</si>
  <si>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</si>
  <si>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</si>
  <si>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</si>
  <si>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</si>
  <si>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</si>
  <si>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</si>
  <si>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</si>
  <si>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</si>
  <si>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</si>
  <si>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</si>
  <si>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</si>
  <si>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</si>
  <si>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</si>
  <si>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</si>
  <si>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</si>
  <si>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</si>
  <si>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</si>
  <si>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</si>
  <si>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</si>
  <si>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</si>
  <si>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</si>
  <si>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</si>
  <si>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</si>
  <si>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</si>
  <si>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</si>
  <si>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</si>
  <si>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</si>
  <si>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</si>
  <si>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</si>
  <si>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</si>
  <si>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</si>
  <si>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</si>
  <si>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</si>
  <si>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</si>
  <si>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</si>
  <si>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</si>
  <si>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</si>
  <si>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</si>
  <si>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</si>
  <si>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</si>
  <si>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</si>
  <si>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</si>
  <si>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</si>
  <si>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</si>
  <si>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</si>
  <si>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</si>
  <si>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</si>
  <si>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</si>
  <si>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</si>
  <si>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</si>
  <si>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</si>
  <si>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</si>
  <si>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</si>
  <si>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</si>
  <si>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</si>
  <si>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</si>
  <si>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</si>
  <si>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</si>
  <si>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</si>
  <si>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</si>
  <si>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</si>
  <si>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</si>
  <si>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</si>
  <si>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</si>
  <si>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</si>
  <si>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</si>
  <si>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</si>
  <si>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</si>
  <si>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</si>
  <si>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</si>
  <si>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</si>
  <si>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</si>
  <si>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</si>
  <si>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</si>
  <si>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</si>
  <si>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</si>
  <si>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</si>
  <si>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</si>
  <si>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</si>
  <si>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</si>
  <si>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</si>
  <si>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</si>
  <si>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</si>
  <si>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</si>
  <si>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</si>
  <si>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</si>
  <si>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</si>
  <si>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</si>
  <si>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</si>
  <si>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</si>
  <si>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</si>
  <si>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</si>
  <si>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</si>
  <si>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</si>
  <si>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</si>
  <si>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</si>
  <si>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</si>
  <si>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</si>
  <si>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</si>
  <si>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</si>
  <si>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</si>
  <si>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</si>
  <si>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</si>
  <si>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</si>
  <si>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</si>
  <si>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</si>
  <si>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</si>
  <si>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</si>
  <si>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</si>
  <si>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</si>
  <si>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</si>
  <si>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</si>
  <si>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</si>
  <si>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</si>
  <si>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</si>
  <si>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</si>
  <si>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</si>
  <si>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</si>
  <si>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</si>
  <si>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</si>
  <si>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</si>
  <si>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</si>
  <si>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</si>
  <si>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</si>
  <si>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</si>
  <si>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</si>
  <si>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</si>
  <si>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</si>
  <si>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</si>
  <si>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</si>
  <si>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</si>
  <si>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</si>
  <si>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</si>
  <si>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</si>
  <si>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</si>
  <si>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</si>
  <si>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</si>
  <si>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</si>
  <si>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</si>
  <si>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</si>
  <si>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</si>
  <si>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</si>
  <si>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</si>
  <si>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</si>
  <si>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</si>
  <si>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</si>
  <si>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</si>
  <si>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</si>
  <si>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</si>
  <si>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</si>
  <si>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</si>
  <si>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</si>
  <si>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</si>
  <si>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</si>
  <si>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</si>
  <si>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</si>
  <si>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</si>
  <si>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</si>
  <si>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</si>
  <si>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</si>
  <si>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</si>
  <si>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</si>
  <si>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</si>
  <si>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</si>
  <si>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</si>
  <si>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</si>
  <si>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</si>
  <si>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</si>
  <si>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</si>
  <si>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</si>
  <si>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</si>
  <si>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</si>
  <si>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</si>
  <si>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</si>
  <si>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</si>
  <si>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</si>
  <si>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</si>
  <si>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</si>
  <si>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</si>
  <si>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</si>
  <si>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</si>
  <si>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</si>
  <si>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</si>
  <si>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</si>
  <si>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</si>
  <si>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</si>
  <si>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</si>
  <si>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</si>
  <si>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</si>
  <si>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</si>
  <si>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</si>
  <si>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</si>
  <si>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</si>
  <si>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</si>
  <si>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</si>
  <si>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</si>
  <si>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</si>
  <si>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</si>
  <si>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</si>
  <si>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</si>
  <si>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</si>
  <si>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</si>
  <si>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</si>
  <si>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</si>
  <si>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</si>
  <si>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</si>
  <si>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</si>
  <si>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</si>
  <si>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</si>
  <si>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</si>
  <si>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</si>
  <si>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</si>
  <si>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</si>
  <si>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</si>
  <si>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</si>
  <si>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</si>
  <si>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</si>
  <si>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</si>
  <si>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</si>
  <si>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</si>
  <si>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</si>
  <si>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</si>
  <si>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</si>
  <si>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</si>
  <si>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</si>
  <si>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</si>
  <si>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</si>
  <si>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</si>
  <si>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</si>
  <si>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</si>
  <si>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</si>
  <si>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</si>
  <si>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</si>
  <si>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</si>
  <si>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</si>
  <si>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</si>
  <si>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</si>
  <si>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</si>
  <si>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</si>
  <si>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</si>
  <si>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</si>
  <si>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</si>
  <si>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</si>
  <si>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</si>
  <si>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</si>
  <si>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</si>
  <si>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</si>
  <si>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</si>
  <si>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</si>
  <si>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</si>
  <si>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</si>
  <si>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</si>
  <si>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</si>
  <si>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</si>
  <si>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</si>
  <si>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</si>
  <si>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</si>
  <si>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</si>
  <si>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</si>
  <si>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</si>
  <si>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</si>
  <si>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</si>
  <si>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</si>
  <si>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</si>
  <si>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</si>
  <si>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</si>
  <si>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</si>
  <si>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</si>
  <si>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</si>
  <si>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</si>
  <si>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</si>
  <si>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</si>
  <si>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</si>
  <si>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</si>
  <si>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</si>
  <si>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</si>
  <si>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</si>
  <si>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</si>
  <si>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</si>
  <si>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</si>
  <si>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</si>
  <si>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</si>
  <si>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</si>
  <si>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</si>
  <si>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</si>
  <si>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</si>
  <si>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</si>
  <si>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</si>
  <si>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</si>
  <si>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</si>
  <si>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</si>
  <si>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</si>
  <si>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</si>
  <si>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</si>
  <si>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</si>
  <si>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</si>
  <si>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</si>
  <si>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</si>
  <si>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</si>
  <si>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</si>
  <si>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</si>
  <si>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</si>
  <si>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</si>
  <si>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</si>
  <si>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</si>
  <si>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</si>
  <si>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</si>
  <si>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</si>
  <si>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</si>
  <si>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</si>
  <si>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</si>
  <si>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</si>
  <si>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</si>
  <si>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</si>
  <si>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</si>
  <si>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</si>
  <si>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</si>
  <si>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</si>
  <si>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</si>
  <si>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</si>
  <si>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</si>
  <si>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</si>
  <si>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</si>
  <si>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</si>
  <si>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</si>
  <si>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</si>
  <si>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</si>
  <si>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</si>
  <si>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</si>
  <si>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</si>
  <si>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</si>
  <si>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</si>
  <si>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</si>
  <si>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</si>
  <si>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</si>
  <si>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</si>
  <si>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</si>
  <si>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</si>
  <si>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</si>
  <si>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</si>
  <si>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</si>
  <si>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</si>
  <si>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</si>
  <si>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</si>
  <si>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</si>
  <si>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</si>
  <si>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</si>
  <si>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</si>
  <si>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</si>
  <si>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</si>
  <si>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</si>
  <si>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</si>
  <si>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</si>
  <si>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</si>
  <si>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</si>
  <si>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</si>
  <si>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</si>
  <si>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</si>
  <si>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</si>
  <si>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</si>
  <si>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</si>
  <si>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</si>
  <si>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</si>
  <si>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</si>
  <si>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</si>
  <si>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</si>
  <si>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</si>
  <si>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</si>
  <si>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</si>
  <si>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</si>
  <si>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</si>
  <si>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</si>
  <si>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</si>
  <si>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</si>
  <si>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</si>
  <si>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</si>
  <si>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</si>
  <si>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</si>
  <si>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</si>
  <si>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</si>
  <si>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</si>
  <si>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</si>
  <si>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</si>
  <si>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</si>
  <si>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</si>
  <si>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</si>
  <si>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</si>
  <si>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</si>
  <si>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</si>
  <si>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</si>
  <si>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</si>
  <si>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</si>
  <si>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</si>
  <si>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</si>
  <si>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</si>
  <si>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</si>
  <si>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</si>
  <si>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</si>
  <si>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</si>
  <si>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</si>
  <si>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</si>
  <si>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</si>
  <si>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</si>
  <si>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</si>
  <si>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</si>
  <si>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</si>
  <si>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</si>
  <si>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</si>
  <si>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</si>
  <si>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</si>
  <si>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</si>
  <si>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</si>
  <si>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</si>
  <si>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</si>
  <si>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</si>
  <si>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</si>
  <si>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</si>
  <si>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</si>
  <si>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</si>
  <si>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</si>
  <si>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</si>
  <si>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</si>
  <si>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</si>
  <si>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</si>
  <si>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</si>
  <si>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</si>
  <si>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</si>
  <si>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</si>
  <si>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</si>
  <si>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</si>
  <si>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</si>
  <si>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</si>
  <si>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</si>
  <si>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</si>
  <si>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</si>
  <si>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</si>
  <si>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</si>
  <si>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</si>
  <si>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</si>
  <si>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</si>
  <si>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</si>
  <si>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</si>
  <si>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</si>
  <si>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</si>
  <si>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</si>
  <si>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</si>
  <si>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</si>
  <si>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</si>
  <si>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</si>
  <si>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</si>
  <si>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</si>
  <si>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</si>
  <si>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</si>
  <si>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</si>
  <si>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</si>
  <si>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</si>
  <si>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</si>
  <si>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</si>
  <si>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</si>
  <si>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</si>
  <si>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</si>
  <si>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</si>
  <si>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</si>
  <si>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</si>
  <si>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</si>
  <si>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</si>
  <si>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</si>
  <si>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</si>
  <si>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</si>
  <si>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</si>
  <si>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</si>
  <si>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</si>
  <si>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</si>
  <si>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</si>
  <si>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</si>
  <si>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</si>
  <si>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</si>
  <si>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</si>
  <si>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</si>
  <si>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</si>
  <si>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</si>
  <si>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</si>
  <si>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</si>
  <si>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</si>
  <si>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</si>
  <si>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</si>
  <si>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</si>
  <si>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</si>
  <si>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</si>
  <si>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</si>
  <si>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</si>
  <si>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</si>
  <si>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</si>
  <si>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</si>
  <si>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</si>
  <si>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</si>
  <si>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</si>
  <si>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</si>
  <si>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</si>
  <si>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</si>
  <si>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</si>
  <si>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</si>
  <si>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</si>
  <si>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</si>
  <si>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</si>
  <si>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</si>
  <si>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</si>
  <si>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</si>
  <si>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</si>
  <si>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</si>
  <si>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</si>
  <si>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</si>
  <si>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</si>
  <si>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</si>
  <si>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</si>
  <si>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</si>
  <si>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</si>
  <si>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</si>
  <si>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</si>
  <si>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</si>
  <si>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</si>
  <si>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</si>
  <si>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</si>
  <si>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</si>
  <si>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</si>
  <si>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</si>
  <si>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</si>
  <si>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</si>
  <si>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</si>
  <si>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</si>
  <si>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</si>
  <si>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</si>
  <si>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</si>
  <si>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</si>
  <si>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</si>
  <si>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</si>
  <si>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</si>
  <si>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</si>
  <si>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</si>
  <si>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</si>
  <si>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</si>
  <si>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</si>
  <si>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</si>
  <si>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</si>
  <si>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</si>
  <si>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</si>
  <si>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</si>
  <si>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</si>
  <si>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</si>
  <si>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</si>
  <si>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</si>
  <si>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</si>
  <si>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</si>
  <si>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</si>
  <si>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</si>
  <si>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</si>
  <si>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</si>
  <si>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</si>
  <si>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</si>
  <si>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</si>
  <si>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</si>
  <si>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</si>
  <si>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</si>
  <si>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</si>
  <si>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</si>
  <si>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</si>
  <si>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</si>
  <si>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</si>
  <si>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</si>
  <si>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</si>
  <si>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</si>
  <si>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</si>
  <si>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</si>
  <si>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</si>
  <si>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</si>
  <si>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</si>
  <si>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</si>
  <si>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</si>
  <si>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</si>
  <si>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</si>
  <si>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</si>
  <si>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</si>
  <si>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</si>
  <si>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</si>
  <si>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</si>
  <si>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</si>
  <si>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</si>
  <si>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</si>
  <si>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</si>
  <si>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</si>
  <si>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</si>
  <si>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</si>
  <si>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</si>
  <si>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</si>
  <si>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</si>
  <si>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</si>
  <si>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</si>
  <si>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</si>
  <si>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</si>
  <si>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</si>
  <si>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</si>
  <si>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</si>
  <si>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</si>
  <si>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</si>
  <si>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</si>
  <si>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</si>
  <si>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</si>
  <si>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</si>
  <si>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</si>
  <si>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</si>
  <si>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</si>
  <si>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</si>
  <si>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</si>
  <si>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</si>
  <si>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</si>
  <si>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</si>
  <si>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</si>
  <si>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</si>
  <si>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</si>
  <si>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</si>
  <si>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</si>
  <si>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</si>
  <si>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</si>
  <si>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</si>
  <si>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</si>
  <si>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</si>
  <si>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</si>
  <si>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</si>
  <si>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</si>
  <si>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</si>
  <si>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</si>
  <si>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</si>
  <si>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</si>
  <si>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</si>
  <si>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</si>
  <si>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</si>
  <si>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</si>
  <si>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</si>
  <si>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</si>
  <si>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</si>
  <si>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</si>
  <si>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</si>
  <si>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</si>
  <si>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</si>
  <si>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</si>
  <si>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</si>
  <si>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</si>
  <si>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</si>
  <si>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</si>
  <si>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</si>
  <si>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</si>
  <si>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</si>
  <si>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</si>
  <si>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</si>
  <si>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</si>
  <si>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</si>
  <si>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</si>
  <si>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</si>
  <si>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</si>
  <si>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</si>
  <si>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</si>
  <si>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</si>
  <si>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</si>
  <si>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</si>
  <si>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</si>
  <si>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</si>
  <si>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</si>
  <si>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</si>
  <si>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</si>
  <si>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</si>
  <si>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</si>
  <si>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</si>
  <si>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</si>
  <si>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</si>
  <si>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</si>
  <si>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</si>
  <si>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</si>
  <si>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</si>
  <si>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</si>
  <si>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</si>
  <si>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</si>
  <si>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</si>
  <si>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</si>
  <si>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</si>
  <si>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</si>
  <si>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</si>
  <si>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</si>
  <si>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</si>
  <si>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</si>
  <si>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</si>
  <si>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</si>
  <si>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</si>
  <si>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</si>
  <si>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</si>
  <si>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</si>
  <si>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</si>
  <si>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</si>
  <si>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</si>
  <si>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</si>
  <si>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</si>
  <si>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</si>
  <si>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</si>
  <si>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</si>
  <si>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</si>
  <si>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</si>
  <si>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</si>
  <si>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</si>
  <si>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</si>
  <si>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</si>
  <si>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</si>
  <si>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</si>
  <si>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</si>
  <si>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</si>
  <si>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</si>
  <si>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</si>
  <si>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</si>
  <si>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</si>
  <si>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</si>
  <si>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</si>
  <si>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</si>
  <si>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</si>
  <si>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</si>
  <si>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</si>
  <si>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</si>
  <si>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</si>
  <si>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</si>
  <si>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</si>
  <si>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</si>
  <si>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</si>
  <si>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</si>
  <si>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</si>
  <si>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</si>
  <si>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</si>
  <si>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</si>
  <si>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</si>
  <si>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</si>
  <si>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</si>
  <si>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</si>
  <si>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</si>
  <si>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</si>
  <si>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</si>
  <si>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</si>
  <si>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</si>
  <si>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</si>
  <si>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</si>
  <si>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</si>
  <si>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</si>
  <si>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</si>
  <si>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</si>
  <si>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</si>
  <si>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</si>
  <si>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</si>
  <si>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</si>
  <si>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</si>
  <si>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</si>
  <si>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</si>
  <si>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</si>
  <si>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</si>
  <si>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</si>
  <si>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</si>
  <si>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</si>
  <si>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</si>
  <si>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</si>
  <si>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</si>
  <si>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</si>
  <si>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</si>
  <si>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</si>
  <si>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</si>
  <si>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</si>
  <si>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</si>
  <si>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</si>
  <si>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</si>
  <si>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</si>
  <si>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</si>
  <si>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</si>
  <si>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</si>
  <si>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</si>
  <si>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</si>
  <si>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</si>
  <si>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</si>
  <si>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</si>
  <si>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</si>
  <si>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</si>
  <si>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</si>
  <si>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</si>
  <si>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</si>
  <si>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</si>
  <si>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</si>
  <si>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</si>
  <si>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</si>
  <si>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</si>
  <si>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</si>
  <si>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</si>
  <si>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</si>
  <si>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</si>
  <si>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</si>
  <si>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</si>
  <si>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</si>
  <si>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</si>
  <si>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</si>
  <si>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</si>
  <si>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</si>
  <si>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</si>
  <si>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</si>
  <si>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</si>
  <si>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</si>
  <si>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</si>
  <si>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</si>
  <si>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</si>
  <si>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</si>
  <si>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</si>
  <si>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</si>
  <si>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</si>
  <si>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</si>
  <si>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</si>
  <si>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</si>
  <si>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</si>
  <si>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</si>
  <si>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</si>
  <si>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</si>
  <si>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</si>
  <si>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</si>
  <si>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</si>
  <si>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</si>
  <si>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</si>
  <si>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</si>
  <si>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</si>
  <si>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</si>
  <si>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</si>
  <si>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</si>
  <si>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</si>
  <si>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</si>
  <si>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</si>
  <si>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</si>
  <si>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</si>
  <si>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</si>
  <si>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</si>
  <si>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</si>
  <si>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</si>
  <si>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</si>
  <si>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</si>
  <si>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</si>
  <si>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</si>
  <si>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</si>
  <si>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</si>
  <si>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</si>
  <si>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</si>
  <si>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</si>
  <si>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</si>
  <si>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</si>
  <si>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</si>
  <si>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</si>
  <si>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</si>
  <si>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</si>
  <si>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</si>
  <si>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</si>
  <si>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</si>
  <si>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</si>
  <si>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</si>
  <si>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</si>
  <si>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</si>
  <si>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</si>
  <si>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</si>
  <si>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</si>
  <si>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</si>
  <si>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</si>
  <si>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</si>
  <si>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</si>
  <si>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</si>
  <si>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</si>
  <si>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</si>
  <si>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</si>
  <si>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</si>
  <si>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</si>
  <si>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</si>
  <si>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</si>
  <si>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</si>
  <si>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</si>
  <si>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</si>
  <si>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</si>
  <si>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</si>
  <si>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</si>
  <si>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</si>
  <si>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</si>
  <si>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</si>
  <si>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</si>
  <si>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</si>
  <si>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</si>
  <si>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</si>
  <si>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</si>
  <si>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</si>
  <si>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</si>
  <si>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</si>
  <si>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</si>
  <si>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</si>
  <si>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</si>
  <si>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</si>
  <si>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</si>
  <si>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</si>
  <si>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</si>
  <si>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</si>
  <si>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</si>
  <si>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</si>
  <si>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</si>
  <si>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</si>
  <si>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</si>
  <si>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</si>
  <si>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</si>
  <si>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</si>
  <si>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</si>
  <si>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</si>
  <si>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</si>
  <si>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</si>
  <si>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</si>
  <si>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</si>
  <si>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</si>
  <si>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</si>
  <si>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</si>
  <si>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</si>
  <si>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</si>
  <si>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</si>
  <si>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</si>
  <si>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</si>
  <si>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</si>
  <si>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</si>
  <si>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</si>
  <si>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</si>
  <si>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</si>
  <si>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</si>
  <si>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</si>
  <si>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</si>
  <si>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</si>
  <si>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</si>
  <si>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</si>
  <si>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</si>
  <si>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</si>
  <si>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</si>
  <si>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</si>
  <si>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</si>
  <si>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</si>
  <si>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</si>
  <si>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</si>
  <si>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</si>
  <si>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</si>
  <si>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</si>
  <si>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</si>
  <si>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</si>
  <si>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</si>
  <si>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</si>
  <si>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</si>
  <si>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</si>
  <si>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</si>
  <si>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</si>
  <si>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</si>
  <si>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</si>
  <si>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</si>
  <si>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</si>
  <si>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</si>
  <si>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</si>
  <si>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</si>
  <si>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</si>
  <si>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</si>
  <si>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</si>
  <si>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</si>
  <si>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</si>
  <si>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</si>
  <si>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</si>
  <si>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</si>
  <si>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</si>
  <si>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</si>
  <si>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</si>
  <si>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</si>
  <si>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</si>
  <si>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</si>
  <si>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</si>
  <si>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</si>
  <si>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</si>
  <si>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</si>
  <si>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</si>
  <si>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</si>
  <si>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</si>
  <si>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</si>
  <si>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</si>
  <si>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</si>
  <si>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</si>
  <si>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</si>
  <si>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</si>
  <si>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</si>
  <si>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</si>
  <si>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</si>
  <si>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</si>
  <si>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</si>
  <si>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</si>
  <si>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</si>
  <si>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</si>
  <si>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</si>
  <si>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</si>
  <si>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</si>
  <si>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</si>
  <si>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</si>
  <si>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</si>
  <si>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</si>
  <si>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</si>
  <si>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</si>
  <si>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</si>
  <si>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</si>
  <si>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</si>
  <si>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</si>
  <si>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</si>
  <si>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</si>
  <si>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</si>
  <si>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</si>
  <si>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</si>
  <si>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</si>
  <si>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</si>
  <si>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</si>
  <si>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</si>
  <si>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</si>
  <si>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</si>
  <si>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</si>
  <si>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</si>
  <si>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</si>
  <si>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</si>
  <si>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</si>
  <si>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</si>
  <si>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</si>
  <si>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</si>
  <si>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</si>
  <si>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</si>
  <si>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</si>
  <si>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</si>
  <si>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</si>
  <si>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</si>
  <si>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</si>
  <si>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</si>
  <si>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</si>
  <si>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</si>
  <si>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</si>
  <si>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</si>
  <si>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</si>
  <si>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</si>
  <si>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</si>
  <si>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</si>
  <si>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</si>
  <si>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</si>
  <si>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</si>
  <si>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</si>
  <si>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</si>
  <si>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</si>
  <si>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</si>
  <si>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</si>
  <si>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</si>
  <si>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</si>
  <si>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</si>
  <si>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</si>
  <si>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</si>
  <si>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</si>
  <si>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</si>
  <si>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</si>
  <si>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</si>
  <si>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</si>
  <si>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</si>
  <si>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</si>
  <si>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</si>
  <si>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</si>
  <si>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</si>
  <si>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</si>
  <si>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</si>
  <si>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</si>
  <si>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</si>
  <si>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</si>
  <si>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</si>
  <si>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</si>
  <si>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</si>
  <si>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</si>
  <si>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</si>
  <si>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</si>
  <si>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</si>
  <si>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</si>
  <si>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</si>
  <si>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</si>
  <si>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</si>
  <si>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</si>
  <si>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</si>
  <si>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</si>
  <si>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</si>
  <si>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</si>
  <si>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</si>
  <si>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</si>
  <si>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</si>
  <si>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</si>
  <si>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</si>
  <si>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</si>
  <si>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</si>
  <si>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</si>
  <si>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</si>
  <si>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</si>
  <si>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</si>
  <si>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</si>
  <si>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</si>
  <si>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</si>
  <si>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</si>
  <si>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</si>
  <si>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</si>
  <si>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</si>
  <si>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</si>
  <si>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</si>
  <si>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</si>
  <si>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</si>
  <si>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</si>
  <si>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</si>
  <si>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</si>
  <si>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</si>
  <si>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</si>
  <si>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</si>
  <si>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</si>
  <si>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</si>
  <si>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</si>
  <si>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</si>
  <si>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</si>
  <si>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</si>
  <si>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</si>
  <si>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</si>
  <si>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</si>
  <si>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</si>
  <si>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</si>
  <si>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</si>
  <si>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</si>
  <si>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</si>
  <si>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</si>
  <si>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</si>
  <si>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</si>
  <si>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</si>
  <si>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</si>
  <si>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</si>
  <si>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</si>
  <si>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</si>
  <si>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</si>
  <si>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</si>
  <si>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</si>
  <si>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</si>
  <si>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</si>
  <si>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</si>
  <si>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</si>
  <si>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</si>
  <si>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</si>
  <si>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</si>
  <si>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</si>
  <si>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</si>
  <si>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</si>
  <si>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</si>
  <si>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</si>
  <si>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</si>
  <si>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</si>
  <si>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</si>
  <si>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</si>
  <si>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</si>
  <si>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</si>
  <si>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</si>
  <si>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</si>
  <si>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</si>
  <si>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</si>
  <si>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</si>
  <si>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</si>
  <si>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</si>
  <si>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</si>
  <si>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</si>
  <si>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</si>
  <si>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</si>
  <si>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</si>
  <si>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</si>
  <si>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</si>
  <si>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</si>
  <si>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</si>
  <si>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</si>
  <si>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</si>
  <si>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</si>
  <si>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</si>
  <si>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</si>
  <si>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</si>
  <si>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</si>
  <si>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</si>
  <si>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</si>
  <si>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</si>
  <si>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</si>
  <si>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</si>
  <si>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</si>
  <si>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</si>
  <si>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</si>
  <si>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</si>
  <si>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</si>
  <si>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</si>
  <si>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</si>
  <si>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</si>
  <si>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</si>
  <si>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</si>
  <si>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</si>
  <si>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</si>
  <si>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</si>
  <si>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</si>
  <si>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</si>
  <si>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</si>
  <si>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</si>
  <si>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</si>
  <si>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</si>
  <si>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</si>
  <si>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</si>
  <si>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</si>
  <si>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</si>
  <si>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</si>
  <si>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</si>
  <si>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</si>
  <si>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</si>
  <si>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</si>
  <si>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</si>
  <si>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</si>
  <si>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</si>
  <si>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</si>
  <si>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</si>
  <si>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</si>
  <si>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</si>
  <si>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</si>
  <si>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</si>
  <si>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</si>
  <si>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</si>
  <si>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</si>
  <si>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</si>
  <si>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</si>
  <si>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</si>
  <si>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</si>
  <si>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</si>
  <si>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</si>
  <si>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</si>
  <si>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</si>
  <si>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</si>
  <si>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</si>
  <si>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</si>
  <si>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</si>
  <si>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</si>
  <si>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</si>
  <si>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</si>
  <si>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</si>
  <si>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</si>
  <si>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</si>
  <si>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</si>
  <si>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</si>
  <si>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</si>
  <si>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</si>
  <si>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</si>
  <si>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</si>
  <si>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</si>
  <si>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</si>
  <si>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</si>
  <si>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</si>
  <si>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</si>
  <si>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</si>
  <si>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</si>
  <si>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</si>
  <si>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</si>
  <si>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</si>
  <si>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</si>
  <si>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</si>
  <si>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</si>
  <si>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</si>
  <si>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</si>
  <si>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</si>
  <si>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</si>
  <si>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</si>
  <si>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</si>
  <si>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</si>
  <si>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</si>
  <si>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</si>
  <si>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</si>
  <si>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</si>
  <si>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</si>
  <si>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</si>
  <si>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</si>
  <si>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</si>
  <si>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</si>
  <si>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</si>
  <si>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</si>
  <si>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</si>
  <si>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</si>
  <si>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</si>
  <si>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</si>
  <si>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</si>
  <si>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</si>
  <si>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</si>
  <si>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</si>
  <si>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</si>
  <si>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</si>
  <si>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</si>
  <si>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</si>
  <si>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</si>
  <si>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</si>
  <si>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</si>
  <si>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</si>
  <si>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</si>
  <si>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</si>
  <si>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</si>
  <si>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</si>
  <si>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</si>
  <si>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</si>
  <si>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</si>
  <si>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</si>
  <si>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</si>
  <si>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</si>
  <si>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</si>
  <si>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</si>
  <si>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</si>
  <si>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</si>
  <si>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</si>
  <si>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</si>
  <si>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</si>
  <si>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</si>
  <si>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</si>
  <si>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</si>
  <si>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</si>
  <si>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</si>
  <si>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</si>
  <si>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</si>
  <si>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</si>
  <si>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</si>
  <si>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</si>
  <si>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</si>
  <si>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</si>
  <si>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</si>
  <si>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</si>
  <si>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</si>
  <si>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</si>
  <si>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</si>
  <si>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</si>
  <si>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</si>
  <si>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</si>
  <si>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</si>
  <si>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</si>
  <si>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</si>
  <si>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</si>
  <si>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</si>
  <si>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</si>
  <si>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</si>
  <si>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</si>
  <si>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</si>
  <si>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</si>
  <si>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</si>
  <si>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</si>
  <si>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</si>
  <si>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</si>
  <si>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</si>
  <si>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</si>
  <si>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</si>
  <si>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</si>
  <si>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</si>
  <si>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</si>
  <si>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</si>
  <si>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</si>
  <si>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</si>
  <si>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</si>
  <si>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</si>
  <si>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</si>
  <si>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</si>
  <si>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</si>
  <si>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</si>
  <si>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</si>
  <si>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</si>
  <si>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</si>
  <si>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</si>
  <si>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</si>
  <si>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</si>
  <si>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</si>
  <si>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</si>
  <si>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</si>
  <si>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</si>
  <si>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</si>
  <si>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</si>
  <si>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</si>
  <si>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</si>
  <si>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</si>
  <si>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</si>
  <si>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</si>
  <si>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</si>
  <si>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</si>
  <si>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</si>
  <si>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</si>
  <si>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</si>
  <si>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</si>
  <si>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</si>
  <si>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</si>
  <si>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</si>
  <si>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</si>
  <si>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</si>
  <si>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</si>
  <si>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</si>
  <si>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</si>
  <si>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</si>
  <si>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</si>
  <si>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</si>
  <si>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</si>
  <si>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</si>
  <si>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</si>
  <si>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</si>
  <si>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</si>
  <si>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</si>
  <si>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</si>
  <si>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</si>
  <si>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</si>
  <si>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</si>
  <si>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</si>
  <si>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</si>
  <si>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</si>
  <si>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</si>
  <si>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</si>
  <si>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</si>
  <si>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</si>
  <si>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</si>
  <si>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</si>
  <si>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</si>
  <si>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</si>
  <si>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</si>
  <si>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</si>
  <si>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</si>
  <si>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</si>
  <si>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</si>
  <si>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</si>
  <si>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</si>
  <si>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</si>
  <si>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</si>
  <si>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</si>
  <si>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</si>
  <si>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</si>
  <si>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</si>
  <si>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</si>
  <si>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</si>
  <si>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</si>
  <si>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</si>
  <si>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</si>
  <si>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</si>
  <si>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</si>
  <si>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</si>
  <si>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</si>
  <si>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</si>
  <si>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</si>
  <si>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</si>
  <si>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</si>
  <si>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</si>
  <si>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</si>
  <si>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</si>
  <si>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</si>
  <si>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</si>
  <si>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</si>
  <si>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</si>
  <si>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</si>
  <si>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</si>
  <si>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</si>
  <si>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</si>
  <si>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</si>
  <si>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</si>
  <si>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</si>
  <si>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</si>
  <si>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</si>
  <si>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</si>
  <si>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</si>
  <si>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</si>
  <si>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</si>
  <si>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</si>
  <si>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</si>
  <si>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</si>
  <si>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</si>
  <si>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</si>
  <si>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</si>
  <si>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</si>
  <si>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</si>
  <si>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</si>
  <si>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</si>
  <si>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</si>
  <si>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</si>
  <si>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</si>
  <si>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</si>
  <si>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</si>
  <si>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</si>
  <si>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</si>
  <si>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</si>
  <si>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</si>
  <si>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</si>
  <si>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</si>
  <si>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</si>
  <si>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</si>
  <si>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</si>
  <si>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</si>
  <si>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</si>
  <si>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</si>
  <si>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</si>
  <si>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</si>
  <si>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</si>
  <si>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</si>
  <si>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</si>
  <si>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</si>
  <si>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</si>
  <si>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</si>
  <si>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</si>
  <si>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</si>
  <si>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</si>
  <si>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</si>
  <si>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</si>
  <si>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</si>
  <si>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</si>
  <si>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</si>
  <si>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</si>
  <si>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</si>
  <si>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</si>
  <si>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</si>
  <si>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</si>
  <si>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</si>
  <si>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</si>
  <si>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</si>
  <si>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</si>
  <si>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</si>
  <si>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</si>
  <si>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</si>
  <si>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</si>
  <si>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</si>
  <si>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</si>
  <si>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</si>
  <si>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</si>
  <si>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</si>
  <si>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</si>
  <si>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</si>
  <si>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</si>
  <si>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</si>
  <si>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</si>
  <si>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</si>
  <si>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</si>
  <si>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</si>
  <si>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</si>
  <si>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</si>
  <si>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</si>
  <si>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</si>
  <si>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</si>
  <si>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</si>
  <si>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</si>
  <si>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</si>
  <si>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</si>
  <si>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</si>
  <si>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</si>
  <si>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</si>
  <si>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</si>
  <si>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</si>
  <si>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</si>
  <si>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</si>
  <si>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</si>
  <si>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</si>
  <si>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</si>
  <si>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</si>
  <si>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</si>
  <si>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</si>
  <si>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</si>
  <si>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</si>
  <si>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</si>
  <si>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</si>
  <si>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</si>
  <si>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</si>
  <si>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</si>
  <si>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</si>
  <si>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</si>
  <si>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</si>
  <si>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</si>
  <si>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</si>
  <si>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</si>
  <si>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</si>
  <si>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</si>
  <si>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</si>
  <si>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</si>
  <si>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</si>
  <si>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</si>
  <si>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</si>
  <si>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</si>
  <si>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</si>
  <si>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</si>
  <si>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</si>
  <si>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</si>
  <si>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</si>
  <si>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</si>
  <si>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</si>
  <si>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</si>
  <si>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</si>
  <si>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</si>
  <si>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</si>
  <si>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</si>
  <si>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</si>
  <si>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</si>
  <si>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</si>
  <si>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</si>
  <si>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</si>
  <si>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</si>
  <si>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</si>
  <si>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</si>
  <si>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</si>
  <si>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</si>
  <si>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</si>
  <si>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</si>
  <si>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</si>
  <si>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</si>
  <si>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</si>
  <si>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</si>
  <si>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</si>
  <si>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</si>
  <si>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</si>
  <si>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</si>
  <si>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</si>
  <si>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</si>
  <si>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</si>
  <si>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</si>
  <si>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</si>
  <si>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</si>
  <si>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</si>
  <si>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</si>
  <si>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</si>
  <si>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</si>
  <si>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</si>
  <si>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</si>
  <si>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</si>
  <si>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</si>
  <si>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</si>
  <si>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</si>
  <si>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</si>
  <si>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</si>
  <si>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</si>
  <si>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</si>
  <si>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</si>
  <si>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</si>
  <si>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</si>
  <si>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</si>
  <si>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</si>
  <si>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</si>
  <si>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</si>
  <si>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</si>
  <si>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</si>
  <si>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</si>
  <si>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</si>
  <si>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</si>
  <si>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</si>
  <si>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</si>
  <si>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</si>
  <si>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</si>
  <si>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</si>
  <si>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</si>
  <si>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</si>
  <si>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</si>
  <si>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</si>
  <si>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</si>
  <si>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</si>
  <si>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</si>
  <si>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</si>
  <si>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</si>
  <si>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</si>
  <si>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</si>
  <si>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</si>
  <si>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</si>
  <si>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</si>
  <si>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</si>
  <si>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</si>
  <si>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</si>
  <si>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</si>
  <si>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</si>
  <si>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</si>
  <si>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</si>
  <si>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</si>
  <si>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</si>
  <si>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</si>
  <si>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</si>
  <si>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</si>
  <si>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</si>
  <si>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</si>
  <si>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</si>
  <si>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</si>
  <si>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</si>
  <si>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</si>
  <si>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</si>
  <si>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</si>
  <si>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</si>
  <si>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</si>
  <si>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</si>
  <si>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</si>
  <si>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</si>
  <si>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</si>
  <si>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</si>
  <si>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</si>
  <si>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</si>
  <si>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</si>
  <si>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</si>
  <si>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</si>
  <si>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</si>
  <si>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</si>
  <si>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</si>
  <si>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</si>
  <si>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</si>
  <si>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</si>
  <si>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</si>
  <si>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</si>
  <si>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</si>
  <si>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</si>
  <si>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</si>
  <si>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</si>
  <si>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</si>
  <si>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</si>
  <si>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</si>
  <si>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</si>
  <si>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</si>
  <si>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</si>
  <si>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</si>
  <si>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</si>
  <si>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</si>
  <si>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</si>
  <si>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</si>
  <si>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</si>
  <si>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</si>
  <si>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</si>
  <si>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</si>
  <si>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</si>
  <si>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</si>
  <si>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</si>
  <si>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</si>
  <si>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</si>
  <si>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</si>
  <si>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</si>
  <si>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</si>
  <si>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</si>
  <si>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</si>
  <si>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</si>
  <si>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</si>
  <si>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</si>
  <si>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</si>
  <si>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</si>
  <si>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</si>
  <si>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</si>
  <si>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</si>
  <si>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</si>
  <si>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</si>
  <si>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</si>
  <si>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</si>
  <si>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</si>
  <si>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</si>
  <si>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</si>
  <si>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</si>
  <si>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</si>
  <si>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</si>
  <si>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</si>
  <si>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</si>
  <si>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</si>
  <si>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</si>
  <si>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</si>
  <si>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</si>
  <si>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</si>
  <si>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</si>
  <si>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</si>
  <si>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</si>
  <si>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</si>
  <si>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</si>
  <si>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</si>
  <si>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</si>
  <si>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</si>
  <si>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</si>
  <si>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</si>
  <si>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</si>
  <si>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</si>
  <si>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</si>
  <si>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</si>
  <si>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</si>
  <si>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</si>
  <si>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</si>
  <si>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</si>
  <si>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</si>
  <si>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</si>
  <si>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</si>
  <si>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</si>
  <si>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</si>
  <si>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</si>
  <si>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</si>
  <si>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</si>
  <si>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</si>
  <si>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</si>
  <si>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</si>
  <si>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</si>
  <si>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</si>
  <si>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</si>
  <si>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</si>
  <si>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</si>
  <si>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</si>
  <si>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</si>
  <si>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</si>
  <si>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</si>
  <si>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</si>
  <si>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</si>
  <si>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</si>
  <si>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</si>
  <si>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</si>
  <si>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</si>
  <si>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</si>
  <si>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</si>
  <si>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</si>
  <si>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</si>
  <si>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</si>
  <si>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</si>
  <si>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</si>
  <si>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</si>
  <si>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</si>
  <si>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</si>
  <si>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</si>
  <si>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</si>
  <si>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</si>
  <si>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</si>
  <si>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</si>
  <si>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</si>
  <si>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</si>
  <si>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</si>
  <si>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</si>
  <si>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</si>
  <si>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</si>
  <si>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</si>
  <si>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</si>
  <si>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</si>
  <si>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</si>
  <si>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</si>
  <si>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</si>
  <si>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</si>
  <si>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</si>
  <si>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</si>
  <si>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</si>
  <si>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</si>
  <si>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</si>
  <si>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</si>
  <si>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</si>
  <si>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</si>
  <si>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</si>
  <si>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</si>
  <si>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</si>
  <si>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</si>
  <si>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</si>
  <si>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</si>
  <si>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</si>
  <si>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</si>
  <si>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</si>
  <si>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</si>
  <si>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</si>
  <si>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</si>
  <si>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</si>
  <si>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</si>
  <si>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</si>
  <si>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</si>
  <si>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</si>
  <si>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</si>
  <si>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</si>
  <si>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</si>
  <si>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</si>
  <si>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</si>
  <si>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</si>
  <si>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</si>
  <si>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</si>
  <si>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</si>
  <si>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</si>
  <si>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</si>
  <si>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</si>
  <si>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</si>
  <si>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</si>
  <si>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</si>
  <si>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</si>
  <si>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</si>
  <si>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</si>
  <si>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</si>
  <si>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</si>
  <si>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</si>
  <si>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</si>
  <si>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</si>
  <si>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</si>
  <si>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</si>
  <si>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</si>
  <si>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</si>
  <si>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</si>
  <si>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</si>
  <si>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</si>
  <si>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</si>
  <si>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</si>
  <si>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</si>
  <si>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</si>
  <si>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</si>
  <si>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</si>
  <si>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</si>
  <si>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</si>
  <si>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</si>
  <si>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</si>
  <si>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</si>
  <si>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</si>
  <si>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</si>
  <si>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</si>
  <si>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</si>
  <si>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</si>
  <si>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</si>
  <si>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</si>
  <si>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</si>
  <si>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</si>
  <si>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</si>
  <si>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</si>
  <si>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</si>
  <si>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</si>
  <si>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</si>
  <si>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</si>
  <si>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</si>
  <si>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</si>
  <si>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</si>
  <si>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</si>
  <si>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</si>
  <si>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</si>
  <si>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</si>
  <si>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</si>
  <si>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</si>
  <si>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</si>
  <si>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</si>
  <si>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</si>
  <si>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</si>
  <si>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</si>
  <si>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</si>
  <si>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</si>
  <si>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</si>
  <si>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</si>
  <si>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</si>
  <si>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</si>
  <si>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</si>
  <si>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</si>
  <si>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</si>
  <si>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</si>
  <si>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</si>
  <si>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</si>
  <si>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</si>
  <si>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</si>
  <si>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</si>
  <si>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</si>
  <si>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</si>
  <si>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</si>
  <si>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</si>
  <si>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</si>
  <si>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</si>
  <si>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</si>
  <si>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</si>
  <si>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</si>
  <si>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</si>
  <si>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</si>
  <si>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</si>
  <si>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</si>
  <si>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</si>
  <si>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</si>
  <si>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</si>
  <si>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</si>
  <si>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</si>
  <si>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</si>
  <si>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</si>
  <si>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</si>
  <si>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</si>
  <si>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</si>
  <si>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</si>
  <si>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</si>
  <si>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</si>
  <si>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</si>
  <si>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</si>
  <si>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</si>
  <si>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</si>
  <si>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</si>
  <si>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</si>
  <si>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</si>
  <si>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</si>
  <si>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</si>
  <si>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</si>
  <si>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</si>
  <si>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</si>
  <si>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</si>
  <si>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</si>
  <si>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</si>
  <si>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</si>
  <si>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</si>
  <si>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</si>
  <si>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</si>
  <si>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</si>
  <si>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</si>
  <si>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</si>
  <si>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</si>
  <si>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</si>
  <si>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</si>
  <si>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</si>
  <si>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</si>
  <si>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</si>
  <si>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</si>
  <si>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</si>
  <si>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</si>
  <si>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</si>
  <si>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</si>
  <si>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</si>
  <si>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</si>
  <si>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</si>
  <si>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</si>
  <si>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</si>
  <si>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</si>
  <si>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</si>
  <si>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</si>
  <si>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</si>
  <si>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</si>
  <si>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</si>
  <si>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</si>
  <si>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</si>
  <si>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</si>
  <si>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</si>
  <si>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</si>
  <si>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</si>
  <si>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</si>
  <si>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</si>
  <si>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</si>
  <si>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</si>
  <si>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</si>
  <si>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</si>
  <si>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</si>
  <si>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</si>
  <si>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</si>
  <si>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</si>
  <si>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</si>
  <si>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</si>
  <si>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</si>
  <si>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</si>
  <si>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</si>
  <si>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</si>
  <si>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</si>
  <si>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</si>
  <si>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</si>
  <si>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</si>
  <si>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</si>
  <si>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</si>
  <si>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</si>
  <si>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</si>
  <si>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</si>
  <si>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</si>
  <si>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</si>
  <si>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</si>
  <si>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</si>
  <si>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</si>
  <si>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</si>
  <si>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</si>
  <si>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</si>
  <si>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</si>
  <si>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</si>
  <si>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</si>
  <si>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</si>
  <si>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</si>
  <si>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</si>
  <si>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</si>
  <si>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</si>
  <si>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</si>
  <si>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</si>
  <si>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</si>
  <si>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</si>
  <si>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</si>
  <si>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</si>
  <si>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</si>
  <si>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</si>
  <si>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</si>
  <si>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</si>
  <si>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</si>
  <si>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</si>
  <si>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</si>
  <si>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</si>
  <si>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</si>
  <si>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</si>
  <si>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</si>
  <si>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</si>
  <si>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</si>
  <si>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</si>
  <si>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</si>
  <si>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</si>
  <si>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</si>
  <si>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</si>
  <si>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</si>
  <si>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</si>
  <si>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</si>
  <si>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</si>
  <si>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</si>
  <si>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</si>
  <si>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</si>
  <si>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</si>
  <si>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</si>
  <si>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</si>
  <si>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</si>
  <si>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</si>
  <si>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</si>
  <si>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</si>
  <si>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</si>
  <si>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</si>
  <si>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</si>
  <si>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</si>
  <si>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</si>
  <si>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</si>
  <si>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</si>
  <si>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</si>
  <si>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</si>
  <si>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</si>
  <si>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</si>
  <si>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</si>
  <si>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</si>
  <si>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</si>
  <si>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</si>
  <si>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</si>
  <si>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</si>
  <si>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</si>
  <si>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</si>
  <si>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</si>
  <si>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</si>
  <si>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</si>
  <si>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</si>
  <si>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</si>
  <si>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</si>
  <si>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</si>
  <si>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</si>
  <si>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</si>
  <si>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</si>
  <si>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</si>
  <si>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</si>
  <si>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</si>
  <si>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</si>
  <si>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</si>
  <si>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</si>
  <si>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</si>
  <si>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</si>
  <si>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</si>
  <si>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</si>
  <si>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</si>
  <si>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</si>
  <si>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</si>
  <si>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</si>
  <si>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</si>
  <si>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</si>
  <si>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</si>
  <si>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</si>
  <si>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</si>
  <si>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</si>
  <si>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</si>
  <si>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</si>
  <si>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</si>
  <si>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</si>
  <si>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</si>
  <si>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</si>
  <si>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</si>
  <si>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</si>
  <si>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</si>
  <si>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</si>
  <si>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</si>
  <si>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</si>
  <si>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</si>
  <si>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</si>
  <si>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</si>
  <si>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</si>
  <si>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</si>
  <si>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</si>
  <si>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</si>
  <si>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</si>
  <si>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</si>
  <si>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</si>
  <si>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</si>
  <si>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</si>
  <si>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</si>
  <si>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</si>
  <si>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</si>
  <si>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</si>
  <si>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</si>
  <si>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</si>
  <si>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</si>
  <si>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</si>
  <si>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</si>
  <si>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</si>
  <si>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</si>
  <si>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</si>
  <si>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</si>
  <si>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</si>
  <si>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</si>
  <si>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</si>
  <si>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</si>
  <si>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</si>
  <si>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</si>
  <si>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</si>
  <si>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</si>
  <si>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</si>
  <si>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</si>
  <si>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</si>
  <si>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</si>
  <si>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</si>
  <si>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</si>
  <si>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</si>
  <si>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</si>
  <si>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</si>
  <si>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</si>
  <si>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</si>
  <si>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</si>
  <si>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</si>
  <si>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</si>
  <si>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</si>
  <si>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</si>
  <si>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</si>
  <si>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</si>
  <si>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</si>
  <si>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</si>
  <si>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</si>
  <si>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</si>
  <si>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</si>
  <si>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</si>
  <si>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</si>
  <si>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</si>
  <si>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</si>
  <si>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</si>
  <si>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</si>
  <si>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</si>
  <si>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</si>
  <si>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</si>
  <si>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</si>
  <si>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</si>
  <si>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</si>
  <si>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</si>
  <si>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</si>
  <si>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</si>
  <si>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</si>
  <si>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</si>
  <si>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</si>
  <si>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</si>
  <si>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</si>
  <si>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</si>
  <si>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</si>
  <si>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</si>
  <si>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</si>
  <si>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</si>
  <si>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</si>
  <si>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</si>
  <si>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</si>
  <si>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</si>
  <si>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</si>
  <si>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</si>
  <si>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</si>
  <si>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</si>
  <si>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</si>
  <si>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</si>
  <si>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</si>
  <si>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</si>
  <si>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</si>
  <si>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</si>
  <si>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</si>
  <si>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</si>
  <si>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</si>
  <si>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</si>
  <si>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</si>
  <si>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</si>
  <si>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</si>
  <si>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</si>
  <si>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</si>
  <si>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</si>
  <si>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</si>
  <si>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</si>
  <si>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</si>
  <si>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</si>
  <si>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</si>
  <si>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</si>
  <si>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</si>
  <si>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</si>
  <si>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</si>
  <si>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</si>
  <si>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</si>
  <si>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</si>
  <si>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</si>
  <si>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</si>
  <si>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</si>
  <si>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</si>
  <si>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</si>
  <si>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</si>
  <si>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</si>
  <si>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</si>
  <si>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</si>
  <si>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</si>
  <si>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</si>
  <si>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</si>
  <si>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</si>
  <si>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</si>
  <si>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</si>
  <si>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</si>
  <si>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</si>
  <si>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</si>
  <si>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</si>
  <si>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</si>
  <si>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</si>
  <si>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</si>
  <si>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</si>
  <si>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</si>
  <si>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</si>
  <si>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</si>
  <si>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</si>
  <si>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</si>
  <si>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</si>
  <si>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</si>
  <si>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</si>
  <si>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</si>
  <si>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</si>
  <si>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</si>
  <si>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</si>
  <si>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</si>
  <si>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</si>
  <si>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</si>
  <si>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</si>
  <si>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</si>
  <si>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</si>
  <si>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</si>
  <si>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</si>
  <si>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</si>
  <si>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</si>
  <si>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</si>
  <si>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</si>
  <si>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</si>
  <si>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</si>
  <si>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</si>
  <si>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</si>
  <si>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</si>
  <si>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</si>
  <si>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</si>
  <si>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</si>
  <si>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</si>
  <si>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</si>
  <si>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</si>
  <si>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</si>
  <si>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</si>
  <si>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</si>
  <si>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</si>
  <si>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</si>
  <si>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</si>
  <si>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</si>
  <si>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</si>
  <si>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</si>
  <si>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</si>
  <si>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</si>
  <si>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</si>
  <si>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</si>
  <si>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</si>
  <si>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</si>
  <si>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</si>
  <si>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</si>
  <si>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</si>
  <si>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</si>
  <si>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</si>
  <si>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</si>
  <si>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</si>
  <si>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</si>
  <si>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</si>
  <si>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</si>
  <si>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</si>
  <si>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</si>
  <si>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</si>
  <si>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</si>
  <si>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</si>
  <si>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</si>
  <si>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</si>
  <si>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</si>
  <si>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</si>
  <si>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</si>
  <si>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</si>
  <si>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</si>
  <si>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</si>
  <si>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</si>
  <si>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</si>
  <si>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</si>
  <si>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</si>
  <si>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</si>
  <si>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</si>
  <si>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</si>
  <si>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</si>
  <si>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</si>
  <si>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</si>
  <si>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</si>
  <si>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</si>
  <si>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</si>
  <si>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</si>
  <si>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</si>
  <si>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</si>
  <si>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</si>
  <si>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</si>
  <si>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</si>
  <si>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</si>
  <si>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</si>
  <si>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</si>
  <si>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</si>
  <si>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</si>
  <si>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</si>
  <si>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</si>
  <si>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</si>
  <si>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</si>
  <si>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</si>
  <si>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</si>
  <si>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</si>
  <si>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</si>
  <si>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</si>
  <si>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</si>
  <si>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</si>
  <si>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</si>
  <si>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</si>
  <si>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</si>
  <si>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</si>
  <si>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</si>
  <si>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</si>
  <si>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</si>
  <si>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</si>
  <si>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</si>
  <si>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</si>
  <si>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</si>
  <si>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</si>
  <si>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</si>
  <si>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</si>
  <si>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</si>
  <si>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</si>
  <si>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</si>
  <si>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</si>
  <si>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</si>
  <si>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</si>
  <si>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</si>
  <si>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</si>
  <si>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</si>
  <si>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</si>
  <si>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</si>
  <si>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</si>
  <si>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</si>
  <si>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</si>
  <si>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</si>
  <si>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</si>
  <si>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</si>
  <si>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</si>
  <si>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</si>
  <si>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</si>
  <si>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</si>
  <si>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</si>
  <si>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</si>
  <si>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</si>
  <si>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</si>
  <si>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</si>
  <si>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</si>
  <si>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</si>
  <si>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</si>
  <si>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</si>
  <si>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</si>
  <si>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</si>
  <si>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</si>
  <si>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</si>
  <si>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</si>
  <si>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</si>
  <si>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</si>
  <si>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</si>
  <si>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</si>
  <si>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</si>
  <si>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</si>
  <si>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</si>
  <si>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</si>
  <si>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</si>
  <si>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</si>
  <si>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</si>
  <si>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</si>
  <si>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</si>
  <si>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</si>
  <si>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</si>
  <si>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</si>
  <si>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</si>
  <si>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</si>
  <si>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</si>
  <si>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</si>
  <si>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</si>
  <si>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</si>
  <si>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</si>
  <si>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</si>
  <si>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</si>
  <si>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</si>
  <si>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</si>
  <si>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</si>
  <si>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</si>
  <si>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</si>
  <si>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</si>
  <si>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</si>
  <si>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</si>
  <si>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</si>
  <si>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</si>
  <si>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</si>
  <si>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</si>
  <si>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</si>
  <si>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</si>
  <si>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</si>
  <si>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</si>
  <si>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</si>
  <si>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</si>
  <si>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</si>
  <si>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</si>
  <si>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</si>
  <si>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</si>
  <si>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</si>
  <si>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</si>
  <si>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</si>
  <si>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</si>
  <si>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</si>
  <si>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</si>
  <si>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</si>
  <si>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</si>
  <si>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</si>
  <si>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</si>
  <si>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</si>
  <si>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</si>
  <si>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</si>
  <si>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</si>
  <si>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</si>
  <si>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</si>
  <si>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</si>
  <si>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</si>
  <si>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</si>
  <si>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</si>
  <si>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</si>
  <si>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</si>
  <si>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</si>
  <si>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</si>
  <si>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</si>
  <si>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</si>
  <si>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</si>
  <si>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</si>
  <si>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</si>
  <si>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</si>
  <si>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</si>
  <si>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</si>
  <si>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</si>
  <si>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</si>
  <si>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</si>
  <si>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</si>
  <si>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</si>
  <si>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</si>
  <si>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</si>
  <si>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</si>
  <si>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</si>
  <si>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</si>
  <si>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</si>
  <si>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</si>
  <si>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</si>
  <si>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</si>
  <si>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</si>
  <si>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</si>
  <si>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</si>
  <si>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</si>
  <si>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</si>
  <si>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</si>
  <si>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</si>
  <si>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</si>
  <si>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</si>
  <si>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</si>
  <si>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</si>
  <si>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</si>
  <si>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</si>
  <si>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</si>
  <si>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</si>
  <si>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</si>
  <si>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</si>
  <si>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</si>
  <si>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</si>
  <si>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</si>
  <si>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</si>
  <si>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</si>
  <si>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</si>
  <si>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</si>
  <si>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</si>
  <si>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</si>
  <si>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</si>
  <si>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</si>
  <si>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</si>
  <si>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</si>
  <si>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</si>
  <si>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</si>
  <si>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</si>
  <si>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</si>
  <si>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</si>
  <si>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</si>
  <si>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</si>
  <si>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</si>
  <si>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</si>
  <si>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</si>
  <si>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</si>
  <si>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</si>
  <si>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</si>
  <si>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</si>
  <si>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</si>
  <si>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</si>
  <si>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</si>
  <si>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</si>
  <si>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</si>
  <si>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</si>
  <si>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</si>
  <si>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</si>
  <si>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</si>
  <si>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</si>
  <si>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</si>
  <si>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</si>
  <si>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</si>
  <si>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</si>
  <si>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</si>
  <si>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</si>
  <si>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</si>
  <si>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</si>
  <si>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</si>
  <si>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</si>
  <si>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</si>
  <si>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</si>
  <si>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</si>
  <si>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</si>
  <si>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</si>
  <si>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</si>
  <si>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</si>
  <si>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</si>
  <si>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</si>
  <si>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</si>
  <si>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</si>
  <si>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</si>
  <si>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</si>
  <si>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</si>
  <si>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</si>
  <si>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</si>
  <si>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</si>
  <si>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</si>
  <si>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</si>
  <si>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</si>
  <si>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</si>
  <si>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</si>
  <si>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</si>
  <si>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</si>
  <si>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</si>
  <si>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</si>
  <si>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</si>
  <si>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</si>
  <si>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</si>
  <si>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</si>
  <si>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</si>
  <si>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</si>
  <si>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</si>
  <si>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</si>
  <si>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</si>
  <si>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</si>
  <si>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</si>
  <si>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</si>
  <si>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</si>
  <si>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</si>
  <si>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</si>
  <si>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</si>
  <si>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</si>
  <si>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</si>
  <si>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</si>
  <si>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</si>
  <si>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</si>
  <si>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</si>
  <si>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</si>
  <si>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</si>
  <si>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</si>
  <si>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</si>
  <si>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</si>
  <si>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</si>
  <si>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</si>
  <si>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</si>
  <si>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</si>
  <si>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</si>
  <si>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</si>
  <si>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</si>
  <si>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</si>
  <si>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</si>
  <si>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</si>
  <si>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</si>
  <si>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</si>
  <si>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</si>
  <si>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</si>
  <si>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</si>
  <si>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</si>
  <si>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</si>
  <si>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</si>
  <si>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</si>
  <si>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</si>
  <si>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</si>
  <si>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</si>
  <si>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</si>
  <si>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</si>
  <si>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</si>
  <si>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</si>
  <si>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</si>
  <si>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</si>
  <si>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</si>
  <si>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</si>
  <si>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</si>
  <si>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</si>
  <si>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</si>
  <si>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</si>
  <si>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</si>
  <si>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</si>
  <si>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</si>
  <si>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</si>
  <si>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</si>
  <si>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</si>
  <si>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</si>
  <si>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</si>
  <si>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</si>
  <si>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</si>
  <si>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</si>
  <si>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</si>
  <si>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</si>
  <si>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</si>
  <si>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</si>
  <si>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</si>
  <si>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</si>
  <si>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</si>
  <si>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</si>
  <si>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</si>
  <si>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抵押</t>
  </si>
  <si>
    <t>房地产抵押价值</t>
  </si>
  <si>
    <t>北京市</t>
  </si>
  <si>
    <t>企业</t>
  </si>
  <si>
    <r>
      <t>1</t>
    </r>
    <r>
      <rPr>
        <sz val="11"/>
        <color theme="1"/>
        <rFont val="宋体"/>
        <family val="3"/>
        <charset val="134"/>
        <scheme val="minor"/>
      </rPr>
      <t>01-1</t>
    </r>
    <phoneticPr fontId="135" type="noConversion"/>
  </si>
  <si>
    <r>
      <t>1</t>
    </r>
    <r>
      <rPr>
        <sz val="11"/>
        <color theme="1"/>
        <rFont val="宋体"/>
        <family val="3"/>
        <charset val="134"/>
        <scheme val="minor"/>
      </rPr>
      <t>01-2</t>
    </r>
    <r>
      <rPr>
        <sz val="11"/>
        <color theme="1"/>
        <rFont val="宋体"/>
        <family val="2"/>
        <charset val="134"/>
        <scheme val="minor"/>
      </rPr>
      <t/>
    </r>
  </si>
  <si>
    <r>
      <t>1</t>
    </r>
    <r>
      <rPr>
        <sz val="11"/>
        <color theme="1"/>
        <rFont val="宋体"/>
        <family val="3"/>
        <charset val="134"/>
        <scheme val="minor"/>
      </rPr>
      <t>01-3</t>
    </r>
    <r>
      <rPr>
        <sz val="11"/>
        <color theme="1"/>
        <rFont val="宋体"/>
        <family val="2"/>
        <charset val="134"/>
        <scheme val="minor"/>
      </rPr>
      <t/>
    </r>
  </si>
  <si>
    <r>
      <t>1</t>
    </r>
    <r>
      <rPr>
        <sz val="11"/>
        <color theme="1"/>
        <rFont val="宋体"/>
        <family val="3"/>
        <charset val="134"/>
        <scheme val="minor"/>
      </rPr>
      <t>01-4</t>
    </r>
    <r>
      <rPr>
        <sz val="11"/>
        <color theme="1"/>
        <rFont val="宋体"/>
        <family val="2"/>
        <charset val="134"/>
        <scheme val="minor"/>
      </rPr>
      <t/>
    </r>
  </si>
  <si>
    <r>
      <t>1</t>
    </r>
    <r>
      <rPr>
        <sz val="11"/>
        <color theme="1"/>
        <rFont val="宋体"/>
        <family val="3"/>
        <charset val="134"/>
        <scheme val="minor"/>
      </rPr>
      <t>01-5</t>
    </r>
    <r>
      <rPr>
        <sz val="11"/>
        <color theme="1"/>
        <rFont val="宋体"/>
        <family val="2"/>
        <charset val="134"/>
        <scheme val="minor"/>
      </rPr>
      <t/>
    </r>
  </si>
  <si>
    <r>
      <t>1</t>
    </r>
    <r>
      <rPr>
        <sz val="11"/>
        <color theme="1"/>
        <rFont val="宋体"/>
        <family val="3"/>
        <charset val="134"/>
        <scheme val="minor"/>
      </rPr>
      <t>01-6</t>
    </r>
    <r>
      <rPr>
        <sz val="11"/>
        <color theme="1"/>
        <rFont val="宋体"/>
        <family val="2"/>
        <charset val="134"/>
        <scheme val="minor"/>
      </rPr>
      <t/>
    </r>
  </si>
  <si>
    <r>
      <t>1</t>
    </r>
    <r>
      <rPr>
        <sz val="11"/>
        <color theme="1"/>
        <rFont val="宋体"/>
        <family val="3"/>
        <charset val="134"/>
        <scheme val="minor"/>
      </rPr>
      <t>01-7</t>
    </r>
    <r>
      <rPr>
        <sz val="11"/>
        <color theme="1"/>
        <rFont val="宋体"/>
        <family val="2"/>
        <charset val="134"/>
        <scheme val="minor"/>
      </rPr>
      <t/>
    </r>
  </si>
  <si>
    <t>Ⅵ-亦1</t>
  </si>
  <si>
    <t>7号楼</t>
  </si>
  <si>
    <t>7号楼</t>
    <phoneticPr fontId="135" type="noConversion"/>
  </si>
  <si>
    <t>8号楼</t>
    <phoneticPr fontId="135" type="noConversion"/>
  </si>
  <si>
    <t>套内</t>
    <phoneticPr fontId="135" type="noConversion"/>
  </si>
  <si>
    <t>分摊</t>
    <phoneticPr fontId="135" type="noConversion"/>
  </si>
  <si>
    <r>
      <t>1</t>
    </r>
    <r>
      <rPr>
        <sz val="11"/>
        <color theme="1"/>
        <rFont val="宋体"/>
        <family val="3"/>
        <charset val="134"/>
        <scheme val="minor"/>
      </rPr>
      <t>02幢</t>
    </r>
    <phoneticPr fontId="135" type="noConversion"/>
  </si>
  <si>
    <t>建面</t>
    <phoneticPr fontId="135" type="noConversion"/>
  </si>
  <si>
    <t>10号楼</t>
    <phoneticPr fontId="135" type="noConversion"/>
  </si>
  <si>
    <t>11号楼</t>
    <phoneticPr fontId="135" type="noConversion"/>
  </si>
  <si>
    <t>12号楼</t>
    <phoneticPr fontId="135" type="noConversion"/>
  </si>
  <si>
    <t>21号楼</t>
    <phoneticPr fontId="135" type="noConversion"/>
  </si>
  <si>
    <t>23号楼</t>
    <phoneticPr fontId="135" type="noConversion"/>
  </si>
  <si>
    <r>
      <t>7</t>
    </r>
    <r>
      <rPr>
        <sz val="10"/>
        <color indexed="8"/>
        <rFont val="宋体"/>
        <family val="3"/>
        <charset val="134"/>
      </rPr>
      <t>号楼</t>
    </r>
    <phoneticPr fontId="4" type="noConversion"/>
  </si>
  <si>
    <t>是</t>
  </si>
  <si>
    <t>否</t>
  </si>
  <si>
    <t>地下</t>
  </si>
  <si>
    <t>地上</t>
  </si>
  <si>
    <t>成新度</t>
  </si>
  <si>
    <t>收益法</t>
  </si>
  <si>
    <t>自定义容积率</t>
  </si>
  <si>
    <t>不临65条商业街</t>
  </si>
  <si>
    <t>与级别开发程度一致</t>
  </si>
  <si>
    <t>二层</t>
    <phoneticPr fontId="135" type="noConversion"/>
  </si>
  <si>
    <t>一层</t>
    <phoneticPr fontId="135" type="noConversion"/>
  </si>
  <si>
    <t>地下一层</t>
    <phoneticPr fontId="135" type="noConversion"/>
  </si>
  <si>
    <t>地下二层</t>
    <phoneticPr fontId="135" type="noConversion"/>
  </si>
  <si>
    <t>首佳</t>
    <phoneticPr fontId="135" type="noConversion"/>
  </si>
  <si>
    <t>新测绘</t>
    <phoneticPr fontId="135" type="noConversion"/>
  </si>
  <si>
    <t>较好</t>
  </si>
  <si>
    <t>楼层修正</t>
  </si>
  <si>
    <t>未包含在土地购买价格中</t>
  </si>
  <si>
    <t>全部缴纳</t>
  </si>
  <si>
    <t>已包含在土地取得成本中</t>
  </si>
  <si>
    <t>钢混</t>
  </si>
  <si>
    <t>非生产用房</t>
  </si>
  <si>
    <t>现房</t>
  </si>
  <si>
    <t>项目局部</t>
  </si>
  <si>
    <t>成本法</t>
  </si>
  <si>
    <t>一层</t>
    <phoneticPr fontId="4" type="noConversion"/>
  </si>
  <si>
    <t>二层</t>
    <phoneticPr fontId="4" type="noConversion"/>
  </si>
  <si>
    <t>负一层</t>
    <phoneticPr fontId="4" type="noConversion"/>
  </si>
  <si>
    <t>负二层</t>
    <phoneticPr fontId="4" type="noConversion"/>
  </si>
  <si>
    <t>面积</t>
    <phoneticPr fontId="4" type="noConversion"/>
  </si>
  <si>
    <t>租金</t>
    <phoneticPr fontId="4" type="noConversion"/>
  </si>
  <si>
    <t>系数</t>
    <phoneticPr fontId="4" type="noConversion"/>
  </si>
  <si>
    <t>售价</t>
    <phoneticPr fontId="4" type="noConversion"/>
  </si>
  <si>
    <t>会所</t>
    <phoneticPr fontId="135" type="noConversion"/>
  </si>
  <si>
    <t>小部分毛坯</t>
    <phoneticPr fontId="135" type="noConversion"/>
  </si>
  <si>
    <t>全装修</t>
    <phoneticPr fontId="135" type="noConversion"/>
  </si>
  <si>
    <r>
      <t>3</t>
    </r>
    <r>
      <rPr>
        <sz val="11"/>
        <color theme="1"/>
        <rFont val="宋体"/>
        <family val="3"/>
        <charset val="134"/>
        <scheme val="minor"/>
      </rPr>
      <t>-4 6米</t>
    </r>
    <phoneticPr fontId="135" type="noConversion"/>
  </si>
  <si>
    <t>燃气</t>
    <phoneticPr fontId="135" type="noConversion"/>
  </si>
  <si>
    <t>总价</t>
  </si>
  <si>
    <t>成本比率</t>
  </si>
  <si>
    <t>中心城区以外</t>
  </si>
  <si>
    <t>押一</t>
  </si>
  <si>
    <t>三层</t>
    <phoneticPr fontId="4" type="noConversion"/>
  </si>
  <si>
    <t>四层</t>
    <phoneticPr fontId="4" type="noConversion"/>
  </si>
  <si>
    <t>项目模式</t>
  </si>
  <si>
    <t>租金</t>
  </si>
  <si>
    <t>正常</t>
  </si>
  <si>
    <t>商业</t>
    <phoneticPr fontId="31" type="noConversion"/>
  </si>
  <si>
    <t>临外街</t>
    <phoneticPr fontId="4" type="noConversion"/>
  </si>
  <si>
    <t>临内街</t>
    <phoneticPr fontId="4" type="noConversion"/>
  </si>
  <si>
    <t>大</t>
    <phoneticPr fontId="4" type="noConversion"/>
  </si>
  <si>
    <t>较大</t>
    <phoneticPr fontId="4" type="noConversion"/>
  </si>
  <si>
    <t>一般</t>
    <phoneticPr fontId="4" type="noConversion"/>
  </si>
  <si>
    <t>较小</t>
    <phoneticPr fontId="4" type="noConversion"/>
  </si>
  <si>
    <t>一层</t>
    <phoneticPr fontId="4" type="noConversion"/>
  </si>
  <si>
    <t>二层</t>
    <phoneticPr fontId="4" type="noConversion"/>
  </si>
  <si>
    <t>一拖二</t>
    <phoneticPr fontId="4" type="noConversion"/>
  </si>
  <si>
    <t>商业步行街</t>
    <phoneticPr fontId="4" type="noConversion"/>
  </si>
  <si>
    <t>独立商业楼</t>
    <phoneticPr fontId="4" type="noConversion"/>
  </si>
  <si>
    <t>住宅配套商业</t>
    <phoneticPr fontId="4" type="noConversion"/>
  </si>
  <si>
    <t>钢混</t>
    <phoneticPr fontId="4" type="noConversion"/>
  </si>
  <si>
    <t>精装修</t>
    <phoneticPr fontId="4" type="noConversion"/>
  </si>
  <si>
    <t>七通</t>
    <phoneticPr fontId="4" type="noConversion"/>
  </si>
  <si>
    <t>六通</t>
    <phoneticPr fontId="4" type="noConversion"/>
  </si>
  <si>
    <t>五通</t>
    <phoneticPr fontId="4" type="noConversion"/>
  </si>
  <si>
    <t>可餐饮</t>
    <phoneticPr fontId="4" type="noConversion"/>
  </si>
  <si>
    <t>不可餐饮</t>
    <phoneticPr fontId="4" type="noConversion"/>
  </si>
  <si>
    <t>普通装修</t>
    <phoneticPr fontId="4" type="noConversion"/>
  </si>
  <si>
    <t>简单装修</t>
    <phoneticPr fontId="4" type="noConversion"/>
  </si>
  <si>
    <t>毛坯</t>
    <phoneticPr fontId="4" type="noConversion"/>
  </si>
  <si>
    <t>一层</t>
  </si>
  <si>
    <t>独立商业楼</t>
  </si>
  <si>
    <t>住宅配套商业</t>
  </si>
  <si>
    <t>月租金</t>
    <phoneticPr fontId="4" type="noConversion"/>
  </si>
  <si>
    <t>月租金</t>
    <phoneticPr fontId="4" type="noConversion"/>
  </si>
  <si>
    <t>https://bj.58.com/shangpu/55783924495247x.shtml?utm_source=market&amp;prd=CgDg2l3vK8YklwLUl3CG%2Fg%3D%3D&amp;houseId=3218300651428877&amp;gpos=5&amp;positionType=shikanhouse&amp;filterJson=eyJRVVlVIjpbeyJrZXkiOiIiLCJsYWJlbCI6IuWkp-WFtCIsInZhbCI6ImRheGluZyJ9XSwiU0hBTkdRVUFOIjpbeyJrZXkiOiIiLCJsYWJlbCI6IuS6puW6hCIsInZhbCI6Inlpemh1YW5nIn1dfQ&amp;jx_abtest=ZWljX3N5ZGNfcGNfcmVjb21tZW5kX3Rlc3QscHRyX2ZhbmdfYnVkZ2V0X2JvdHRvbXwxLHVzZXJfcGhhc2VfbA&amp;list_type=main&amp;PGTID=0d306b35-0000-11fb-21e9-685827596500&amp;ClickID=59</t>
  </si>
  <si>
    <t>七通</t>
  </si>
  <si>
    <t>临外街</t>
  </si>
  <si>
    <t>较大</t>
  </si>
  <si>
    <t>精装修</t>
  </si>
  <si>
    <t>六通</t>
  </si>
  <si>
    <t>可餐饮</t>
  </si>
  <si>
    <t>3米</t>
  </si>
  <si>
    <t>毛坯</t>
  </si>
  <si>
    <t>较适宜</t>
  </si>
  <si>
    <t>较适宜</t>
    <phoneticPr fontId="31" type="noConversion"/>
  </si>
  <si>
    <t>湘来不晚</t>
    <phoneticPr fontId="135" type="noConversion"/>
  </si>
  <si>
    <t>面积</t>
    <phoneticPr fontId="135" type="noConversion"/>
  </si>
  <si>
    <t>年租金</t>
    <phoneticPr fontId="135" type="noConversion"/>
  </si>
  <si>
    <t>装修</t>
    <phoneticPr fontId="135" type="noConversion"/>
  </si>
  <si>
    <t>精装</t>
    <phoneticPr fontId="135" type="noConversion"/>
  </si>
  <si>
    <t>备注</t>
    <phoneticPr fontId="135" type="noConversion"/>
  </si>
  <si>
    <t>转让费15万</t>
    <phoneticPr fontId="135" type="noConversion"/>
  </si>
  <si>
    <t>精装</t>
    <phoneticPr fontId="135" type="noConversion"/>
  </si>
  <si>
    <t>鳍盛居酒屋</t>
    <phoneticPr fontId="135" type="noConversion"/>
  </si>
  <si>
    <t>楼层</t>
    <phoneticPr fontId="135" type="noConversion"/>
  </si>
  <si>
    <t>一层</t>
    <phoneticPr fontId="135" type="noConversion"/>
  </si>
  <si>
    <t>二层</t>
  </si>
  <si>
    <t>二层</t>
    <phoneticPr fontId="135" type="noConversion"/>
  </si>
  <si>
    <t>首航超市旁</t>
    <phoneticPr fontId="135" type="noConversion"/>
  </si>
  <si>
    <t>普通装修</t>
  </si>
  <si>
    <t>3米</t>
    <phoneticPr fontId="4" type="noConversion"/>
  </si>
  <si>
    <t>室内就餐</t>
    <phoneticPr fontId="31" type="noConversion"/>
  </si>
  <si>
    <t>可外摆就餐</t>
    <phoneticPr fontId="31" type="noConversion"/>
  </si>
  <si>
    <t>室内就餐</t>
    <phoneticPr fontId="31" type="noConversion"/>
  </si>
  <si>
    <t>可外摆就餐</t>
    <phoneticPr fontId="31" type="noConversion"/>
  </si>
  <si>
    <t>室内就餐</t>
    <phoneticPr fontId="31" type="noConversion"/>
  </si>
  <si>
    <t>林肯公园C区底商</t>
    <phoneticPr fontId="135" type="noConversion"/>
  </si>
  <si>
    <t>林肯公园C区底商</t>
    <phoneticPr fontId="135" type="noConversion"/>
  </si>
  <si>
    <t>林肯公园B区底商</t>
    <phoneticPr fontId="135" type="noConversion"/>
  </si>
  <si>
    <t>现租赁品牌</t>
    <phoneticPr fontId="135" type="noConversion"/>
  </si>
  <si>
    <t>挂牌</t>
  </si>
  <si>
    <t>挂牌</t>
    <phoneticPr fontId="31" type="noConversion"/>
  </si>
  <si>
    <t>情况3</t>
  </si>
  <si>
    <t>自行开发建设</t>
  </si>
  <si>
    <t>非个人房产</t>
  </si>
  <si>
    <t>出让金+开发费</t>
  </si>
  <si>
    <t>企业提供（在右侧录入）</t>
  </si>
  <si>
    <t>其他利用状况</t>
    <phoneticPr fontId="31" type="noConversion"/>
  </si>
  <si>
    <t>较好</t>
    <phoneticPr fontId="31" type="noConversion"/>
  </si>
  <si>
    <t>比较法</t>
    <phoneticPr fontId="4" type="noConversion"/>
  </si>
  <si>
    <t>售价分摊</t>
    <phoneticPr fontId="4" type="noConversion"/>
  </si>
  <si>
    <t>租金分摊</t>
    <phoneticPr fontId="4" type="noConversion"/>
  </si>
  <si>
    <t>售价</t>
    <phoneticPr fontId="4" type="noConversion"/>
  </si>
  <si>
    <t>建安</t>
    <phoneticPr fontId="4" type="noConversion"/>
  </si>
  <si>
    <t>日租金</t>
    <phoneticPr fontId="135" type="noConversion"/>
  </si>
  <si>
    <t>超高</t>
  </si>
  <si>
    <t>超高</t>
    <phoneticPr fontId="4"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</si>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</sst>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horizontal="left" vertical="center"/>
      <protection locked="0"/>
    </xf>
    <xf numFmtId="179" fontId="45" fillId="0" borderId="0" xfId="0" applyNumberFormat="1" applyFo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96" fillId="0" borderId="0" xfId="0" applyFont="1" applyAlignment="1">
      <alignment horizontal="left" vertical="center"/>
    </xf>
    <xf numFmtId="0" fontId="96" fillId="0" borderId="0" xfId="0" applyFont="1" applyAlignment="1">
      <alignment horizontal="left" vertical="center"/>
    </xf>
    <xf numFmtId="0" fontId="129" fillId="0" borderId="2" xfId="0" applyNumberFormat="1" applyFont="1" applyFill="1" applyBorder="1" applyAlignment="1" applyProtection="1">
      <alignment horizontal="center" vertical="center" wrapText="1"/>
      <protection locked="0"/>
    </xf>
    <xf numFmtId="0" fontId="114" fillId="12" borderId="0" xfId="0" applyFont="1" applyFill="1" applyAlignment="1" applyProtection="1">
      <alignment horizontal="lef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0" fillId="0" borderId="0" xfId="0" applyAlignment="1">
      <alignment horizontal="left" vertical="center"/>
    </xf>
    <xf numFmtId="0" fontId="96" fillId="0" borderId="0" xfId="0"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54</xdr:row>
      <xdr:rowOff>141658</xdr:rowOff>
    </xdr:to>
    <xdr:pic>
      <xdr:nvPicPr>
        <xdr:cNvPr id="2" name="图片 1"/>
        <xdr:cNvPicPr>
          <a:picLocks noChangeAspect="1"/>
        </xdr:cNvPicPr>
      </xdr:nvPicPr>
      <xdr:blipFill rotWithShape="1">
        <a:blip xmlns:r="http://schemas.openxmlformats.org/officeDocument/2006/relationships" r:embed="rId1"/>
        <a:srcRect l="11564" t="1760" r="12489"/>
        <a:stretch/>
      </xdr:blipFill>
      <xdr:spPr>
        <a:xfrm>
          <a:off x="0" y="0"/>
          <a:ext cx="9258300" cy="9399958"/>
        </a:xfrm>
        <a:prstGeom prst="rect">
          <a:avLst/>
        </a:prstGeom>
      </xdr:spPr>
    </xdr:pic>
    <xdr:clientData/>
  </xdr:twoCellAnchor>
  <xdr:twoCellAnchor editAs="oneCell">
    <xdr:from>
      <xdr:col>0</xdr:col>
      <xdr:colOff>0</xdr:colOff>
      <xdr:row>53</xdr:row>
      <xdr:rowOff>152400</xdr:rowOff>
    </xdr:from>
    <xdr:to>
      <xdr:col>5</xdr:col>
      <xdr:colOff>504334</xdr:colOff>
      <xdr:row>96</xdr:row>
      <xdr:rowOff>8622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39250"/>
          <a:ext cx="3933334" cy="7228572"/>
        </a:xfrm>
        <a:prstGeom prst="rect">
          <a:avLst/>
        </a:prstGeom>
      </xdr:spPr>
    </xdr:pic>
    <xdr:clientData/>
  </xdr:twoCellAnchor>
  <xdr:twoCellAnchor editAs="oneCell">
    <xdr:from>
      <xdr:col>5</xdr:col>
      <xdr:colOff>447675</xdr:colOff>
      <xdr:row>55</xdr:row>
      <xdr:rowOff>28575</xdr:rowOff>
    </xdr:from>
    <xdr:to>
      <xdr:col>11</xdr:col>
      <xdr:colOff>437637</xdr:colOff>
      <xdr:row>84</xdr:row>
      <xdr:rowOff>161287</xdr:rowOff>
    </xdr:to>
    <xdr:pic>
      <xdr:nvPicPr>
        <xdr:cNvPr id="5" name="图片 4"/>
        <xdr:cNvPicPr>
          <a:picLocks noChangeAspect="1"/>
        </xdr:cNvPicPr>
      </xdr:nvPicPr>
      <xdr:blipFill>
        <a:blip xmlns:r="http://schemas.openxmlformats.org/officeDocument/2006/relationships" r:embed="rId3"/>
        <a:stretch>
          <a:fillRect/>
        </a:stretch>
      </xdr:blipFill>
      <xdr:spPr>
        <a:xfrm>
          <a:off x="3876675" y="9458325"/>
          <a:ext cx="4104762" cy="5104762"/>
        </a:xfrm>
        <a:prstGeom prst="rect">
          <a:avLst/>
        </a:prstGeom>
      </xdr:spPr>
    </xdr:pic>
    <xdr:clientData/>
  </xdr:twoCellAnchor>
  <xdr:twoCellAnchor editAs="oneCell">
    <xdr:from>
      <xdr:col>11</xdr:col>
      <xdr:colOff>409575</xdr:colOff>
      <xdr:row>54</xdr:row>
      <xdr:rowOff>161925</xdr:rowOff>
    </xdr:from>
    <xdr:to>
      <xdr:col>17</xdr:col>
      <xdr:colOff>370966</xdr:colOff>
      <xdr:row>96</xdr:row>
      <xdr:rowOff>8645</xdr:rowOff>
    </xdr:to>
    <xdr:pic>
      <xdr:nvPicPr>
        <xdr:cNvPr id="6" name="图片 5"/>
        <xdr:cNvPicPr>
          <a:picLocks noChangeAspect="1"/>
        </xdr:cNvPicPr>
      </xdr:nvPicPr>
      <xdr:blipFill>
        <a:blip xmlns:r="http://schemas.openxmlformats.org/officeDocument/2006/relationships" r:embed="rId4"/>
        <a:stretch>
          <a:fillRect/>
        </a:stretch>
      </xdr:blipFill>
      <xdr:spPr>
        <a:xfrm>
          <a:off x="7953375" y="9420225"/>
          <a:ext cx="4076191" cy="7047620"/>
        </a:xfrm>
        <a:prstGeom prst="rect">
          <a:avLst/>
        </a:prstGeom>
      </xdr:spPr>
    </xdr:pic>
    <xdr:clientData/>
  </xdr:twoCellAnchor>
  <xdr:twoCellAnchor editAs="oneCell">
    <xdr:from>
      <xdr:col>0</xdr:col>
      <xdr:colOff>0</xdr:colOff>
      <xdr:row>96</xdr:row>
      <xdr:rowOff>9525</xdr:rowOff>
    </xdr:from>
    <xdr:to>
      <xdr:col>5</xdr:col>
      <xdr:colOff>609096</xdr:colOff>
      <xdr:row>142</xdr:row>
      <xdr:rowOff>8540</xdr:rowOff>
    </xdr:to>
    <xdr:pic>
      <xdr:nvPicPr>
        <xdr:cNvPr id="4" name="图片 3"/>
        <xdr:cNvPicPr>
          <a:picLocks noChangeAspect="1"/>
        </xdr:cNvPicPr>
      </xdr:nvPicPr>
      <xdr:blipFill>
        <a:blip xmlns:r="http://schemas.openxmlformats.org/officeDocument/2006/relationships" r:embed="rId5"/>
        <a:stretch>
          <a:fillRect/>
        </a:stretch>
      </xdr:blipFill>
      <xdr:spPr>
        <a:xfrm>
          <a:off x="0" y="16468725"/>
          <a:ext cx="4038096" cy="7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估价对象为北京市房地产，为所有。根据《国有土地使用证》[]，估价对象（分摊）出让国有建设用地使用权面积为3138.66平方米，建筑面积为13495.99平方米。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估价对象为北京市房地产,属开发建设的，该项目尚在开发建设中。根据《国有土地使用证》[]，估价对象（分摊）出让国有建设用地使用权面积为3138.66平方米，规划建筑面积为13495.99平方米。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2023年10月28日（评估专业人员实地查勘之日）</v>
      </c>
    </row>
    <row r="13" spans="1:2" s="1203" customFormat="1">
      <c r="A13" s="1201" t="s">
        <v>529</v>
      </c>
      <c r="B13" s="1202" t="str">
        <f>'预评函-1'!A18</f>
        <v>本次估价的“房地产价值”是指在正常市场情况下，在价值时点2023年10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21190</v>
      </c>
    </row>
    <row r="21" spans="1:2" s="1203" customFormat="1">
      <c r="A21" s="1201" t="s">
        <v>537</v>
      </c>
      <c r="B21" s="1202">
        <f ca="1">'预评函-2'!D7</f>
        <v>15762</v>
      </c>
    </row>
    <row r="22" spans="1:2" s="1203" customFormat="1">
      <c r="A22" s="1201" t="s">
        <v>538</v>
      </c>
      <c r="B22" s="1202" t="str">
        <f ca="1">'预评函-2'!D6</f>
        <v>贰亿壹仟壹佰玖拾万元整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21190</v>
      </c>
    </row>
    <row r="31" spans="1:2" s="1203" customFormat="1">
      <c r="A31" s="1201" t="s">
        <v>576</v>
      </c>
      <c r="B31" s="1202">
        <f ca="1">'预评函-2'!D15</f>
        <v>15762</v>
      </c>
    </row>
    <row r="32" spans="1:2" s="1203" customFormat="1">
      <c r="A32" s="1201" t="s">
        <v>543</v>
      </c>
      <c r="B32" s="1202" t="str">
        <f ca="1">'预评函-2'!D14</f>
        <v>贰亿壹仟壹佰玖拾万元整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13495.99</v>
      </c>
    </row>
    <row r="44" spans="1:2" s="1203" customFormat="1">
      <c r="A44" s="1201" t="s">
        <v>575</v>
      </c>
      <c r="B44" s="1202" t="str">
        <f>'预评函-3'!C2</f>
        <v>(分摊)土地面积</v>
      </c>
    </row>
    <row r="45" spans="1:2" s="1203" customFormat="1">
      <c r="A45" s="1201" t="s">
        <v>547</v>
      </c>
      <c r="B45" s="1202">
        <f>'预评函-3'!C4</f>
        <v>3138.66</v>
      </c>
    </row>
    <row r="46" spans="1:2" s="1203" customFormat="1">
      <c r="A46" s="1201" t="s">
        <v>573</v>
      </c>
      <c r="B46" s="1202" t="str">
        <f>'预评函-3'!D2</f>
        <v>出让国有建设用地使用权价值</v>
      </c>
    </row>
    <row r="47" spans="1:2" s="1203" customFormat="1">
      <c r="A47" s="1201" t="s">
        <v>548</v>
      </c>
      <c r="B47" s="1202">
        <f ca="1">'预评函-3'!D4</f>
        <v>11379</v>
      </c>
    </row>
    <row r="48" spans="1:2" s="1203" customFormat="1">
      <c r="A48" s="1201" t="s">
        <v>549</v>
      </c>
      <c r="B48" s="1202">
        <f ca="1">'预评函-3'!E4</f>
        <v>8464</v>
      </c>
    </row>
    <row r="49" spans="1:2" s="1203" customFormat="1">
      <c r="A49" s="1201" t="s">
        <v>550</v>
      </c>
      <c r="B49" s="1202" t="str">
        <f ca="1">'预评函-3'!D5</f>
        <v>壹亿壹仟叁佰柒拾玖万元整</v>
      </c>
    </row>
    <row r="50" spans="1:2" s="1203" customFormat="1">
      <c r="A50" s="1201" t="s">
        <v>574</v>
      </c>
      <c r="B50" s="1202" t="str">
        <f>'预评函-3'!F2</f>
        <v>在建建筑物价值</v>
      </c>
    </row>
    <row r="51" spans="1:2" s="1203" customFormat="1">
      <c r="A51" s="1201" t="s">
        <v>551</v>
      </c>
      <c r="B51" s="1202">
        <f ca="1">'预评函-3'!F4</f>
        <v>9811</v>
      </c>
    </row>
    <row r="52" spans="1:2" s="1203" customFormat="1">
      <c r="A52" s="1201" t="s">
        <v>552</v>
      </c>
      <c r="B52" s="1202">
        <f ca="1">'预评函-3'!G4</f>
        <v>7298</v>
      </c>
    </row>
    <row r="53" spans="1:2" s="1203" customFormat="1">
      <c r="A53" s="1201" t="s">
        <v>580</v>
      </c>
      <c r="B53" s="1202" t="str">
        <f ca="1">'预评函-3'!F5</f>
        <v>玖仟捌佰壹拾壹万元整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5" t="s">
        <v>2580</v>
      </c>
      <c r="J2" s="3505"/>
      <c r="K2" s="3505"/>
      <c r="L2" s="3505"/>
      <c r="M2" s="3505"/>
      <c r="N2" s="3505"/>
      <c r="O2" s="3505"/>
      <c r="P2" s="3505"/>
      <c r="Q2" s="3505"/>
      <c r="R2" s="3505"/>
    </row>
    <row r="3" spans="1:18">
      <c r="A3" s="3020" t="s">
        <v>2501</v>
      </c>
      <c r="B3" s="3021">
        <f>项目基本情况!D3</f>
        <v>45227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3.14</v>
      </c>
      <c r="D5" s="3025">
        <f>IF(ISERROR(ROUND(POWER(1+E5,A5-C5)*(POWER(1+E5,C5)-1)/(POWER(1+E5,A5)-1),3)),0,ROUND(POWER(1+E5,A5-C5)*(POWER(1+E5,C5)-1)/(POWER(1+E5,A5)-1),4))</f>
        <v>0.1464</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13.15</v>
      </c>
      <c r="D6" s="3025">
        <f>IF(ISERROR(ROUND(POWER(1+E6,A6-C6)*(POWER(1+E6,C6)-1)/(POWER(1+E6,A6)-1),3)),0,ROUND(POWER(1+E6,A6-C6)*(POWER(1+E6,C6)-1)/(POWER(1+E6,A6)-1),4))</f>
        <v>0.46889999999999998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33.159999999999997</v>
      </c>
      <c r="D7" s="3025">
        <f>IF(ISERROR(ROUND(POWER(1+E7,A7-C7)*(POWER(1+E7,C7)-1)/(POWER(1+E7,A7)-1),3)),0,ROUND(POWER(1+E7,A7-C7)*(POWER(1+E7,C7)-1)/(POWER(1+E7,A7)-1),4))</f>
        <v>0.77759999999999996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45227</v>
      </c>
      <c r="C3" s="2374" t="s">
        <v>2171</v>
      </c>
      <c r="D3" s="2373">
        <f>B3</f>
        <v>45227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09" t="s">
        <v>2177</v>
      </c>
      <c r="E8" s="2391" t="s">
        <v>3375</v>
      </c>
      <c r="F8" s="2392"/>
      <c r="G8" s="2663"/>
      <c r="H8" s="2663"/>
      <c r="I8" s="2663"/>
      <c r="J8" s="2439"/>
      <c r="K8" s="2614"/>
      <c r="L8" s="2613"/>
      <c r="M8" s="2613"/>
      <c r="N8" s="2439"/>
      <c r="O8" s="2450"/>
      <c r="P8" s="2439"/>
      <c r="Q8" s="2439"/>
      <c r="R8" s="2439"/>
    </row>
    <row r="9" spans="1:30" ht="13.5" thickBot="1">
      <c r="A9" s="2393" t="s">
        <v>2178</v>
      </c>
      <c r="B9" s="2394" t="s">
        <v>3375</v>
      </c>
      <c r="C9" s="2395"/>
      <c r="D9" s="3510"/>
      <c r="E9" s="2394"/>
      <c r="F9" s="2396"/>
      <c r="G9" s="2665"/>
      <c r="H9" s="2665"/>
      <c r="I9" s="2665"/>
      <c r="J9" s="2439"/>
      <c r="K9" s="2616"/>
      <c r="L9" s="2613"/>
      <c r="M9" s="2613"/>
      <c r="N9" s="2439"/>
      <c r="O9" s="2450"/>
      <c r="P9" s="2439"/>
      <c r="Q9" s="2439"/>
      <c r="R9" s="2439"/>
    </row>
    <row r="10" spans="1:30" ht="13.5" thickTop="1">
      <c r="A10" s="2397" t="s">
        <v>2179</v>
      </c>
      <c r="B10" s="2398" t="s">
        <v>3376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3333</v>
      </c>
      <c r="B13" s="2407" t="s">
        <v>2190</v>
      </c>
      <c r="C13" s="856"/>
      <c r="D13" s="856">
        <v>54848</v>
      </c>
      <c r="E13" s="856">
        <v>58501</v>
      </c>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26.35</v>
      </c>
      <c r="E15" s="2410">
        <f>IF(A13="出让",IF(E13="","",ROUNDDOWN(MIN((E13-$D$3)/365,E14),2)),E14)</f>
        <v>36.36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13495.99</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3138.66</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0"/>
      <c r="B30" s="302" t="s">
        <v>2218</v>
      </c>
      <c r="C30" s="3531"/>
      <c r="D30" s="3532"/>
      <c r="E30" s="2664"/>
      <c r="F30" s="2664"/>
      <c r="G30" s="2664"/>
      <c r="H30" s="2664"/>
      <c r="I30" s="2664"/>
      <c r="J30" s="2439"/>
      <c r="K30" s="2616"/>
      <c r="L30" s="2613"/>
      <c r="M30" s="2613"/>
      <c r="N30" s="2439"/>
      <c r="O30" s="2450"/>
      <c r="P30" s="2439"/>
      <c r="Q30" s="2439"/>
      <c r="R30" s="2439"/>
      <c r="S30" s="2439"/>
      <c r="T30" s="2439"/>
      <c r="U30" s="2439"/>
      <c r="V30" s="2439"/>
    </row>
    <row r="31" spans="1:28">
      <c r="A31" s="353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8" t="s">
        <v>2228</v>
      </c>
      <c r="T34" s="2428" t="str">
        <f>NUMBERSTRING(7-K34,1)&amp;"通"</f>
        <v>七通</v>
      </c>
      <c r="U34" s="2439"/>
      <c r="V34" s="2439"/>
    </row>
    <row r="35" spans="1:30">
      <c r="A35" s="2429"/>
      <c r="B35" s="3535" t="s">
        <v>2229</v>
      </c>
      <c r="C35" s="3535"/>
      <c r="D35" s="3535"/>
      <c r="E35" s="353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H13" activePane="bottomRight" state="frozen"/>
      <selection activeCell="C50" sqref="C50"/>
      <selection pane="topRight" activeCell="C50" sqref="C50"/>
      <selection pane="bottomLeft" activeCell="C50" sqref="C50"/>
      <selection pane="bottomRight" activeCell="AH41" sqref="AH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114915</v>
      </c>
      <c r="B3" s="11">
        <f>IF(C3="否",G5-AT5,G5)</f>
        <v>128796.61000000002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3138.66</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128796.61000000002</v>
      </c>
      <c r="H5" s="13">
        <f t="shared" ref="H5:AT5" si="0">SUM(H13:H656)</f>
        <v>128744.25000000001</v>
      </c>
      <c r="I5" s="13">
        <f t="shared" si="0"/>
        <v>100934.26000000001</v>
      </c>
      <c r="J5" s="13">
        <f t="shared" si="0"/>
        <v>0</v>
      </c>
      <c r="K5" s="13">
        <f t="shared" si="0"/>
        <v>27809.99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52.359999999998763</v>
      </c>
      <c r="AD5" s="13">
        <f t="shared" si="0"/>
        <v>0</v>
      </c>
      <c r="AE5" s="13">
        <f t="shared" si="0"/>
        <v>0</v>
      </c>
      <c r="AF5" s="13">
        <f t="shared" si="0"/>
        <v>0</v>
      </c>
      <c r="AG5" s="13">
        <f t="shared" si="0"/>
        <v>0</v>
      </c>
      <c r="AH5" s="13">
        <f t="shared" si="0"/>
        <v>0</v>
      </c>
      <c r="AI5" s="13">
        <f t="shared" si="0"/>
        <v>0</v>
      </c>
      <c r="AJ5" s="13">
        <f t="shared" si="0"/>
        <v>0</v>
      </c>
      <c r="AK5" s="13">
        <f t="shared" si="0"/>
        <v>0</v>
      </c>
      <c r="AL5" s="13">
        <f t="shared" si="0"/>
        <v>52.359999999998763</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13495.99</v>
      </c>
      <c r="BA5" s="15">
        <f t="shared" si="1"/>
        <v>13443.630000000001</v>
      </c>
      <c r="BB5" s="15">
        <f t="shared" si="1"/>
        <v>1263.8800000000001</v>
      </c>
      <c r="BC5" s="15">
        <f t="shared" si="1"/>
        <v>12179.75</v>
      </c>
      <c r="BD5" s="15">
        <f t="shared" si="1"/>
        <v>0</v>
      </c>
      <c r="BE5" s="15">
        <f t="shared" si="1"/>
        <v>0</v>
      </c>
      <c r="BF5" s="15">
        <f t="shared" si="1"/>
        <v>0</v>
      </c>
      <c r="BG5" s="15">
        <f t="shared" si="1"/>
        <v>0</v>
      </c>
      <c r="BH5" s="15">
        <f t="shared" si="1"/>
        <v>0</v>
      </c>
      <c r="BI5" s="15">
        <f t="shared" si="1"/>
        <v>0</v>
      </c>
      <c r="BJ5" s="15">
        <f t="shared" si="1"/>
        <v>0</v>
      </c>
      <c r="BK5" s="15">
        <f t="shared" si="1"/>
        <v>0</v>
      </c>
      <c r="BL5" s="15">
        <f t="shared" si="1"/>
        <v>52.359999999998763</v>
      </c>
      <c r="BM5" s="15">
        <f t="shared" si="1"/>
        <v>0</v>
      </c>
      <c r="BN5" s="15">
        <f t="shared" si="1"/>
        <v>0</v>
      </c>
      <c r="BO5" s="15">
        <f t="shared" si="1"/>
        <v>0</v>
      </c>
      <c r="BP5" s="15">
        <f t="shared" si="1"/>
        <v>0</v>
      </c>
      <c r="BQ5" s="15">
        <f t="shared" si="1"/>
        <v>52.359999999998763</v>
      </c>
      <c r="BR5" s="15">
        <f t="shared" si="1"/>
        <v>0</v>
      </c>
      <c r="BS5" s="15">
        <f t="shared" si="1"/>
        <v>0</v>
      </c>
      <c r="BT5" s="16">
        <f t="shared" si="1"/>
        <v>0</v>
      </c>
    </row>
    <row r="6" spans="1:72" s="1589" customFormat="1" ht="12.75">
      <c r="A6" s="12" t="s">
        <v>1072</v>
      </c>
      <c r="B6" s="1586"/>
      <c r="C6" s="1586"/>
      <c r="D6" s="1587"/>
      <c r="E6" s="13">
        <f>H6+AC6+AT6</f>
        <v>114915</v>
      </c>
      <c r="F6" s="13" t="s">
        <v>0</v>
      </c>
      <c r="G6" s="13" t="s">
        <v>1</v>
      </c>
      <c r="H6" s="17">
        <f>SUMIF(I$12:AB$12,"总值",I6:AB6)</f>
        <v>114868.28</v>
      </c>
      <c r="I6" s="13">
        <f t="shared" ref="I6:AB6" si="2">ROUND($A$3*I5/$B$3,2)</f>
        <v>90055.63</v>
      </c>
      <c r="J6" s="13">
        <f t="shared" si="2"/>
        <v>0</v>
      </c>
      <c r="K6" s="13">
        <f t="shared" si="2"/>
        <v>24812.65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46.72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46.72</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3138.66</v>
      </c>
      <c r="AZ6" s="13" t="s">
        <v>2</v>
      </c>
      <c r="BA6" s="13">
        <f>ROUND($AY$6*BA5/$AZ$5,2)</f>
        <v>3126.48</v>
      </c>
      <c r="BB6" s="13">
        <f>ROUND($AY$6*BB5/$AZ$5,2)</f>
        <v>293.93</v>
      </c>
      <c r="BC6" s="13">
        <f t="shared" ref="BC6:BH6" si="4">ROUND($AY$6*BC5/$AZ$5,2)</f>
        <v>2832.55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12.18</v>
      </c>
      <c r="BM6" s="13">
        <f t="shared" si="5"/>
        <v>0</v>
      </c>
      <c r="BN6" s="13">
        <f t="shared" si="5"/>
        <v>0</v>
      </c>
      <c r="BO6" s="13">
        <f t="shared" si="5"/>
        <v>0</v>
      </c>
      <c r="BP6" s="13">
        <f t="shared" si="5"/>
        <v>0</v>
      </c>
      <c r="BQ6" s="13">
        <f t="shared" si="5"/>
        <v>12.18</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3402</v>
      </c>
      <c r="J9" s="809"/>
      <c r="K9" s="1603" t="s">
        <v>3401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3398</v>
      </c>
      <c r="C13" s="1051" t="str">
        <f>Sheet1!C5</f>
        <v>101-1</v>
      </c>
      <c r="D13" s="1625" t="s">
        <v>3399</v>
      </c>
      <c r="E13" s="13">
        <f>IF($C$3="是",ROUND($A$3*G13/$B$3,2),ROUND($A$3*(G13-AT13)/$B$3,2))</f>
        <v>12041.4</v>
      </c>
      <c r="F13" s="29"/>
      <c r="G13" s="30">
        <f>H13+AC13+AT13</f>
        <v>13495.99</v>
      </c>
      <c r="H13" s="17">
        <f>SUMIF(I$12:AB$12,"总值",I13:AB13)</f>
        <v>13443.630000000001</v>
      </c>
      <c r="I13" s="1626">
        <f>Sheet1!H4+Sheet1!H5</f>
        <v>1263.8800000000001</v>
      </c>
      <c r="J13" s="1626"/>
      <c r="K13" s="1626">
        <f>Sheet1!H6+Sheet1!H9</f>
        <v>12179.75</v>
      </c>
      <c r="L13" s="1626"/>
      <c r="M13" s="1626"/>
      <c r="N13" s="1626"/>
      <c r="O13" s="1626"/>
      <c r="P13" s="1626"/>
      <c r="Q13" s="1626"/>
      <c r="R13" s="1626"/>
      <c r="S13" s="1626"/>
      <c r="T13" s="1626"/>
      <c r="U13" s="1626"/>
      <c r="V13" s="1626"/>
      <c r="W13" s="1626"/>
      <c r="X13" s="1626"/>
      <c r="Y13" s="1626"/>
      <c r="Z13" s="1626"/>
      <c r="AA13" s="1626"/>
      <c r="AB13" s="1626"/>
      <c r="AC13" s="13">
        <f>SUMIF(AD$12:AS$12,"总值",AD13:AS13)</f>
        <v>52.359999999998763</v>
      </c>
      <c r="AD13" s="1627"/>
      <c r="AE13" s="1627"/>
      <c r="AF13" s="1627"/>
      <c r="AG13" s="1627"/>
      <c r="AH13" s="1627"/>
      <c r="AI13" s="1627"/>
      <c r="AJ13" s="1627"/>
      <c r="AK13" s="1627"/>
      <c r="AL13" s="1627">
        <f>Sheet1!I12-Sheet1!H12</f>
        <v>52.359999999998763</v>
      </c>
      <c r="AM13" s="1627"/>
      <c r="AN13" s="1627"/>
      <c r="AO13" s="1627"/>
      <c r="AP13" s="1627"/>
      <c r="AQ13" s="1627"/>
      <c r="AR13" s="1627"/>
      <c r="AS13" s="1627"/>
      <c r="AT13" s="1628"/>
      <c r="AU13" s="1629"/>
      <c r="AV13" s="8">
        <f t="shared" ref="AV13:AX17" si="6">A13</f>
        <v>0</v>
      </c>
      <c r="AW13" s="8" t="str">
        <f t="shared" si="6"/>
        <v>7号楼</v>
      </c>
      <c r="AX13" s="8" t="str">
        <f t="shared" si="6"/>
        <v>101-1</v>
      </c>
      <c r="AY13" s="1349">
        <f>ROUND($AY$6*AZ13/$AZ$5,2)</f>
        <v>3138.66</v>
      </c>
      <c r="AZ13" s="13">
        <f>BA13+BL13</f>
        <v>13495.99</v>
      </c>
      <c r="BA13" s="13">
        <f>SUM(BB13:BK13)</f>
        <v>13443.630000000001</v>
      </c>
      <c r="BB13" s="13">
        <f>IF($D13="是",I13-J13,0)</f>
        <v>1263.8800000000001</v>
      </c>
      <c r="BC13" s="13">
        <f>IF($D13="是",K13-L13,0)</f>
        <v>12179.75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52.359999999998763</v>
      </c>
      <c r="BM13" s="13">
        <f>IF($D13="是",AD13-AE13,0)</f>
        <v>0</v>
      </c>
      <c r="BN13" s="13">
        <f>IF($D13="是",AF13-AG13,0)</f>
        <v>0</v>
      </c>
      <c r="BO13" s="13">
        <f>IF($D13="是",AH13-AI13,0)</f>
        <v>0</v>
      </c>
      <c r="BP13" s="13">
        <f>IF($D13="是",AJ13-AK13,0)</f>
        <v>0</v>
      </c>
      <c r="BQ13" s="13">
        <f t="shared" ref="BQ13:BQ18" si="7">IF($D13="是",AL13-AM13,0)</f>
        <v>52.359999999998763</v>
      </c>
      <c r="BR13" s="13">
        <f>IF($D13="是",AN13-AO13,0)</f>
        <v>0</v>
      </c>
      <c r="BS13" s="13">
        <f>IF($D13="是",AP13-AQ13,0)</f>
        <v>0</v>
      </c>
      <c r="BT13" s="19">
        <f>IF($D13="是",AR13-AS13,0)</f>
        <v>0</v>
      </c>
    </row>
    <row r="14" spans="1:72" s="1579" customFormat="1" ht="12.75">
      <c r="A14" s="1051"/>
      <c r="B14" s="1051"/>
      <c r="C14" s="1051" t="str">
        <f>Sheet1!C6</f>
        <v>101-2</v>
      </c>
      <c r="D14" s="1625" t="s">
        <v>3399</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 t="shared" si="7"/>
        <v>0</v>
      </c>
      <c r="BR14" s="13">
        <f>IF($D14="是",AN14-AO14,0)</f>
        <v>0</v>
      </c>
      <c r="BS14" s="13">
        <f>IF($D14="是",AP14-AQ14,0)</f>
        <v>0</v>
      </c>
      <c r="BT14" s="19">
        <f>IF($D14="是",AR14-AS14,0)</f>
        <v>0</v>
      </c>
    </row>
    <row r="15" spans="1:72" s="1579" customFormat="1" ht="12.75">
      <c r="A15" s="1051"/>
      <c r="B15" s="1051"/>
      <c r="C15" s="1051" t="str">
        <f>Sheet1!C7</f>
        <v>101-3</v>
      </c>
      <c r="D15" s="1625" t="s">
        <v>3399</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101-3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 t="shared" si="7"/>
        <v>0</v>
      </c>
      <c r="BR15" s="13">
        <f>IF($D15="是",AN15-AO15,0)</f>
        <v>0</v>
      </c>
      <c r="BS15" s="13">
        <f>IF($D15="是",AP15-AQ15,0)</f>
        <v>0</v>
      </c>
      <c r="BT15" s="19">
        <f>IF($D15="是",AR15-AS15,0)</f>
        <v>0</v>
      </c>
    </row>
    <row r="16" spans="1:72" s="1579" customFormat="1" ht="12.75">
      <c r="A16" s="1051"/>
      <c r="B16" s="1051"/>
      <c r="C16" s="1051" t="str">
        <f>Sheet1!C8</f>
        <v>101-4</v>
      </c>
      <c r="D16" s="1625" t="s">
        <v>3399</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101-4</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 t="shared" si="7"/>
        <v>0</v>
      </c>
      <c r="BR16" s="13">
        <f>IF($D16="是",AN16-AO16,0)</f>
        <v>0</v>
      </c>
      <c r="BS16" s="13">
        <f>IF($D16="是",AP16-AQ16,0)</f>
        <v>0</v>
      </c>
      <c r="BT16" s="19">
        <f>IF($D16="是",AR16-AS16,0)</f>
        <v>0</v>
      </c>
    </row>
    <row r="17" spans="1:72" s="1579" customFormat="1" ht="12.75">
      <c r="A17" s="1051"/>
      <c r="B17" s="1051"/>
      <c r="C17" s="1051" t="str">
        <f>Sheet1!C9</f>
        <v>101-5</v>
      </c>
      <c r="D17" s="1625" t="s">
        <v>3399</v>
      </c>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101-5</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 t="shared" si="7"/>
        <v>0</v>
      </c>
      <c r="BR17" s="13">
        <f>IF($D17="是",AN17-AO17,0)</f>
        <v>0</v>
      </c>
      <c r="BS17" s="13">
        <f>IF($D17="是",AP17-AQ17,0)</f>
        <v>0</v>
      </c>
      <c r="BT17" s="19">
        <f>IF($D17="是",AR17-AS17,0)</f>
        <v>0</v>
      </c>
    </row>
    <row r="18" spans="1:72">
      <c r="A18" s="6"/>
      <c r="B18" s="31"/>
      <c r="C18" s="1051" t="str">
        <f>Sheet1!C10</f>
        <v>101-6</v>
      </c>
      <c r="D18" s="1625" t="s">
        <v>3399</v>
      </c>
      <c r="E18" s="32">
        <f t="shared" ref="E18:E112" si="8">IF($C$3="是",ROUND($A$3*G18/$B$3,2),ROUND($A$3*(G18-AT18)/$B$3,2))</f>
        <v>0</v>
      </c>
      <c r="F18" s="33"/>
      <c r="G18" s="34">
        <f t="shared" ref="G18:G109" si="9">H18+AC18+AT18</f>
        <v>0</v>
      </c>
      <c r="H18" s="35">
        <f t="shared" ref="H18:H109" si="10">SUMIF(I$12:AB$12,"总值",I18:AB18)</f>
        <v>0</v>
      </c>
      <c r="I18" s="36"/>
      <c r="J18" s="36"/>
      <c r="K18" s="1626"/>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2">A18</f>
        <v>0</v>
      </c>
      <c r="AW18" s="1343">
        <f t="shared" ref="AW18:AW112" si="13">B18</f>
        <v>0</v>
      </c>
      <c r="AX18" s="1343" t="str">
        <f t="shared" ref="AX18:AX112" si="14">C18</f>
        <v>101-6</v>
      </c>
      <c r="AY18" s="39">
        <f t="shared" ref="AY18:AY109" si="15">ROUND($AY$6*AZ18/$AZ$5,2)</f>
        <v>0</v>
      </c>
      <c r="AZ18" s="32">
        <f t="shared" ref="AZ18:AZ109" si="16">BA18+BL18</f>
        <v>0</v>
      </c>
      <c r="BA18" s="32">
        <f t="shared" ref="BA18:BA109" si="17">SUM(BB18:BK18)</f>
        <v>0</v>
      </c>
      <c r="BB18" s="32">
        <f t="shared" ref="BB18:BB109" si="18">IF($D18="是",I18-J18,0)</f>
        <v>0</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si="7"/>
        <v>0</v>
      </c>
      <c r="BR18" s="32">
        <f t="shared" ref="BR18:BR109" si="33">IF($D18="是",AN18-AO18,0)</f>
        <v>0</v>
      </c>
      <c r="BS18" s="32">
        <f t="shared" ref="BS18:BS109" si="34">IF($D18="是",AP18-AQ18,0)</f>
        <v>0</v>
      </c>
      <c r="BT18" s="40">
        <f t="shared" ref="BT18:BT109" si="35">IF($D18="是",AR18-AS18,0)</f>
        <v>0</v>
      </c>
    </row>
    <row r="19" spans="1:72">
      <c r="A19" s="6"/>
      <c r="B19" s="31"/>
      <c r="C19" s="1051" t="str">
        <f>Sheet1!C11</f>
        <v>101-7</v>
      </c>
      <c r="D19" s="1625" t="s">
        <v>3399</v>
      </c>
      <c r="E19" s="32">
        <f t="shared" si="8"/>
        <v>0</v>
      </c>
      <c r="F19" s="33"/>
      <c r="G19" s="34">
        <f t="shared" si="9"/>
        <v>0</v>
      </c>
      <c r="H19" s="35">
        <f t="shared" si="10"/>
        <v>0</v>
      </c>
      <c r="I19" s="36"/>
      <c r="J19" s="36"/>
      <c r="K19" s="1626"/>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31"/>
      <c r="AV19" s="1343">
        <f t="shared" si="12"/>
        <v>0</v>
      </c>
      <c r="AW19" s="1343">
        <f t="shared" si="13"/>
        <v>0</v>
      </c>
      <c r="AX19" s="1343" t="str">
        <f t="shared" si="14"/>
        <v>101-7</v>
      </c>
      <c r="AY19" s="39">
        <f t="shared" si="15"/>
        <v>0</v>
      </c>
      <c r="AZ19" s="32">
        <f t="shared" si="16"/>
        <v>0</v>
      </c>
      <c r="BA19" s="32">
        <f t="shared" si="17"/>
        <v>0</v>
      </c>
      <c r="BB19" s="32">
        <f t="shared" si="18"/>
        <v>0</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ref="BQ19:BQ109" si="36">IF($D19="是",AL19-AM19,0)</f>
        <v>0</v>
      </c>
      <c r="BR19" s="32">
        <f t="shared" si="33"/>
        <v>0</v>
      </c>
      <c r="BS19" s="32">
        <f t="shared" si="34"/>
        <v>0</v>
      </c>
      <c r="BT19" s="40">
        <f t="shared" si="35"/>
        <v>0</v>
      </c>
    </row>
    <row r="20" spans="1:72">
      <c r="A20" s="6"/>
      <c r="B20" s="31"/>
      <c r="C20" s="1051" t="str">
        <f>Sheet1!C12</f>
        <v>8号楼</v>
      </c>
      <c r="D20" s="1630" t="s">
        <v>3400</v>
      </c>
      <c r="E20" s="32">
        <f t="shared" si="8"/>
        <v>19113.93</v>
      </c>
      <c r="F20" s="33"/>
      <c r="G20" s="34">
        <f t="shared" si="9"/>
        <v>21422.87</v>
      </c>
      <c r="H20" s="35">
        <f t="shared" si="10"/>
        <v>21422.87</v>
      </c>
      <c r="I20" s="36">
        <f>Sheet1!D12</f>
        <v>21422.87</v>
      </c>
      <c r="J20" s="36"/>
      <c r="K20" s="36"/>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31"/>
      <c r="AV20" s="1343">
        <f t="shared" si="12"/>
        <v>0</v>
      </c>
      <c r="AW20" s="1343">
        <f t="shared" si="13"/>
        <v>0</v>
      </c>
      <c r="AX20" s="1343" t="str">
        <f t="shared" si="14"/>
        <v>8号楼</v>
      </c>
      <c r="AY20" s="39">
        <f t="shared" si="15"/>
        <v>0</v>
      </c>
      <c r="AZ20" s="32">
        <f t="shared" si="16"/>
        <v>0</v>
      </c>
      <c r="BA20" s="32">
        <f t="shared" si="17"/>
        <v>0</v>
      </c>
      <c r="BB20" s="32">
        <f t="shared" si="18"/>
        <v>0</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6"/>
        <v>0</v>
      </c>
      <c r="BR20" s="32">
        <f t="shared" si="33"/>
        <v>0</v>
      </c>
      <c r="BS20" s="32">
        <f t="shared" si="34"/>
        <v>0</v>
      </c>
      <c r="BT20" s="40">
        <f t="shared" si="35"/>
        <v>0</v>
      </c>
    </row>
    <row r="21" spans="1:72">
      <c r="A21" s="6"/>
      <c r="B21" s="31"/>
      <c r="C21" s="1051" t="str">
        <f>Sheet1!C13</f>
        <v>10号楼</v>
      </c>
      <c r="D21" s="1630" t="s">
        <v>3400</v>
      </c>
      <c r="E21" s="32">
        <f t="shared" si="8"/>
        <v>19778.580000000002</v>
      </c>
      <c r="F21" s="33"/>
      <c r="G21" s="34">
        <f t="shared" si="9"/>
        <v>22167.809999999998</v>
      </c>
      <c r="H21" s="35">
        <f t="shared" si="10"/>
        <v>22167.809999999998</v>
      </c>
      <c r="I21" s="36">
        <f>Sheet1!D13</f>
        <v>22167.809999999998</v>
      </c>
      <c r="J21" s="36"/>
      <c r="K21" s="36"/>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31"/>
      <c r="AV21" s="1343">
        <f t="shared" si="12"/>
        <v>0</v>
      </c>
      <c r="AW21" s="1343">
        <f t="shared" si="13"/>
        <v>0</v>
      </c>
      <c r="AX21" s="1343" t="str">
        <f t="shared" si="14"/>
        <v>10号楼</v>
      </c>
      <c r="AY21" s="39">
        <f t="shared" si="15"/>
        <v>0</v>
      </c>
      <c r="AZ21" s="32">
        <f t="shared" si="16"/>
        <v>0</v>
      </c>
      <c r="BA21" s="32">
        <f t="shared" si="17"/>
        <v>0</v>
      </c>
      <c r="BB21" s="32">
        <f t="shared" si="18"/>
        <v>0</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6"/>
        <v>0</v>
      </c>
      <c r="BR21" s="32">
        <f t="shared" si="33"/>
        <v>0</v>
      </c>
      <c r="BS21" s="32">
        <f t="shared" si="34"/>
        <v>0</v>
      </c>
      <c r="BT21" s="40">
        <f t="shared" si="35"/>
        <v>0</v>
      </c>
    </row>
    <row r="22" spans="1:72">
      <c r="A22" s="6"/>
      <c r="B22" s="31"/>
      <c r="C22" s="1051" t="str">
        <f>Sheet1!C14</f>
        <v>11号楼</v>
      </c>
      <c r="D22" s="1630" t="s">
        <v>3400</v>
      </c>
      <c r="E22" s="32">
        <f t="shared" si="8"/>
        <v>10279.19</v>
      </c>
      <c r="F22" s="33"/>
      <c r="G22" s="34">
        <f t="shared" si="9"/>
        <v>11520.91</v>
      </c>
      <c r="H22" s="35">
        <f t="shared" si="10"/>
        <v>11520.91</v>
      </c>
      <c r="I22" s="36">
        <f>Sheet1!D14</f>
        <v>11520.91</v>
      </c>
      <c r="J22" s="36"/>
      <c r="K22" s="36"/>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31"/>
      <c r="AV22" s="1343">
        <f t="shared" si="12"/>
        <v>0</v>
      </c>
      <c r="AW22" s="1343">
        <f t="shared" si="13"/>
        <v>0</v>
      </c>
      <c r="AX22" s="1343" t="str">
        <f t="shared" si="14"/>
        <v>11号楼</v>
      </c>
      <c r="AY22" s="39">
        <f t="shared" si="15"/>
        <v>0</v>
      </c>
      <c r="AZ22" s="32">
        <f t="shared" si="16"/>
        <v>0</v>
      </c>
      <c r="BA22" s="32">
        <f t="shared" si="17"/>
        <v>0</v>
      </c>
      <c r="BB22" s="32">
        <f t="shared" si="18"/>
        <v>0</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6"/>
        <v>0</v>
      </c>
      <c r="BR22" s="32">
        <f t="shared" si="33"/>
        <v>0</v>
      </c>
      <c r="BS22" s="32">
        <f t="shared" si="34"/>
        <v>0</v>
      </c>
      <c r="BT22" s="40">
        <f t="shared" si="35"/>
        <v>0</v>
      </c>
    </row>
    <row r="23" spans="1:72">
      <c r="A23" s="6"/>
      <c r="B23" s="31"/>
      <c r="C23" s="1051" t="str">
        <f>Sheet1!C15</f>
        <v>12号楼</v>
      </c>
      <c r="D23" s="1630" t="s">
        <v>3400</v>
      </c>
      <c r="E23" s="32">
        <f t="shared" si="8"/>
        <v>10311.51</v>
      </c>
      <c r="F23" s="33"/>
      <c r="G23" s="34">
        <f t="shared" si="9"/>
        <v>11557.130000000001</v>
      </c>
      <c r="H23" s="35">
        <f t="shared" si="10"/>
        <v>11557.130000000001</v>
      </c>
      <c r="I23" s="36">
        <f>Sheet1!D15</f>
        <v>11557.130000000001</v>
      </c>
      <c r="J23" s="36"/>
      <c r="K23" s="36"/>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31"/>
      <c r="AV23" s="1343">
        <f t="shared" si="12"/>
        <v>0</v>
      </c>
      <c r="AW23" s="1343">
        <f t="shared" si="13"/>
        <v>0</v>
      </c>
      <c r="AX23" s="1343" t="str">
        <f t="shared" si="14"/>
        <v>12号楼</v>
      </c>
      <c r="AY23" s="39">
        <f t="shared" si="15"/>
        <v>0</v>
      </c>
      <c r="AZ23" s="32">
        <f t="shared" si="16"/>
        <v>0</v>
      </c>
      <c r="BA23" s="32">
        <f t="shared" si="17"/>
        <v>0</v>
      </c>
      <c r="BB23" s="32">
        <f t="shared" si="18"/>
        <v>0</v>
      </c>
      <c r="BC23" s="32">
        <f t="shared" si="19"/>
        <v>0</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6"/>
        <v>0</v>
      </c>
      <c r="BR23" s="32">
        <f t="shared" si="33"/>
        <v>0</v>
      </c>
      <c r="BS23" s="32">
        <f t="shared" si="34"/>
        <v>0</v>
      </c>
      <c r="BT23" s="40">
        <f t="shared" si="35"/>
        <v>0</v>
      </c>
    </row>
    <row r="24" spans="1:72">
      <c r="A24" s="6"/>
      <c r="B24" s="31"/>
      <c r="C24" s="1051" t="str">
        <f>Sheet1!C16</f>
        <v>21号楼</v>
      </c>
      <c r="D24" s="1630" t="s">
        <v>3400</v>
      </c>
      <c r="E24" s="32">
        <f t="shared" si="8"/>
        <v>10288.73</v>
      </c>
      <c r="F24" s="33"/>
      <c r="G24" s="34">
        <f t="shared" si="9"/>
        <v>11531.6</v>
      </c>
      <c r="H24" s="35">
        <f t="shared" si="10"/>
        <v>11531.6</v>
      </c>
      <c r="I24" s="36">
        <f>Sheet1!D16</f>
        <v>11531.6</v>
      </c>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31"/>
      <c r="AV24" s="1343">
        <f t="shared" si="12"/>
        <v>0</v>
      </c>
      <c r="AW24" s="1343">
        <f t="shared" si="13"/>
        <v>0</v>
      </c>
      <c r="AX24" s="1343" t="str">
        <f t="shared" si="14"/>
        <v>21号楼</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6"/>
        <v>0</v>
      </c>
      <c r="BR24" s="32">
        <f t="shared" si="33"/>
        <v>0</v>
      </c>
      <c r="BS24" s="32">
        <f t="shared" si="34"/>
        <v>0</v>
      </c>
      <c r="BT24" s="40">
        <f t="shared" si="35"/>
        <v>0</v>
      </c>
    </row>
    <row r="25" spans="1:72">
      <c r="A25" s="6"/>
      <c r="B25" s="31"/>
      <c r="C25" s="1051" t="str">
        <f>Sheet1!C17</f>
        <v>23号楼</v>
      </c>
      <c r="D25" s="1630" t="s">
        <v>3400</v>
      </c>
      <c r="E25" s="32">
        <f t="shared" si="8"/>
        <v>19156.03</v>
      </c>
      <c r="F25" s="33"/>
      <c r="G25" s="34">
        <f t="shared" si="9"/>
        <v>21470.06</v>
      </c>
      <c r="H25" s="35">
        <f t="shared" si="10"/>
        <v>21470.06</v>
      </c>
      <c r="I25" s="36">
        <f>Sheet1!D17</f>
        <v>21470.06</v>
      </c>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31"/>
      <c r="AV25" s="1343">
        <f t="shared" si="12"/>
        <v>0</v>
      </c>
      <c r="AW25" s="1343">
        <f t="shared" si="13"/>
        <v>0</v>
      </c>
      <c r="AX25" s="1343" t="str">
        <f t="shared" si="14"/>
        <v>23号楼</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6"/>
        <v>0</v>
      </c>
      <c r="BR25" s="32">
        <f t="shared" si="33"/>
        <v>0</v>
      </c>
      <c r="BS25" s="32">
        <f t="shared" si="34"/>
        <v>0</v>
      </c>
      <c r="BT25" s="40">
        <f t="shared" si="35"/>
        <v>0</v>
      </c>
    </row>
    <row r="26" spans="1:72">
      <c r="A26" s="6"/>
      <c r="B26" s="31"/>
      <c r="C26" s="1051" t="str">
        <f>Sheet1!C18</f>
        <v>102幢</v>
      </c>
      <c r="D26" s="1630" t="s">
        <v>3400</v>
      </c>
      <c r="E26" s="32">
        <f t="shared" si="8"/>
        <v>13945.62</v>
      </c>
      <c r="F26" s="33"/>
      <c r="G26" s="34">
        <f t="shared" si="9"/>
        <v>15630.240000000002</v>
      </c>
      <c r="H26" s="35">
        <f t="shared" si="10"/>
        <v>15630.240000000002</v>
      </c>
      <c r="I26" s="36"/>
      <c r="J26" s="36"/>
      <c r="K26" s="36">
        <f>Sheet1!D18</f>
        <v>15630.240000000002</v>
      </c>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31"/>
      <c r="AV26" s="1343">
        <f t="shared" si="12"/>
        <v>0</v>
      </c>
      <c r="AW26" s="1343">
        <f t="shared" si="13"/>
        <v>0</v>
      </c>
      <c r="AX26" s="1343" t="str">
        <f t="shared" si="14"/>
        <v>102幢</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6"/>
        <v>0</v>
      </c>
      <c r="BR26" s="32">
        <f t="shared" si="33"/>
        <v>0</v>
      </c>
      <c r="BS26" s="32">
        <f t="shared" si="34"/>
        <v>0</v>
      </c>
      <c r="BT26" s="40">
        <f t="shared" si="35"/>
        <v>0</v>
      </c>
    </row>
    <row r="27" spans="1:72">
      <c r="A27" s="6"/>
      <c r="B27" s="31"/>
      <c r="C27" s="1051"/>
      <c r="D27" s="1630"/>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31"/>
      <c r="AV27" s="1343">
        <f t="shared" si="12"/>
        <v>0</v>
      </c>
      <c r="AW27" s="1343">
        <f t="shared" si="13"/>
        <v>0</v>
      </c>
      <c r="AX27" s="1343">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6"/>
        <v>0</v>
      </c>
      <c r="BR27" s="32">
        <f t="shared" si="33"/>
        <v>0</v>
      </c>
      <c r="BS27" s="32">
        <f t="shared" si="34"/>
        <v>0</v>
      </c>
      <c r="BT27" s="40">
        <f t="shared" si="35"/>
        <v>0</v>
      </c>
    </row>
    <row r="28" spans="1:72">
      <c r="A28" s="6"/>
      <c r="B28" s="31"/>
      <c r="C28" s="1051"/>
      <c r="D28" s="1630"/>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31"/>
      <c r="AV28" s="1343">
        <f t="shared" si="12"/>
        <v>0</v>
      </c>
      <c r="AW28" s="1343">
        <f t="shared" si="13"/>
        <v>0</v>
      </c>
      <c r="AX28" s="1343">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6"/>
        <v>0</v>
      </c>
      <c r="BR28" s="32">
        <f t="shared" si="33"/>
        <v>0</v>
      </c>
      <c r="BS28" s="32">
        <f t="shared" si="34"/>
        <v>0</v>
      </c>
      <c r="BT28" s="40">
        <f t="shared" si="35"/>
        <v>0</v>
      </c>
    </row>
    <row r="29" spans="1:72">
      <c r="A29" s="6"/>
      <c r="B29" s="31"/>
      <c r="C29" s="1051"/>
      <c r="D29" s="1630"/>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31"/>
      <c r="AV29" s="1343">
        <f t="shared" si="12"/>
        <v>0</v>
      </c>
      <c r="AW29" s="1343">
        <f t="shared" si="13"/>
        <v>0</v>
      </c>
      <c r="AX29" s="1343">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6"/>
        <v>0</v>
      </c>
      <c r="BR29" s="32">
        <f t="shared" si="33"/>
        <v>0</v>
      </c>
      <c r="BS29" s="32">
        <f t="shared" si="34"/>
        <v>0</v>
      </c>
      <c r="BT29" s="40">
        <f t="shared" si="35"/>
        <v>0</v>
      </c>
    </row>
    <row r="30" spans="1:72">
      <c r="A30" s="6"/>
      <c r="B30" s="31"/>
      <c r="C30" s="1051"/>
      <c r="D30" s="1630"/>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31"/>
      <c r="AV30" s="1343">
        <f t="shared" si="12"/>
        <v>0</v>
      </c>
      <c r="AW30" s="1343">
        <f t="shared" si="13"/>
        <v>0</v>
      </c>
      <c r="AX30" s="1343">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6"/>
        <v>0</v>
      </c>
      <c r="BR30" s="32">
        <f t="shared" si="33"/>
        <v>0</v>
      </c>
      <c r="BS30" s="32">
        <f t="shared" si="34"/>
        <v>0</v>
      </c>
      <c r="BT30" s="40">
        <f t="shared" si="35"/>
        <v>0</v>
      </c>
    </row>
    <row r="31" spans="1:72">
      <c r="A31" s="6"/>
      <c r="B31" s="31"/>
      <c r="C31" s="31"/>
      <c r="D31" s="1630"/>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31"/>
      <c r="AV31" s="1343">
        <f t="shared" si="12"/>
        <v>0</v>
      </c>
      <c r="AW31" s="1343">
        <f t="shared" si="13"/>
        <v>0</v>
      </c>
      <c r="AX31" s="1343">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6"/>
        <v>0</v>
      </c>
      <c r="BR31" s="32">
        <f t="shared" si="33"/>
        <v>0</v>
      </c>
      <c r="BS31" s="32">
        <f t="shared" si="34"/>
        <v>0</v>
      </c>
      <c r="BT31" s="40">
        <f t="shared" si="35"/>
        <v>0</v>
      </c>
    </row>
    <row r="32" spans="1:72">
      <c r="A32" s="6"/>
      <c r="B32" s="31"/>
      <c r="C32" s="31"/>
      <c r="D32" s="1630"/>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31"/>
      <c r="AV32" s="1343">
        <f t="shared" si="12"/>
        <v>0</v>
      </c>
      <c r="AW32" s="1343">
        <f t="shared" si="13"/>
        <v>0</v>
      </c>
      <c r="AX32" s="1343">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6"/>
        <v>0</v>
      </c>
      <c r="BR32" s="32">
        <f t="shared" si="33"/>
        <v>0</v>
      </c>
      <c r="BS32" s="32">
        <f t="shared" si="34"/>
        <v>0</v>
      </c>
      <c r="BT32" s="40">
        <f t="shared" si="35"/>
        <v>0</v>
      </c>
    </row>
    <row r="33" spans="1:72">
      <c r="A33" s="6"/>
      <c r="B33" s="31"/>
      <c r="C33" s="31"/>
      <c r="D33" s="1630"/>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31"/>
      <c r="AV33" s="1343">
        <f t="shared" si="12"/>
        <v>0</v>
      </c>
      <c r="AW33" s="1343">
        <f t="shared" si="13"/>
        <v>0</v>
      </c>
      <c r="AX33" s="1343">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6"/>
        <v>0</v>
      </c>
      <c r="BR33" s="32">
        <f t="shared" si="33"/>
        <v>0</v>
      </c>
      <c r="BS33" s="32">
        <f t="shared" si="34"/>
        <v>0</v>
      </c>
      <c r="BT33" s="40">
        <f t="shared" si="35"/>
        <v>0</v>
      </c>
    </row>
    <row r="34" spans="1:72">
      <c r="A34" s="6"/>
      <c r="B34" s="31"/>
      <c r="C34" s="31"/>
      <c r="D34" s="1630"/>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31"/>
      <c r="AV34" s="1343">
        <f t="shared" si="12"/>
        <v>0</v>
      </c>
      <c r="AW34" s="1343">
        <f t="shared" si="13"/>
        <v>0</v>
      </c>
      <c r="AX34" s="1343">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6"/>
        <v>0</v>
      </c>
      <c r="BR34" s="32">
        <f t="shared" si="33"/>
        <v>0</v>
      </c>
      <c r="BS34" s="32">
        <f t="shared" si="34"/>
        <v>0</v>
      </c>
      <c r="BT34" s="40">
        <f t="shared" si="35"/>
        <v>0</v>
      </c>
    </row>
    <row r="35" spans="1:72">
      <c r="A35" s="6"/>
      <c r="B35" s="31"/>
      <c r="C35" s="31"/>
      <c r="D35" s="1630"/>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31"/>
      <c r="AV35" s="1343">
        <f t="shared" si="12"/>
        <v>0</v>
      </c>
      <c r="AW35" s="1343">
        <f t="shared" si="13"/>
        <v>0</v>
      </c>
      <c r="AX35" s="1343">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6"/>
        <v>0</v>
      </c>
      <c r="BR35" s="32">
        <f t="shared" si="33"/>
        <v>0</v>
      </c>
      <c r="BS35" s="32">
        <f t="shared" si="34"/>
        <v>0</v>
      </c>
      <c r="BT35" s="40">
        <f t="shared" si="35"/>
        <v>0</v>
      </c>
    </row>
    <row r="36" spans="1:72">
      <c r="A36" s="6"/>
      <c r="B36" s="31"/>
      <c r="C36" s="31"/>
      <c r="D36" s="1630"/>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31"/>
      <c r="AV36" s="1343">
        <f t="shared" si="12"/>
        <v>0</v>
      </c>
      <c r="AW36" s="1343">
        <f t="shared" si="13"/>
        <v>0</v>
      </c>
      <c r="AX36" s="1343">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6"/>
        <v>0</v>
      </c>
      <c r="BR36" s="32">
        <f t="shared" si="33"/>
        <v>0</v>
      </c>
      <c r="BS36" s="32">
        <f t="shared" si="34"/>
        <v>0</v>
      </c>
      <c r="BT36" s="40">
        <f t="shared" si="35"/>
        <v>0</v>
      </c>
    </row>
    <row r="37" spans="1:72">
      <c r="A37" s="6"/>
      <c r="B37" s="31"/>
      <c r="C37" s="31"/>
      <c r="D37" s="1630"/>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31"/>
      <c r="AV37" s="1343">
        <f t="shared" si="12"/>
        <v>0</v>
      </c>
      <c r="AW37" s="1343">
        <f t="shared" si="13"/>
        <v>0</v>
      </c>
      <c r="AX37" s="1343">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6"/>
        <v>0</v>
      </c>
      <c r="BR37" s="32">
        <f t="shared" si="33"/>
        <v>0</v>
      </c>
      <c r="BS37" s="32">
        <f t="shared" si="34"/>
        <v>0</v>
      </c>
      <c r="BT37" s="40">
        <f t="shared" si="35"/>
        <v>0</v>
      </c>
    </row>
    <row r="38" spans="1:72">
      <c r="A38" s="6"/>
      <c r="B38" s="31"/>
      <c r="C38" s="31"/>
      <c r="D38" s="1630"/>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31"/>
      <c r="AV38" s="1343">
        <f t="shared" si="12"/>
        <v>0</v>
      </c>
      <c r="AW38" s="1343">
        <f t="shared" si="13"/>
        <v>0</v>
      </c>
      <c r="AX38" s="1343">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6"/>
        <v>0</v>
      </c>
      <c r="BR38" s="32">
        <f t="shared" si="33"/>
        <v>0</v>
      </c>
      <c r="BS38" s="32">
        <f t="shared" si="34"/>
        <v>0</v>
      </c>
      <c r="BT38" s="40">
        <f t="shared" si="35"/>
        <v>0</v>
      </c>
    </row>
    <row r="39" spans="1:72">
      <c r="A39" s="6"/>
      <c r="B39" s="31"/>
      <c r="C39" s="31"/>
      <c r="D39" s="1630"/>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31"/>
      <c r="AV39" s="1343">
        <f t="shared" si="12"/>
        <v>0</v>
      </c>
      <c r="AW39" s="1343">
        <f t="shared" si="13"/>
        <v>0</v>
      </c>
      <c r="AX39" s="1343">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6"/>
        <v>0</v>
      </c>
      <c r="BR39" s="32">
        <f t="shared" si="33"/>
        <v>0</v>
      </c>
      <c r="BS39" s="32">
        <f t="shared" si="34"/>
        <v>0</v>
      </c>
      <c r="BT39" s="40">
        <f t="shared" si="35"/>
        <v>0</v>
      </c>
    </row>
    <row r="40" spans="1:72">
      <c r="A40" s="6"/>
      <c r="B40" s="31"/>
      <c r="C40" s="31"/>
      <c r="D40" s="1630"/>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31"/>
      <c r="AV40" s="1343">
        <f t="shared" si="12"/>
        <v>0</v>
      </c>
      <c r="AW40" s="1343">
        <f t="shared" si="13"/>
        <v>0</v>
      </c>
      <c r="AX40" s="1343">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6"/>
        <v>0</v>
      </c>
      <c r="BR40" s="32">
        <f t="shared" si="33"/>
        <v>0</v>
      </c>
      <c r="BS40" s="32">
        <f t="shared" si="34"/>
        <v>0</v>
      </c>
      <c r="BT40" s="40">
        <f t="shared" si="35"/>
        <v>0</v>
      </c>
    </row>
    <row r="41" spans="1:72">
      <c r="A41" s="6"/>
      <c r="B41" s="31"/>
      <c r="C41" s="31"/>
      <c r="D41" s="1630"/>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31"/>
      <c r="AV41" s="1343">
        <f t="shared" si="12"/>
        <v>0</v>
      </c>
      <c r="AW41" s="1343">
        <f t="shared" si="13"/>
        <v>0</v>
      </c>
      <c r="AX41" s="1343">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6"/>
        <v>0</v>
      </c>
      <c r="BR41" s="32">
        <f t="shared" si="33"/>
        <v>0</v>
      </c>
      <c r="BS41" s="32">
        <f t="shared" si="34"/>
        <v>0</v>
      </c>
      <c r="BT41" s="40">
        <f t="shared" si="35"/>
        <v>0</v>
      </c>
    </row>
    <row r="42" spans="1:72">
      <c r="A42" s="6"/>
      <c r="B42" s="31"/>
      <c r="C42" s="31"/>
      <c r="D42" s="1630"/>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31"/>
      <c r="AV42" s="1343">
        <f t="shared" si="12"/>
        <v>0</v>
      </c>
      <c r="AW42" s="1343">
        <f t="shared" si="13"/>
        <v>0</v>
      </c>
      <c r="AX42" s="1343">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6"/>
        <v>0</v>
      </c>
      <c r="BR42" s="32">
        <f t="shared" si="33"/>
        <v>0</v>
      </c>
      <c r="BS42" s="32">
        <f t="shared" si="34"/>
        <v>0</v>
      </c>
      <c r="BT42" s="40">
        <f t="shared" si="35"/>
        <v>0</v>
      </c>
    </row>
    <row r="43" spans="1:72">
      <c r="A43" s="6"/>
      <c r="B43" s="31"/>
      <c r="C43" s="31"/>
      <c r="D43" s="1630"/>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31"/>
      <c r="AV43" s="1343">
        <f t="shared" si="12"/>
        <v>0</v>
      </c>
      <c r="AW43" s="1343">
        <f t="shared" si="13"/>
        <v>0</v>
      </c>
      <c r="AX43" s="1343">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6"/>
        <v>0</v>
      </c>
      <c r="BR43" s="32">
        <f t="shared" si="33"/>
        <v>0</v>
      </c>
      <c r="BS43" s="32">
        <f t="shared" si="34"/>
        <v>0</v>
      </c>
      <c r="BT43" s="40">
        <f t="shared" si="35"/>
        <v>0</v>
      </c>
    </row>
    <row r="44" spans="1:72">
      <c r="A44" s="6"/>
      <c r="B44" s="31"/>
      <c r="C44" s="31"/>
      <c r="D44" s="1630"/>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31"/>
      <c r="AV44" s="1343">
        <f t="shared" si="12"/>
        <v>0</v>
      </c>
      <c r="AW44" s="1343">
        <f t="shared" si="13"/>
        <v>0</v>
      </c>
      <c r="AX44" s="1343">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6"/>
        <v>0</v>
      </c>
      <c r="BR44" s="32">
        <f t="shared" si="33"/>
        <v>0</v>
      </c>
      <c r="BS44" s="32">
        <f t="shared" si="34"/>
        <v>0</v>
      </c>
      <c r="BT44" s="40">
        <f t="shared" si="35"/>
        <v>0</v>
      </c>
    </row>
    <row r="45" spans="1:72">
      <c r="A45" s="6"/>
      <c r="B45" s="31"/>
      <c r="C45" s="31"/>
      <c r="D45" s="1630"/>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31"/>
      <c r="AV45" s="1343">
        <f t="shared" si="12"/>
        <v>0</v>
      </c>
      <c r="AW45" s="1343">
        <f t="shared" si="13"/>
        <v>0</v>
      </c>
      <c r="AX45" s="1343">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6"/>
        <v>0</v>
      </c>
      <c r="BR45" s="32">
        <f t="shared" si="33"/>
        <v>0</v>
      </c>
      <c r="BS45" s="32">
        <f t="shared" si="34"/>
        <v>0</v>
      </c>
      <c r="BT45" s="40">
        <f t="shared" si="35"/>
        <v>0</v>
      </c>
    </row>
    <row r="46" spans="1:72">
      <c r="A46" s="6"/>
      <c r="B46" s="31"/>
      <c r="C46" s="31"/>
      <c r="D46" s="1630"/>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31"/>
      <c r="AV46" s="1343">
        <f t="shared" si="12"/>
        <v>0</v>
      </c>
      <c r="AW46" s="1343">
        <f t="shared" si="13"/>
        <v>0</v>
      </c>
      <c r="AX46" s="1343">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6"/>
        <v>0</v>
      </c>
      <c r="BR46" s="32">
        <f t="shared" si="33"/>
        <v>0</v>
      </c>
      <c r="BS46" s="32">
        <f t="shared" si="34"/>
        <v>0</v>
      </c>
      <c r="BT46" s="40">
        <f t="shared" si="35"/>
        <v>0</v>
      </c>
    </row>
    <row r="47" spans="1:72">
      <c r="A47" s="6"/>
      <c r="B47" s="31"/>
      <c r="C47" s="31"/>
      <c r="D47" s="1630"/>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31"/>
      <c r="AV47" s="1343">
        <f t="shared" si="12"/>
        <v>0</v>
      </c>
      <c r="AW47" s="1343">
        <f t="shared" si="13"/>
        <v>0</v>
      </c>
      <c r="AX47" s="1343">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6"/>
        <v>0</v>
      </c>
      <c r="BR47" s="32">
        <f t="shared" si="33"/>
        <v>0</v>
      </c>
      <c r="BS47" s="32">
        <f t="shared" si="34"/>
        <v>0</v>
      </c>
      <c r="BT47" s="40">
        <f t="shared" si="35"/>
        <v>0</v>
      </c>
    </row>
    <row r="48" spans="1:72">
      <c r="A48" s="6"/>
      <c r="B48" s="31"/>
      <c r="C48" s="31"/>
      <c r="D48" s="1630"/>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31"/>
      <c r="AV48" s="1343">
        <f t="shared" si="12"/>
        <v>0</v>
      </c>
      <c r="AW48" s="1343">
        <f t="shared" si="13"/>
        <v>0</v>
      </c>
      <c r="AX48" s="1343">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6"/>
        <v>0</v>
      </c>
      <c r="BR48" s="32">
        <f t="shared" si="33"/>
        <v>0</v>
      </c>
      <c r="BS48" s="32">
        <f t="shared" si="34"/>
        <v>0</v>
      </c>
      <c r="BT48" s="40">
        <f t="shared" si="35"/>
        <v>0</v>
      </c>
    </row>
    <row r="49" spans="1:72">
      <c r="A49" s="6"/>
      <c r="B49" s="31"/>
      <c r="C49" s="31"/>
      <c r="D49" s="1630"/>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31"/>
      <c r="AV49" s="1343">
        <f t="shared" si="12"/>
        <v>0</v>
      </c>
      <c r="AW49" s="1343">
        <f t="shared" si="13"/>
        <v>0</v>
      </c>
      <c r="AX49" s="1343">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6"/>
        <v>0</v>
      </c>
      <c r="BR49" s="32">
        <f t="shared" si="33"/>
        <v>0</v>
      </c>
      <c r="BS49" s="32">
        <f t="shared" si="34"/>
        <v>0</v>
      </c>
      <c r="BT49" s="40">
        <f t="shared" si="35"/>
        <v>0</v>
      </c>
    </row>
    <row r="50" spans="1:72">
      <c r="A50" s="6"/>
      <c r="B50" s="31"/>
      <c r="C50" s="31"/>
      <c r="D50" s="1630"/>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31"/>
      <c r="AV50" s="1343">
        <f t="shared" si="12"/>
        <v>0</v>
      </c>
      <c r="AW50" s="1343">
        <f t="shared" si="13"/>
        <v>0</v>
      </c>
      <c r="AX50" s="1343">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6"/>
        <v>0</v>
      </c>
      <c r="BR50" s="32">
        <f t="shared" si="33"/>
        <v>0</v>
      </c>
      <c r="BS50" s="32">
        <f t="shared" si="34"/>
        <v>0</v>
      </c>
      <c r="BT50" s="40">
        <f t="shared" si="35"/>
        <v>0</v>
      </c>
    </row>
    <row r="51" spans="1:72">
      <c r="A51" s="6"/>
      <c r="B51" s="31"/>
      <c r="C51" s="31"/>
      <c r="D51" s="1630"/>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31"/>
      <c r="AV51" s="1343">
        <f t="shared" si="12"/>
        <v>0</v>
      </c>
      <c r="AW51" s="1343">
        <f t="shared" si="13"/>
        <v>0</v>
      </c>
      <c r="AX51" s="1343">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6"/>
        <v>0</v>
      </c>
      <c r="BR51" s="32">
        <f t="shared" si="33"/>
        <v>0</v>
      </c>
      <c r="BS51" s="32">
        <f t="shared" si="34"/>
        <v>0</v>
      </c>
      <c r="BT51" s="40">
        <f t="shared" si="35"/>
        <v>0</v>
      </c>
    </row>
    <row r="52" spans="1:72">
      <c r="A52" s="6"/>
      <c r="B52" s="31"/>
      <c r="C52" s="31"/>
      <c r="D52" s="1630"/>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31"/>
      <c r="AV52" s="1343">
        <f t="shared" si="12"/>
        <v>0</v>
      </c>
      <c r="AW52" s="1343">
        <f t="shared" si="13"/>
        <v>0</v>
      </c>
      <c r="AX52" s="1343">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6"/>
        <v>0</v>
      </c>
      <c r="BR52" s="32">
        <f t="shared" si="33"/>
        <v>0</v>
      </c>
      <c r="BS52" s="32">
        <f t="shared" si="34"/>
        <v>0</v>
      </c>
      <c r="BT52" s="40">
        <f t="shared" si="35"/>
        <v>0</v>
      </c>
    </row>
    <row r="53" spans="1:72">
      <c r="A53" s="6"/>
      <c r="B53" s="31"/>
      <c r="C53" s="31"/>
      <c r="D53" s="1630"/>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31"/>
      <c r="AV53" s="1343">
        <f t="shared" si="12"/>
        <v>0</v>
      </c>
      <c r="AW53" s="1343">
        <f t="shared" si="13"/>
        <v>0</v>
      </c>
      <c r="AX53" s="1343">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6"/>
        <v>0</v>
      </c>
      <c r="BR53" s="32">
        <f t="shared" si="33"/>
        <v>0</v>
      </c>
      <c r="BS53" s="32">
        <f t="shared" si="34"/>
        <v>0</v>
      </c>
      <c r="BT53" s="40">
        <f t="shared" si="35"/>
        <v>0</v>
      </c>
    </row>
    <row r="54" spans="1:72">
      <c r="A54" s="6"/>
      <c r="B54" s="31"/>
      <c r="C54" s="31"/>
      <c r="D54" s="1630"/>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31"/>
      <c r="AV54" s="1343">
        <f t="shared" si="12"/>
        <v>0</v>
      </c>
      <c r="AW54" s="1343">
        <f t="shared" si="13"/>
        <v>0</v>
      </c>
      <c r="AX54" s="1343">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6"/>
        <v>0</v>
      </c>
      <c r="BR54" s="32">
        <f t="shared" si="33"/>
        <v>0</v>
      </c>
      <c r="BS54" s="32">
        <f t="shared" si="34"/>
        <v>0</v>
      </c>
      <c r="BT54" s="40">
        <f t="shared" si="35"/>
        <v>0</v>
      </c>
    </row>
    <row r="55" spans="1:72">
      <c r="A55" s="6"/>
      <c r="B55" s="31"/>
      <c r="C55" s="31"/>
      <c r="D55" s="1630"/>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31"/>
      <c r="AV55" s="1343">
        <f t="shared" si="12"/>
        <v>0</v>
      </c>
      <c r="AW55" s="1343">
        <f t="shared" si="13"/>
        <v>0</v>
      </c>
      <c r="AX55" s="1343">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6"/>
        <v>0</v>
      </c>
      <c r="BR55" s="32">
        <f t="shared" si="33"/>
        <v>0</v>
      </c>
      <c r="BS55" s="32">
        <f t="shared" si="34"/>
        <v>0</v>
      </c>
      <c r="BT55" s="40">
        <f t="shared" si="35"/>
        <v>0</v>
      </c>
    </row>
    <row r="56" spans="1:72">
      <c r="A56" s="6"/>
      <c r="B56" s="31"/>
      <c r="C56" s="31"/>
      <c r="D56" s="1630"/>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31"/>
      <c r="AV56" s="1343">
        <f t="shared" si="12"/>
        <v>0</v>
      </c>
      <c r="AW56" s="1343">
        <f t="shared" si="13"/>
        <v>0</v>
      </c>
      <c r="AX56" s="1343">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6"/>
        <v>0</v>
      </c>
      <c r="BR56" s="32">
        <f t="shared" si="33"/>
        <v>0</v>
      </c>
      <c r="BS56" s="32">
        <f t="shared" si="34"/>
        <v>0</v>
      </c>
      <c r="BT56" s="40">
        <f t="shared" si="35"/>
        <v>0</v>
      </c>
    </row>
    <row r="57" spans="1:72">
      <c r="A57" s="6"/>
      <c r="B57" s="31"/>
      <c r="C57" s="31"/>
      <c r="D57" s="1630"/>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31"/>
      <c r="AV57" s="1343">
        <f t="shared" si="12"/>
        <v>0</v>
      </c>
      <c r="AW57" s="1343">
        <f t="shared" si="13"/>
        <v>0</v>
      </c>
      <c r="AX57" s="1343">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6"/>
        <v>0</v>
      </c>
      <c r="BR57" s="32">
        <f t="shared" si="33"/>
        <v>0</v>
      </c>
      <c r="BS57" s="32">
        <f t="shared" si="34"/>
        <v>0</v>
      </c>
      <c r="BT57" s="40">
        <f t="shared" si="35"/>
        <v>0</v>
      </c>
    </row>
    <row r="58" spans="1:72">
      <c r="A58" s="6"/>
      <c r="B58" s="31"/>
      <c r="C58" s="31"/>
      <c r="D58" s="1630"/>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31"/>
      <c r="AV58" s="1343">
        <f t="shared" si="12"/>
        <v>0</v>
      </c>
      <c r="AW58" s="1343">
        <f t="shared" si="13"/>
        <v>0</v>
      </c>
      <c r="AX58" s="1343">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6"/>
        <v>0</v>
      </c>
      <c r="BR58" s="32">
        <f t="shared" si="33"/>
        <v>0</v>
      </c>
      <c r="BS58" s="32">
        <f t="shared" si="34"/>
        <v>0</v>
      </c>
      <c r="BT58" s="40">
        <f t="shared" si="35"/>
        <v>0</v>
      </c>
    </row>
    <row r="59" spans="1:72">
      <c r="A59" s="6"/>
      <c r="B59" s="31"/>
      <c r="C59" s="31"/>
      <c r="D59" s="1630"/>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31"/>
      <c r="AV59" s="1343">
        <f t="shared" si="12"/>
        <v>0</v>
      </c>
      <c r="AW59" s="1343">
        <f t="shared" si="13"/>
        <v>0</v>
      </c>
      <c r="AX59" s="1343">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6"/>
        <v>0</v>
      </c>
      <c r="BR59" s="32">
        <f t="shared" si="33"/>
        <v>0</v>
      </c>
      <c r="BS59" s="32">
        <f t="shared" si="34"/>
        <v>0</v>
      </c>
      <c r="BT59" s="40">
        <f t="shared" si="35"/>
        <v>0</v>
      </c>
    </row>
    <row r="60" spans="1:72">
      <c r="A60" s="6"/>
      <c r="B60" s="31"/>
      <c r="C60" s="31"/>
      <c r="D60" s="1630"/>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31"/>
      <c r="AV60" s="1343">
        <f t="shared" si="12"/>
        <v>0</v>
      </c>
      <c r="AW60" s="1343">
        <f t="shared" si="13"/>
        <v>0</v>
      </c>
      <c r="AX60" s="1343">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6"/>
        <v>0</v>
      </c>
      <c r="BR60" s="32">
        <f t="shared" si="33"/>
        <v>0</v>
      </c>
      <c r="BS60" s="32">
        <f t="shared" si="34"/>
        <v>0</v>
      </c>
      <c r="BT60" s="40">
        <f t="shared" si="35"/>
        <v>0</v>
      </c>
    </row>
    <row r="61" spans="1:72">
      <c r="A61" s="6"/>
      <c r="B61" s="31"/>
      <c r="C61" s="31"/>
      <c r="D61" s="1630"/>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31"/>
      <c r="AV61" s="1343">
        <f t="shared" si="12"/>
        <v>0</v>
      </c>
      <c r="AW61" s="1343">
        <f t="shared" si="13"/>
        <v>0</v>
      </c>
      <c r="AX61" s="1343">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6"/>
        <v>0</v>
      </c>
      <c r="BR61" s="32">
        <f t="shared" si="33"/>
        <v>0</v>
      </c>
      <c r="BS61" s="32">
        <f t="shared" si="34"/>
        <v>0</v>
      </c>
      <c r="BT61" s="40">
        <f t="shared" si="35"/>
        <v>0</v>
      </c>
    </row>
    <row r="62" spans="1:72">
      <c r="A62" s="6"/>
      <c r="B62" s="31"/>
      <c r="C62" s="31"/>
      <c r="D62" s="1630"/>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31"/>
      <c r="AV62" s="1343">
        <f t="shared" si="12"/>
        <v>0</v>
      </c>
      <c r="AW62" s="1343">
        <f t="shared" si="13"/>
        <v>0</v>
      </c>
      <c r="AX62" s="1343">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6"/>
        <v>0</v>
      </c>
      <c r="BR62" s="32">
        <f t="shared" si="33"/>
        <v>0</v>
      </c>
      <c r="BS62" s="32">
        <f t="shared" si="34"/>
        <v>0</v>
      </c>
      <c r="BT62" s="40">
        <f t="shared" si="35"/>
        <v>0</v>
      </c>
    </row>
    <row r="63" spans="1:72">
      <c r="A63" s="6"/>
      <c r="B63" s="31"/>
      <c r="C63" s="31"/>
      <c r="D63" s="1630"/>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31"/>
      <c r="AV63" s="1343">
        <f t="shared" si="12"/>
        <v>0</v>
      </c>
      <c r="AW63" s="1343">
        <f t="shared" si="13"/>
        <v>0</v>
      </c>
      <c r="AX63" s="1343">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6"/>
        <v>0</v>
      </c>
      <c r="BR63" s="32">
        <f t="shared" si="33"/>
        <v>0</v>
      </c>
      <c r="BS63" s="32">
        <f t="shared" si="34"/>
        <v>0</v>
      </c>
      <c r="BT63" s="40">
        <f t="shared" si="35"/>
        <v>0</v>
      </c>
    </row>
    <row r="64" spans="1:72">
      <c r="A64" s="6"/>
      <c r="B64" s="31"/>
      <c r="C64" s="31"/>
      <c r="D64" s="1630"/>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31"/>
      <c r="AV64" s="1343">
        <f t="shared" si="12"/>
        <v>0</v>
      </c>
      <c r="AW64" s="1343">
        <f t="shared" si="13"/>
        <v>0</v>
      </c>
      <c r="AX64" s="1343">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6"/>
        <v>0</v>
      </c>
      <c r="BR64" s="32">
        <f t="shared" si="33"/>
        <v>0</v>
      </c>
      <c r="BS64" s="32">
        <f t="shared" si="34"/>
        <v>0</v>
      </c>
      <c r="BT64" s="40">
        <f t="shared" si="35"/>
        <v>0</v>
      </c>
    </row>
    <row r="65" spans="1:72">
      <c r="A65" s="6"/>
      <c r="B65" s="31"/>
      <c r="C65" s="31"/>
      <c r="D65" s="1630"/>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31"/>
      <c r="AV65" s="1343">
        <f t="shared" si="12"/>
        <v>0</v>
      </c>
      <c r="AW65" s="1343">
        <f t="shared" si="13"/>
        <v>0</v>
      </c>
      <c r="AX65" s="1343">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6"/>
        <v>0</v>
      </c>
      <c r="BR65" s="32">
        <f t="shared" si="33"/>
        <v>0</v>
      </c>
      <c r="BS65" s="32">
        <f t="shared" si="34"/>
        <v>0</v>
      </c>
      <c r="BT65" s="40">
        <f t="shared" si="35"/>
        <v>0</v>
      </c>
    </row>
    <row r="66" spans="1:72">
      <c r="A66" s="6"/>
      <c r="B66" s="31"/>
      <c r="C66" s="31"/>
      <c r="D66" s="1630"/>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31"/>
      <c r="AV66" s="1343">
        <f t="shared" si="12"/>
        <v>0</v>
      </c>
      <c r="AW66" s="1343">
        <f t="shared" si="13"/>
        <v>0</v>
      </c>
      <c r="AX66" s="1343">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6"/>
        <v>0</v>
      </c>
      <c r="BR66" s="32">
        <f t="shared" si="33"/>
        <v>0</v>
      </c>
      <c r="BS66" s="32">
        <f t="shared" si="34"/>
        <v>0</v>
      </c>
      <c r="BT66" s="40">
        <f t="shared" si="35"/>
        <v>0</v>
      </c>
    </row>
    <row r="67" spans="1:72">
      <c r="A67" s="6"/>
      <c r="B67" s="31"/>
      <c r="C67" s="31"/>
      <c r="D67" s="1630"/>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31"/>
      <c r="AV67" s="1343">
        <f t="shared" si="12"/>
        <v>0</v>
      </c>
      <c r="AW67" s="1343">
        <f t="shared" si="13"/>
        <v>0</v>
      </c>
      <c r="AX67" s="1343">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6"/>
        <v>0</v>
      </c>
      <c r="BR67" s="32">
        <f t="shared" si="33"/>
        <v>0</v>
      </c>
      <c r="BS67" s="32">
        <f t="shared" si="34"/>
        <v>0</v>
      </c>
      <c r="BT67" s="40">
        <f t="shared" si="35"/>
        <v>0</v>
      </c>
    </row>
    <row r="68" spans="1:72">
      <c r="A68" s="6"/>
      <c r="B68" s="31"/>
      <c r="C68" s="31"/>
      <c r="D68" s="1630"/>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31"/>
      <c r="AV68" s="1343">
        <f t="shared" si="12"/>
        <v>0</v>
      </c>
      <c r="AW68" s="1343">
        <f t="shared" si="13"/>
        <v>0</v>
      </c>
      <c r="AX68" s="1343">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6"/>
        <v>0</v>
      </c>
      <c r="BR68" s="32">
        <f t="shared" si="33"/>
        <v>0</v>
      </c>
      <c r="BS68" s="32">
        <f t="shared" si="34"/>
        <v>0</v>
      </c>
      <c r="BT68" s="40">
        <f t="shared" si="35"/>
        <v>0</v>
      </c>
    </row>
    <row r="69" spans="1:72">
      <c r="A69" s="6"/>
      <c r="B69" s="31"/>
      <c r="C69" s="31"/>
      <c r="D69" s="1630"/>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31"/>
      <c r="AV69" s="1343">
        <f t="shared" si="12"/>
        <v>0</v>
      </c>
      <c r="AW69" s="1343">
        <f t="shared" si="13"/>
        <v>0</v>
      </c>
      <c r="AX69" s="1343">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6"/>
        <v>0</v>
      </c>
      <c r="BR69" s="32">
        <f t="shared" si="33"/>
        <v>0</v>
      </c>
      <c r="BS69" s="32">
        <f t="shared" si="34"/>
        <v>0</v>
      </c>
      <c r="BT69" s="40">
        <f t="shared" si="35"/>
        <v>0</v>
      </c>
    </row>
    <row r="70" spans="1:72">
      <c r="A70" s="6"/>
      <c r="B70" s="31"/>
      <c r="C70" s="31"/>
      <c r="D70" s="1630"/>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31"/>
      <c r="AV70" s="1343">
        <f t="shared" si="12"/>
        <v>0</v>
      </c>
      <c r="AW70" s="1343">
        <f t="shared" si="13"/>
        <v>0</v>
      </c>
      <c r="AX70" s="1343">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6"/>
        <v>0</v>
      </c>
      <c r="BR70" s="32">
        <f t="shared" si="33"/>
        <v>0</v>
      </c>
      <c r="BS70" s="32">
        <f t="shared" si="34"/>
        <v>0</v>
      </c>
      <c r="BT70" s="40">
        <f t="shared" si="35"/>
        <v>0</v>
      </c>
    </row>
    <row r="71" spans="1:72">
      <c r="A71" s="6"/>
      <c r="B71" s="31"/>
      <c r="C71" s="31"/>
      <c r="D71" s="1630"/>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31"/>
      <c r="AV71" s="1343">
        <f t="shared" si="12"/>
        <v>0</v>
      </c>
      <c r="AW71" s="1343">
        <f t="shared" si="13"/>
        <v>0</v>
      </c>
      <c r="AX71" s="1343">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6"/>
        <v>0</v>
      </c>
      <c r="BR71" s="32">
        <f t="shared" si="33"/>
        <v>0</v>
      </c>
      <c r="BS71" s="32">
        <f t="shared" si="34"/>
        <v>0</v>
      </c>
      <c r="BT71" s="40">
        <f t="shared" si="35"/>
        <v>0</v>
      </c>
    </row>
    <row r="72" spans="1:72">
      <c r="A72" s="6"/>
      <c r="B72" s="31"/>
      <c r="C72" s="31"/>
      <c r="D72" s="1630"/>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31"/>
      <c r="AV72" s="1343">
        <f t="shared" si="12"/>
        <v>0</v>
      </c>
      <c r="AW72" s="1343">
        <f t="shared" si="13"/>
        <v>0</v>
      </c>
      <c r="AX72" s="1343">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6"/>
        <v>0</v>
      </c>
      <c r="BR72" s="32">
        <f t="shared" si="33"/>
        <v>0</v>
      </c>
      <c r="BS72" s="32">
        <f t="shared" si="34"/>
        <v>0</v>
      </c>
      <c r="BT72" s="40">
        <f t="shared" si="35"/>
        <v>0</v>
      </c>
    </row>
    <row r="73" spans="1:72">
      <c r="A73" s="6"/>
      <c r="B73" s="31"/>
      <c r="C73" s="31"/>
      <c r="D73" s="1630"/>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31"/>
      <c r="AV73" s="1343">
        <f t="shared" si="12"/>
        <v>0</v>
      </c>
      <c r="AW73" s="1343">
        <f t="shared" si="13"/>
        <v>0</v>
      </c>
      <c r="AX73" s="1343">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6"/>
        <v>0</v>
      </c>
      <c r="BR73" s="32">
        <f t="shared" si="33"/>
        <v>0</v>
      </c>
      <c r="BS73" s="32">
        <f t="shared" si="34"/>
        <v>0</v>
      </c>
      <c r="BT73" s="40">
        <f t="shared" si="35"/>
        <v>0</v>
      </c>
    </row>
    <row r="74" spans="1:72">
      <c r="A74" s="6"/>
      <c r="B74" s="31"/>
      <c r="C74" s="31"/>
      <c r="D74" s="1630"/>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31"/>
      <c r="AV74" s="1343">
        <f t="shared" si="12"/>
        <v>0</v>
      </c>
      <c r="AW74" s="1343">
        <f t="shared" si="13"/>
        <v>0</v>
      </c>
      <c r="AX74" s="1343">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6"/>
        <v>0</v>
      </c>
      <c r="BR74" s="32">
        <f t="shared" si="33"/>
        <v>0</v>
      </c>
      <c r="BS74" s="32">
        <f t="shared" si="34"/>
        <v>0</v>
      </c>
      <c r="BT74" s="40">
        <f t="shared" si="35"/>
        <v>0</v>
      </c>
    </row>
    <row r="75" spans="1:72">
      <c r="A75" s="6"/>
      <c r="B75" s="31"/>
      <c r="C75" s="31"/>
      <c r="D75" s="1630"/>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31"/>
      <c r="AV75" s="1343">
        <f t="shared" si="12"/>
        <v>0</v>
      </c>
      <c r="AW75" s="1343">
        <f t="shared" si="13"/>
        <v>0</v>
      </c>
      <c r="AX75" s="1343">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6"/>
        <v>0</v>
      </c>
      <c r="BR75" s="32">
        <f t="shared" si="33"/>
        <v>0</v>
      </c>
      <c r="BS75" s="32">
        <f t="shared" si="34"/>
        <v>0</v>
      </c>
      <c r="BT75" s="40">
        <f t="shared" si="35"/>
        <v>0</v>
      </c>
    </row>
    <row r="76" spans="1:72">
      <c r="A76" s="6"/>
      <c r="B76" s="31"/>
      <c r="C76" s="31"/>
      <c r="D76" s="1630"/>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31"/>
      <c r="AV76" s="1343">
        <f t="shared" si="12"/>
        <v>0</v>
      </c>
      <c r="AW76" s="1343">
        <f t="shared" si="13"/>
        <v>0</v>
      </c>
      <c r="AX76" s="1343">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6"/>
        <v>0</v>
      </c>
      <c r="BR76" s="32">
        <f t="shared" si="33"/>
        <v>0</v>
      </c>
      <c r="BS76" s="32">
        <f t="shared" si="34"/>
        <v>0</v>
      </c>
      <c r="BT76" s="40">
        <f t="shared" si="35"/>
        <v>0</v>
      </c>
    </row>
    <row r="77" spans="1:72">
      <c r="A77" s="6"/>
      <c r="B77" s="31"/>
      <c r="C77" s="31"/>
      <c r="D77" s="1630"/>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31"/>
      <c r="AV77" s="1343">
        <f t="shared" si="12"/>
        <v>0</v>
      </c>
      <c r="AW77" s="1343">
        <f t="shared" si="13"/>
        <v>0</v>
      </c>
      <c r="AX77" s="1343">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6"/>
        <v>0</v>
      </c>
      <c r="BR77" s="32">
        <f t="shared" si="33"/>
        <v>0</v>
      </c>
      <c r="BS77" s="32">
        <f t="shared" si="34"/>
        <v>0</v>
      </c>
      <c r="BT77" s="40">
        <f t="shared" si="35"/>
        <v>0</v>
      </c>
    </row>
    <row r="78" spans="1:72">
      <c r="A78" s="6"/>
      <c r="B78" s="31"/>
      <c r="C78" s="31"/>
      <c r="D78" s="1630"/>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31"/>
      <c r="AV78" s="1343">
        <f t="shared" si="12"/>
        <v>0</v>
      </c>
      <c r="AW78" s="1343">
        <f t="shared" si="13"/>
        <v>0</v>
      </c>
      <c r="AX78" s="1343">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6"/>
        <v>0</v>
      </c>
      <c r="BR78" s="32">
        <f t="shared" si="33"/>
        <v>0</v>
      </c>
      <c r="BS78" s="32">
        <f t="shared" si="34"/>
        <v>0</v>
      </c>
      <c r="BT78" s="40">
        <f t="shared" si="35"/>
        <v>0</v>
      </c>
    </row>
    <row r="79" spans="1:72">
      <c r="A79" s="6"/>
      <c r="B79" s="31"/>
      <c r="C79" s="31"/>
      <c r="D79" s="1630"/>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31"/>
      <c r="AV79" s="1343">
        <f t="shared" si="12"/>
        <v>0</v>
      </c>
      <c r="AW79" s="1343">
        <f t="shared" si="13"/>
        <v>0</v>
      </c>
      <c r="AX79" s="1343">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6"/>
        <v>0</v>
      </c>
      <c r="BR79" s="32">
        <f t="shared" si="33"/>
        <v>0</v>
      </c>
      <c r="BS79" s="32">
        <f t="shared" si="34"/>
        <v>0</v>
      </c>
      <c r="BT79" s="40">
        <f t="shared" si="35"/>
        <v>0</v>
      </c>
    </row>
    <row r="80" spans="1:72">
      <c r="A80" s="6"/>
      <c r="B80" s="31"/>
      <c r="C80" s="31"/>
      <c r="D80" s="1630"/>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31"/>
      <c r="AV80" s="1343">
        <f t="shared" si="12"/>
        <v>0</v>
      </c>
      <c r="AW80" s="1343">
        <f t="shared" si="13"/>
        <v>0</v>
      </c>
      <c r="AX80" s="1343">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6"/>
        <v>0</v>
      </c>
      <c r="BR80" s="32">
        <f t="shared" si="33"/>
        <v>0</v>
      </c>
      <c r="BS80" s="32">
        <f t="shared" si="34"/>
        <v>0</v>
      </c>
      <c r="BT80" s="40">
        <f t="shared" si="35"/>
        <v>0</v>
      </c>
    </row>
    <row r="81" spans="1:72">
      <c r="A81" s="6"/>
      <c r="B81" s="31"/>
      <c r="C81" s="31"/>
      <c r="D81" s="1630"/>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31"/>
      <c r="AV81" s="1343">
        <f t="shared" si="12"/>
        <v>0</v>
      </c>
      <c r="AW81" s="1343">
        <f t="shared" si="13"/>
        <v>0</v>
      </c>
      <c r="AX81" s="1343">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6"/>
        <v>0</v>
      </c>
      <c r="BR81" s="32">
        <f t="shared" si="33"/>
        <v>0</v>
      </c>
      <c r="BS81" s="32">
        <f t="shared" si="34"/>
        <v>0</v>
      </c>
      <c r="BT81" s="40">
        <f t="shared" si="35"/>
        <v>0</v>
      </c>
    </row>
    <row r="82" spans="1:72">
      <c r="A82" s="6"/>
      <c r="B82" s="31"/>
      <c r="C82" s="31"/>
      <c r="D82" s="1630"/>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31"/>
      <c r="AV82" s="1343">
        <f t="shared" si="12"/>
        <v>0</v>
      </c>
      <c r="AW82" s="1343">
        <f t="shared" si="13"/>
        <v>0</v>
      </c>
      <c r="AX82" s="1343">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6"/>
        <v>0</v>
      </c>
      <c r="BR82" s="32">
        <f t="shared" si="33"/>
        <v>0</v>
      </c>
      <c r="BS82" s="32">
        <f t="shared" si="34"/>
        <v>0</v>
      </c>
      <c r="BT82" s="40">
        <f t="shared" si="35"/>
        <v>0</v>
      </c>
    </row>
    <row r="83" spans="1:72">
      <c r="A83" s="6"/>
      <c r="B83" s="31"/>
      <c r="C83" s="31"/>
      <c r="D83" s="1630"/>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31"/>
      <c r="AV83" s="1343">
        <f t="shared" si="12"/>
        <v>0</v>
      </c>
      <c r="AW83" s="1343">
        <f t="shared" si="13"/>
        <v>0</v>
      </c>
      <c r="AX83" s="1343">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6"/>
        <v>0</v>
      </c>
      <c r="BR83" s="32">
        <f t="shared" si="33"/>
        <v>0</v>
      </c>
      <c r="BS83" s="32">
        <f t="shared" si="34"/>
        <v>0</v>
      </c>
      <c r="BT83" s="40">
        <f t="shared" si="35"/>
        <v>0</v>
      </c>
    </row>
    <row r="84" spans="1:72">
      <c r="A84" s="6"/>
      <c r="B84" s="31"/>
      <c r="C84" s="31"/>
      <c r="D84" s="1630"/>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31"/>
      <c r="AV84" s="1343">
        <f t="shared" si="12"/>
        <v>0</v>
      </c>
      <c r="AW84" s="1343">
        <f t="shared" si="13"/>
        <v>0</v>
      </c>
      <c r="AX84" s="1343">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6"/>
        <v>0</v>
      </c>
      <c r="BR84" s="32">
        <f t="shared" si="33"/>
        <v>0</v>
      </c>
      <c r="BS84" s="32">
        <f t="shared" si="34"/>
        <v>0</v>
      </c>
      <c r="BT84" s="40">
        <f t="shared" si="35"/>
        <v>0</v>
      </c>
    </row>
    <row r="85" spans="1:72">
      <c r="A85" s="6"/>
      <c r="B85" s="31"/>
      <c r="C85" s="31"/>
      <c r="D85" s="1630"/>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31"/>
      <c r="AV85" s="1343">
        <f t="shared" si="12"/>
        <v>0</v>
      </c>
      <c r="AW85" s="1343">
        <f t="shared" si="13"/>
        <v>0</v>
      </c>
      <c r="AX85" s="1343">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6"/>
        <v>0</v>
      </c>
      <c r="BR85" s="32">
        <f t="shared" si="33"/>
        <v>0</v>
      </c>
      <c r="BS85" s="32">
        <f t="shared" si="34"/>
        <v>0</v>
      </c>
      <c r="BT85" s="40">
        <f t="shared" si="35"/>
        <v>0</v>
      </c>
    </row>
    <row r="86" spans="1:72">
      <c r="A86" s="6"/>
      <c r="B86" s="31"/>
      <c r="C86" s="31"/>
      <c r="D86" s="1630"/>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31"/>
      <c r="AV86" s="1343">
        <f t="shared" si="12"/>
        <v>0</v>
      </c>
      <c r="AW86" s="1343">
        <f t="shared" si="13"/>
        <v>0</v>
      </c>
      <c r="AX86" s="1343">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6"/>
        <v>0</v>
      </c>
      <c r="BR86" s="32">
        <f t="shared" si="33"/>
        <v>0</v>
      </c>
      <c r="BS86" s="32">
        <f t="shared" si="34"/>
        <v>0</v>
      </c>
      <c r="BT86" s="40">
        <f t="shared" si="35"/>
        <v>0</v>
      </c>
    </row>
    <row r="87" spans="1:72">
      <c r="A87" s="6"/>
      <c r="B87" s="31"/>
      <c r="C87" s="31"/>
      <c r="D87" s="1630"/>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31"/>
      <c r="AV87" s="1343">
        <f t="shared" si="12"/>
        <v>0</v>
      </c>
      <c r="AW87" s="1343">
        <f t="shared" si="13"/>
        <v>0</v>
      </c>
      <c r="AX87" s="1343">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6"/>
        <v>0</v>
      </c>
      <c r="BR87" s="32">
        <f t="shared" si="33"/>
        <v>0</v>
      </c>
      <c r="BS87" s="32">
        <f t="shared" si="34"/>
        <v>0</v>
      </c>
      <c r="BT87" s="40">
        <f t="shared" si="35"/>
        <v>0</v>
      </c>
    </row>
    <row r="88" spans="1:72">
      <c r="A88" s="6"/>
      <c r="B88" s="31"/>
      <c r="C88" s="31"/>
      <c r="D88" s="1630"/>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31"/>
      <c r="AV88" s="1343">
        <f t="shared" si="12"/>
        <v>0</v>
      </c>
      <c r="AW88" s="1343">
        <f t="shared" si="13"/>
        <v>0</v>
      </c>
      <c r="AX88" s="1343">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6"/>
        <v>0</v>
      </c>
      <c r="BR88" s="32">
        <f t="shared" si="33"/>
        <v>0</v>
      </c>
      <c r="BS88" s="32">
        <f t="shared" si="34"/>
        <v>0</v>
      </c>
      <c r="BT88" s="40">
        <f t="shared" si="35"/>
        <v>0</v>
      </c>
    </row>
    <row r="89" spans="1:72">
      <c r="A89" s="6"/>
      <c r="B89" s="31"/>
      <c r="C89" s="31"/>
      <c r="D89" s="1630"/>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31"/>
      <c r="AV89" s="1343">
        <f t="shared" si="12"/>
        <v>0</v>
      </c>
      <c r="AW89" s="1343">
        <f t="shared" si="13"/>
        <v>0</v>
      </c>
      <c r="AX89" s="1343">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6"/>
        <v>0</v>
      </c>
      <c r="BR89" s="32">
        <f t="shared" si="33"/>
        <v>0</v>
      </c>
      <c r="BS89" s="32">
        <f t="shared" si="34"/>
        <v>0</v>
      </c>
      <c r="BT89" s="40">
        <f t="shared" si="35"/>
        <v>0</v>
      </c>
    </row>
    <row r="90" spans="1:72">
      <c r="A90" s="6"/>
      <c r="B90" s="31"/>
      <c r="C90" s="31"/>
      <c r="D90" s="1630"/>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31"/>
      <c r="AV90" s="1343">
        <f t="shared" si="12"/>
        <v>0</v>
      </c>
      <c r="AW90" s="1343">
        <f t="shared" si="13"/>
        <v>0</v>
      </c>
      <c r="AX90" s="1343">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6"/>
        <v>0</v>
      </c>
      <c r="BR90" s="32">
        <f t="shared" si="33"/>
        <v>0</v>
      </c>
      <c r="BS90" s="32">
        <f t="shared" si="34"/>
        <v>0</v>
      </c>
      <c r="BT90" s="40">
        <f t="shared" si="35"/>
        <v>0</v>
      </c>
    </row>
    <row r="91" spans="1:72">
      <c r="A91" s="6"/>
      <c r="B91" s="31"/>
      <c r="C91" s="31"/>
      <c r="D91" s="1630"/>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31"/>
      <c r="AV91" s="1343">
        <f t="shared" si="12"/>
        <v>0</v>
      </c>
      <c r="AW91" s="1343">
        <f t="shared" si="13"/>
        <v>0</v>
      </c>
      <c r="AX91" s="1343">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6"/>
        <v>0</v>
      </c>
      <c r="BR91" s="32">
        <f t="shared" si="33"/>
        <v>0</v>
      </c>
      <c r="BS91" s="32">
        <f t="shared" si="34"/>
        <v>0</v>
      </c>
      <c r="BT91" s="40">
        <f t="shared" si="35"/>
        <v>0</v>
      </c>
    </row>
    <row r="92" spans="1:72">
      <c r="A92" s="6"/>
      <c r="B92" s="31"/>
      <c r="C92" s="31"/>
      <c r="D92" s="1630"/>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31"/>
      <c r="AV92" s="1343">
        <f t="shared" si="12"/>
        <v>0</v>
      </c>
      <c r="AW92" s="1343">
        <f t="shared" si="13"/>
        <v>0</v>
      </c>
      <c r="AX92" s="1343">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6"/>
        <v>0</v>
      </c>
      <c r="BR92" s="32">
        <f t="shared" si="33"/>
        <v>0</v>
      </c>
      <c r="BS92" s="32">
        <f t="shared" si="34"/>
        <v>0</v>
      </c>
      <c r="BT92" s="40">
        <f t="shared" si="35"/>
        <v>0</v>
      </c>
    </row>
    <row r="93" spans="1:72">
      <c r="A93" s="6"/>
      <c r="B93" s="31"/>
      <c r="C93" s="31"/>
      <c r="D93" s="1630"/>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31"/>
      <c r="AV93" s="1343">
        <f t="shared" si="12"/>
        <v>0</v>
      </c>
      <c r="AW93" s="1343">
        <f t="shared" si="13"/>
        <v>0</v>
      </c>
      <c r="AX93" s="1343">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6"/>
        <v>0</v>
      </c>
      <c r="BR93" s="32">
        <f t="shared" si="33"/>
        <v>0</v>
      </c>
      <c r="BS93" s="32">
        <f t="shared" si="34"/>
        <v>0</v>
      </c>
      <c r="BT93" s="40">
        <f t="shared" si="35"/>
        <v>0</v>
      </c>
    </row>
    <row r="94" spans="1:72">
      <c r="A94" s="6"/>
      <c r="B94" s="31"/>
      <c r="C94" s="31"/>
      <c r="D94" s="1630"/>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31"/>
      <c r="AV94" s="1343">
        <f t="shared" si="12"/>
        <v>0</v>
      </c>
      <c r="AW94" s="1343">
        <f t="shared" si="13"/>
        <v>0</v>
      </c>
      <c r="AX94" s="1343">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6"/>
        <v>0</v>
      </c>
      <c r="BR94" s="32">
        <f t="shared" si="33"/>
        <v>0</v>
      </c>
      <c r="BS94" s="32">
        <f t="shared" si="34"/>
        <v>0</v>
      </c>
      <c r="BT94" s="40">
        <f t="shared" si="35"/>
        <v>0</v>
      </c>
    </row>
    <row r="95" spans="1:72">
      <c r="A95" s="6"/>
      <c r="B95" s="31"/>
      <c r="C95" s="31"/>
      <c r="D95" s="1630"/>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31"/>
      <c r="AV95" s="1343">
        <f t="shared" si="12"/>
        <v>0</v>
      </c>
      <c r="AW95" s="1343">
        <f t="shared" si="13"/>
        <v>0</v>
      </c>
      <c r="AX95" s="1343">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6"/>
        <v>0</v>
      </c>
      <c r="BR95" s="32">
        <f t="shared" si="33"/>
        <v>0</v>
      </c>
      <c r="BS95" s="32">
        <f t="shared" si="34"/>
        <v>0</v>
      </c>
      <c r="BT95" s="40">
        <f t="shared" si="35"/>
        <v>0</v>
      </c>
    </row>
    <row r="96" spans="1:72">
      <c r="A96" s="6"/>
      <c r="B96" s="31"/>
      <c r="C96" s="31"/>
      <c r="D96" s="1630"/>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31"/>
      <c r="AV96" s="1343">
        <f t="shared" si="12"/>
        <v>0</v>
      </c>
      <c r="AW96" s="1343">
        <f t="shared" si="13"/>
        <v>0</v>
      </c>
      <c r="AX96" s="1343">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6"/>
        <v>0</v>
      </c>
      <c r="BR96" s="32">
        <f t="shared" si="33"/>
        <v>0</v>
      </c>
      <c r="BS96" s="32">
        <f t="shared" si="34"/>
        <v>0</v>
      </c>
      <c r="BT96" s="40">
        <f t="shared" si="35"/>
        <v>0</v>
      </c>
    </row>
    <row r="97" spans="1:72">
      <c r="A97" s="6"/>
      <c r="B97" s="31"/>
      <c r="C97" s="31"/>
      <c r="D97" s="1630"/>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31"/>
      <c r="AV97" s="1343">
        <f t="shared" si="12"/>
        <v>0</v>
      </c>
      <c r="AW97" s="1343">
        <f t="shared" si="13"/>
        <v>0</v>
      </c>
      <c r="AX97" s="1343">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6"/>
        <v>0</v>
      </c>
      <c r="BR97" s="32">
        <f t="shared" si="33"/>
        <v>0</v>
      </c>
      <c r="BS97" s="32">
        <f t="shared" si="34"/>
        <v>0</v>
      </c>
      <c r="BT97" s="40">
        <f t="shared" si="35"/>
        <v>0</v>
      </c>
    </row>
    <row r="98" spans="1:72">
      <c r="A98" s="6"/>
      <c r="B98" s="31"/>
      <c r="C98" s="31"/>
      <c r="D98" s="1630"/>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31"/>
      <c r="AV98" s="1343">
        <f t="shared" si="12"/>
        <v>0</v>
      </c>
      <c r="AW98" s="1343">
        <f t="shared" si="13"/>
        <v>0</v>
      </c>
      <c r="AX98" s="1343">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6"/>
        <v>0</v>
      </c>
      <c r="BR98" s="32">
        <f t="shared" si="33"/>
        <v>0</v>
      </c>
      <c r="BS98" s="32">
        <f t="shared" si="34"/>
        <v>0</v>
      </c>
      <c r="BT98" s="40">
        <f t="shared" si="35"/>
        <v>0</v>
      </c>
    </row>
    <row r="99" spans="1:72">
      <c r="A99" s="6"/>
      <c r="B99" s="31"/>
      <c r="C99" s="31"/>
      <c r="D99" s="1630"/>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31"/>
      <c r="AV99" s="1343">
        <f t="shared" si="12"/>
        <v>0</v>
      </c>
      <c r="AW99" s="1343">
        <f t="shared" si="13"/>
        <v>0</v>
      </c>
      <c r="AX99" s="1343">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6"/>
        <v>0</v>
      </c>
      <c r="BR99" s="32">
        <f t="shared" si="33"/>
        <v>0</v>
      </c>
      <c r="BS99" s="32">
        <f t="shared" si="34"/>
        <v>0</v>
      </c>
      <c r="BT99" s="40">
        <f t="shared" si="35"/>
        <v>0</v>
      </c>
    </row>
    <row r="100" spans="1:72">
      <c r="A100" s="6"/>
      <c r="B100" s="31"/>
      <c r="C100" s="31"/>
      <c r="D100" s="1630"/>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31"/>
      <c r="AV100" s="1343">
        <f t="shared" si="12"/>
        <v>0</v>
      </c>
      <c r="AW100" s="1343">
        <f t="shared" si="13"/>
        <v>0</v>
      </c>
      <c r="AX100" s="1343">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6"/>
        <v>0</v>
      </c>
      <c r="BR100" s="32">
        <f t="shared" si="33"/>
        <v>0</v>
      </c>
      <c r="BS100" s="32">
        <f t="shared" si="34"/>
        <v>0</v>
      </c>
      <c r="BT100" s="40">
        <f t="shared" si="35"/>
        <v>0</v>
      </c>
    </row>
    <row r="101" spans="1:72">
      <c r="A101" s="6"/>
      <c r="B101" s="31"/>
      <c r="C101" s="31"/>
      <c r="D101" s="1630"/>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31"/>
      <c r="AV101" s="1343">
        <f t="shared" si="12"/>
        <v>0</v>
      </c>
      <c r="AW101" s="1343">
        <f t="shared" si="13"/>
        <v>0</v>
      </c>
      <c r="AX101" s="1343">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6"/>
        <v>0</v>
      </c>
      <c r="BR101" s="32">
        <f t="shared" si="33"/>
        <v>0</v>
      </c>
      <c r="BS101" s="32">
        <f t="shared" si="34"/>
        <v>0</v>
      </c>
      <c r="BT101" s="40">
        <f t="shared" si="35"/>
        <v>0</v>
      </c>
    </row>
    <row r="102" spans="1:72">
      <c r="A102" s="6"/>
      <c r="B102" s="31"/>
      <c r="C102" s="31"/>
      <c r="D102" s="1630"/>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31"/>
      <c r="AV102" s="1343">
        <f t="shared" si="12"/>
        <v>0</v>
      </c>
      <c r="AW102" s="1343">
        <f t="shared" si="13"/>
        <v>0</v>
      </c>
      <c r="AX102" s="1343">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6"/>
        <v>0</v>
      </c>
      <c r="BR102" s="32">
        <f t="shared" si="33"/>
        <v>0</v>
      </c>
      <c r="BS102" s="32">
        <f t="shared" si="34"/>
        <v>0</v>
      </c>
      <c r="BT102" s="40">
        <f t="shared" si="35"/>
        <v>0</v>
      </c>
    </row>
    <row r="103" spans="1:72">
      <c r="A103" s="6"/>
      <c r="B103" s="31"/>
      <c r="C103" s="31"/>
      <c r="D103" s="1630"/>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31"/>
      <c r="AV103" s="1343">
        <f t="shared" si="12"/>
        <v>0</v>
      </c>
      <c r="AW103" s="1343">
        <f t="shared" si="13"/>
        <v>0</v>
      </c>
      <c r="AX103" s="1343">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6"/>
        <v>0</v>
      </c>
      <c r="BR103" s="32">
        <f t="shared" si="33"/>
        <v>0</v>
      </c>
      <c r="BS103" s="32">
        <f t="shared" si="34"/>
        <v>0</v>
      </c>
      <c r="BT103" s="40">
        <f t="shared" si="35"/>
        <v>0</v>
      </c>
    </row>
    <row r="104" spans="1:72">
      <c r="A104" s="6"/>
      <c r="B104" s="31"/>
      <c r="C104" s="31"/>
      <c r="D104" s="1630"/>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31"/>
      <c r="AV104" s="1343">
        <f t="shared" si="12"/>
        <v>0</v>
      </c>
      <c r="AW104" s="1343">
        <f t="shared" si="13"/>
        <v>0</v>
      </c>
      <c r="AX104" s="1343">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6"/>
        <v>0</v>
      </c>
      <c r="BR104" s="32">
        <f t="shared" si="33"/>
        <v>0</v>
      </c>
      <c r="BS104" s="32">
        <f t="shared" si="34"/>
        <v>0</v>
      </c>
      <c r="BT104" s="40">
        <f t="shared" si="35"/>
        <v>0</v>
      </c>
    </row>
    <row r="105" spans="1:72">
      <c r="A105" s="6"/>
      <c r="B105" s="31"/>
      <c r="C105" s="31"/>
      <c r="D105" s="1630"/>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31"/>
      <c r="AV105" s="1343">
        <f t="shared" si="12"/>
        <v>0</v>
      </c>
      <c r="AW105" s="1343">
        <f t="shared" si="13"/>
        <v>0</v>
      </c>
      <c r="AX105" s="1343">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6"/>
        <v>0</v>
      </c>
      <c r="BR105" s="32">
        <f t="shared" si="33"/>
        <v>0</v>
      </c>
      <c r="BS105" s="32">
        <f t="shared" si="34"/>
        <v>0</v>
      </c>
      <c r="BT105" s="40">
        <f t="shared" si="35"/>
        <v>0</v>
      </c>
    </row>
    <row r="106" spans="1:72">
      <c r="A106" s="6"/>
      <c r="B106" s="31"/>
      <c r="C106" s="31"/>
      <c r="D106" s="1630"/>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31"/>
      <c r="AV106" s="1343">
        <f t="shared" si="12"/>
        <v>0</v>
      </c>
      <c r="AW106" s="1343">
        <f t="shared" si="13"/>
        <v>0</v>
      </c>
      <c r="AX106" s="1343">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6"/>
        <v>0</v>
      </c>
      <c r="BR106" s="32">
        <f t="shared" si="33"/>
        <v>0</v>
      </c>
      <c r="BS106" s="32">
        <f t="shared" si="34"/>
        <v>0</v>
      </c>
      <c r="BT106" s="40">
        <f t="shared" si="35"/>
        <v>0</v>
      </c>
    </row>
    <row r="107" spans="1:72">
      <c r="A107" s="6"/>
      <c r="B107" s="31"/>
      <c r="C107" s="31"/>
      <c r="D107" s="1630"/>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31"/>
      <c r="AV107" s="1343">
        <f t="shared" si="12"/>
        <v>0</v>
      </c>
      <c r="AW107" s="1343">
        <f t="shared" si="13"/>
        <v>0</v>
      </c>
      <c r="AX107" s="1343">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6"/>
        <v>0</v>
      </c>
      <c r="BR107" s="32">
        <f t="shared" si="33"/>
        <v>0</v>
      </c>
      <c r="BS107" s="32">
        <f t="shared" si="34"/>
        <v>0</v>
      </c>
      <c r="BT107" s="40">
        <f t="shared" si="35"/>
        <v>0</v>
      </c>
    </row>
    <row r="108" spans="1:72">
      <c r="A108" s="6"/>
      <c r="B108" s="31"/>
      <c r="C108" s="31"/>
      <c r="D108" s="1630"/>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31"/>
      <c r="AV108" s="1343">
        <f t="shared" si="12"/>
        <v>0</v>
      </c>
      <c r="AW108" s="1343">
        <f t="shared" si="13"/>
        <v>0</v>
      </c>
      <c r="AX108" s="1343">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6"/>
        <v>0</v>
      </c>
      <c r="BR108" s="32">
        <f t="shared" si="33"/>
        <v>0</v>
      </c>
      <c r="BS108" s="32">
        <f t="shared" si="34"/>
        <v>0</v>
      </c>
      <c r="BT108" s="40">
        <f t="shared" si="35"/>
        <v>0</v>
      </c>
    </row>
    <row r="109" spans="1:72">
      <c r="A109" s="6"/>
      <c r="B109" s="31"/>
      <c r="C109" s="31"/>
      <c r="D109" s="1630"/>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31"/>
      <c r="AV109" s="1343">
        <f t="shared" si="12"/>
        <v>0</v>
      </c>
      <c r="AW109" s="1343">
        <f t="shared" si="13"/>
        <v>0</v>
      </c>
      <c r="AX109" s="1343">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6"/>
        <v>0</v>
      </c>
      <c r="BR109" s="32">
        <f t="shared" si="33"/>
        <v>0</v>
      </c>
      <c r="BS109" s="32">
        <f t="shared" si="34"/>
        <v>0</v>
      </c>
      <c r="BT109" s="40">
        <f t="shared" si="35"/>
        <v>0</v>
      </c>
    </row>
    <row r="110" spans="1:72">
      <c r="A110" s="6"/>
      <c r="B110" s="6"/>
      <c r="C110" s="6"/>
      <c r="D110" s="1630"/>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2"/>
        <v>0</v>
      </c>
      <c r="AW110" s="1343">
        <f t="shared" si="13"/>
        <v>0</v>
      </c>
      <c r="AX110" s="1343">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30"/>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71"/>
      <c r="AV111" s="1343">
        <f t="shared" si="12"/>
        <v>0</v>
      </c>
      <c r="AW111" s="1343">
        <f t="shared" si="13"/>
        <v>0</v>
      </c>
      <c r="AX111" s="1343">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30"/>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71"/>
      <c r="AV112" s="1343">
        <f t="shared" si="12"/>
        <v>0</v>
      </c>
      <c r="AW112" s="1343">
        <f t="shared" si="13"/>
        <v>0</v>
      </c>
      <c r="AX112" s="1343">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30"/>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3">A113</f>
        <v>0</v>
      </c>
      <c r="AW113" s="1343">
        <f t="shared" ref="AW113:AW144" si="64">B113</f>
        <v>0</v>
      </c>
      <c r="AX113" s="1343">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30"/>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31"/>
      <c r="AV114" s="1343">
        <f t="shared" si="63"/>
        <v>0</v>
      </c>
      <c r="AW114" s="1343">
        <f t="shared" si="64"/>
        <v>0</v>
      </c>
      <c r="AX114" s="1343">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30"/>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31"/>
      <c r="AV115" s="1343">
        <f t="shared" si="63"/>
        <v>0</v>
      </c>
      <c r="AW115" s="1343">
        <f t="shared" si="64"/>
        <v>0</v>
      </c>
      <c r="AX115" s="1343">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30"/>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31"/>
      <c r="AV116" s="1343">
        <f t="shared" si="63"/>
        <v>0</v>
      </c>
      <c r="AW116" s="1343">
        <f t="shared" si="64"/>
        <v>0</v>
      </c>
      <c r="AX116" s="1343">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30"/>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31"/>
      <c r="AV117" s="1343">
        <f t="shared" si="63"/>
        <v>0</v>
      </c>
      <c r="AW117" s="1343">
        <f t="shared" si="64"/>
        <v>0</v>
      </c>
      <c r="AX117" s="1343">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30"/>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31"/>
      <c r="AV118" s="1343">
        <f t="shared" si="63"/>
        <v>0</v>
      </c>
      <c r="AW118" s="1343">
        <f t="shared" si="64"/>
        <v>0</v>
      </c>
      <c r="AX118" s="1343">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30"/>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31"/>
      <c r="AV119" s="1343">
        <f t="shared" si="63"/>
        <v>0</v>
      </c>
      <c r="AW119" s="1343">
        <f t="shared" si="64"/>
        <v>0</v>
      </c>
      <c r="AX119" s="1343">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30"/>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31"/>
      <c r="AV120" s="1343">
        <f t="shared" si="63"/>
        <v>0</v>
      </c>
      <c r="AW120" s="1343">
        <f t="shared" si="64"/>
        <v>0</v>
      </c>
      <c r="AX120" s="1343">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30"/>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31"/>
      <c r="AV121" s="1343">
        <f t="shared" si="63"/>
        <v>0</v>
      </c>
      <c r="AW121" s="1343">
        <f t="shared" si="64"/>
        <v>0</v>
      </c>
      <c r="AX121" s="1343">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30"/>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31"/>
      <c r="AV122" s="1343">
        <f t="shared" si="63"/>
        <v>0</v>
      </c>
      <c r="AW122" s="1343">
        <f t="shared" si="64"/>
        <v>0</v>
      </c>
      <c r="AX122" s="1343">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30"/>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31"/>
      <c r="AV123" s="1343">
        <f t="shared" si="63"/>
        <v>0</v>
      </c>
      <c r="AW123" s="1343">
        <f t="shared" si="64"/>
        <v>0</v>
      </c>
      <c r="AX123" s="1343">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30"/>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31"/>
      <c r="AV124" s="1343">
        <f t="shared" si="63"/>
        <v>0</v>
      </c>
      <c r="AW124" s="1343">
        <f t="shared" si="64"/>
        <v>0</v>
      </c>
      <c r="AX124" s="1343">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30"/>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31"/>
      <c r="AV125" s="1343">
        <f t="shared" si="63"/>
        <v>0</v>
      </c>
      <c r="AW125" s="1343">
        <f t="shared" si="64"/>
        <v>0</v>
      </c>
      <c r="AX125" s="1343">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30"/>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31"/>
      <c r="AV126" s="1343">
        <f t="shared" si="63"/>
        <v>0</v>
      </c>
      <c r="AW126" s="1343">
        <f t="shared" si="64"/>
        <v>0</v>
      </c>
      <c r="AX126" s="1343">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30"/>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31"/>
      <c r="AV127" s="1343">
        <f t="shared" si="63"/>
        <v>0</v>
      </c>
      <c r="AW127" s="1343">
        <f t="shared" si="64"/>
        <v>0</v>
      </c>
      <c r="AX127" s="1343">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30"/>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31"/>
      <c r="AV128" s="1343">
        <f t="shared" si="63"/>
        <v>0</v>
      </c>
      <c r="AW128" s="1343">
        <f t="shared" si="64"/>
        <v>0</v>
      </c>
      <c r="AX128" s="1343">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30"/>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31"/>
      <c r="AV129" s="1343">
        <f t="shared" si="63"/>
        <v>0</v>
      </c>
      <c r="AW129" s="1343">
        <f t="shared" si="64"/>
        <v>0</v>
      </c>
      <c r="AX129" s="1343">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30"/>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31"/>
      <c r="AV130" s="1343">
        <f t="shared" si="63"/>
        <v>0</v>
      </c>
      <c r="AW130" s="1343">
        <f t="shared" si="64"/>
        <v>0</v>
      </c>
      <c r="AX130" s="1343">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30"/>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31"/>
      <c r="AV131" s="1343">
        <f t="shared" si="63"/>
        <v>0</v>
      </c>
      <c r="AW131" s="1343">
        <f t="shared" si="64"/>
        <v>0</v>
      </c>
      <c r="AX131" s="1343">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30"/>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31"/>
      <c r="AV132" s="1343">
        <f t="shared" si="63"/>
        <v>0</v>
      </c>
      <c r="AW132" s="1343">
        <f t="shared" si="64"/>
        <v>0</v>
      </c>
      <c r="AX132" s="1343">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30"/>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31"/>
      <c r="AV133" s="1343">
        <f t="shared" si="63"/>
        <v>0</v>
      </c>
      <c r="AW133" s="1343">
        <f t="shared" si="64"/>
        <v>0</v>
      </c>
      <c r="AX133" s="1343">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30"/>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31"/>
      <c r="AV134" s="1343">
        <f t="shared" si="63"/>
        <v>0</v>
      </c>
      <c r="AW134" s="1343">
        <f t="shared" si="64"/>
        <v>0</v>
      </c>
      <c r="AX134" s="1343">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30"/>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31"/>
      <c r="AV135" s="1343">
        <f t="shared" si="63"/>
        <v>0</v>
      </c>
      <c r="AW135" s="1343">
        <f t="shared" si="64"/>
        <v>0</v>
      </c>
      <c r="AX135" s="1343">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30"/>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31"/>
      <c r="AV136" s="1343">
        <f t="shared" si="63"/>
        <v>0</v>
      </c>
      <c r="AW136" s="1343">
        <f t="shared" si="64"/>
        <v>0</v>
      </c>
      <c r="AX136" s="1343">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30"/>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31"/>
      <c r="AV137" s="1343">
        <f t="shared" si="63"/>
        <v>0</v>
      </c>
      <c r="AW137" s="1343">
        <f t="shared" si="64"/>
        <v>0</v>
      </c>
      <c r="AX137" s="1343">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30"/>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31"/>
      <c r="AV138" s="1343">
        <f t="shared" si="63"/>
        <v>0</v>
      </c>
      <c r="AW138" s="1343">
        <f t="shared" si="64"/>
        <v>0</v>
      </c>
      <c r="AX138" s="1343">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30"/>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31"/>
      <c r="AV139" s="1343">
        <f t="shared" si="63"/>
        <v>0</v>
      </c>
      <c r="AW139" s="1343">
        <f t="shared" si="64"/>
        <v>0</v>
      </c>
      <c r="AX139" s="1343">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30"/>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31"/>
      <c r="AV140" s="1343">
        <f t="shared" si="63"/>
        <v>0</v>
      </c>
      <c r="AW140" s="1343">
        <f t="shared" si="64"/>
        <v>0</v>
      </c>
      <c r="AX140" s="1343">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30"/>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31"/>
      <c r="AV141" s="1343">
        <f t="shared" si="63"/>
        <v>0</v>
      </c>
      <c r="AW141" s="1343">
        <f t="shared" si="64"/>
        <v>0</v>
      </c>
      <c r="AX141" s="1343">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30"/>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3"/>
        <v>0</v>
      </c>
      <c r="AW142" s="1343">
        <f t="shared" si="64"/>
        <v>0</v>
      </c>
      <c r="AX142" s="1343">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30"/>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31"/>
      <c r="AV143" s="1343">
        <f t="shared" si="63"/>
        <v>0</v>
      </c>
      <c r="AW143" s="1343">
        <f t="shared" si="64"/>
        <v>0</v>
      </c>
      <c r="AX143" s="1343">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30"/>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31"/>
      <c r="AV144" s="1343">
        <f t="shared" si="63"/>
        <v>0</v>
      </c>
      <c r="AW144" s="1343">
        <f t="shared" si="64"/>
        <v>0</v>
      </c>
      <c r="AX144" s="1343">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30"/>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2">A145</f>
        <v>0</v>
      </c>
      <c r="AW145" s="1343">
        <f t="shared" ref="AW145:AW176" si="93">B145</f>
        <v>0</v>
      </c>
      <c r="AX145" s="1343">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30"/>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31"/>
      <c r="AV146" s="1343">
        <f t="shared" si="92"/>
        <v>0</v>
      </c>
      <c r="AW146" s="1343">
        <f t="shared" si="93"/>
        <v>0</v>
      </c>
      <c r="AX146" s="1343">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30"/>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31"/>
      <c r="AV147" s="1343">
        <f t="shared" si="92"/>
        <v>0</v>
      </c>
      <c r="AW147" s="1343">
        <f t="shared" si="93"/>
        <v>0</v>
      </c>
      <c r="AX147" s="1343">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30"/>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31"/>
      <c r="AV148" s="1343">
        <f t="shared" si="92"/>
        <v>0</v>
      </c>
      <c r="AW148" s="1343">
        <f t="shared" si="93"/>
        <v>0</v>
      </c>
      <c r="AX148" s="1343">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30"/>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31"/>
      <c r="AV149" s="1343">
        <f t="shared" si="92"/>
        <v>0</v>
      </c>
      <c r="AW149" s="1343">
        <f t="shared" si="93"/>
        <v>0</v>
      </c>
      <c r="AX149" s="1343">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30"/>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31"/>
      <c r="AV150" s="1343">
        <f t="shared" si="92"/>
        <v>0</v>
      </c>
      <c r="AW150" s="1343">
        <f t="shared" si="93"/>
        <v>0</v>
      </c>
      <c r="AX150" s="1343">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30"/>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31"/>
      <c r="AV151" s="1343">
        <f t="shared" si="92"/>
        <v>0</v>
      </c>
      <c r="AW151" s="1343">
        <f t="shared" si="93"/>
        <v>0</v>
      </c>
      <c r="AX151" s="1343">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30"/>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31"/>
      <c r="AV152" s="1343">
        <f t="shared" si="92"/>
        <v>0</v>
      </c>
      <c r="AW152" s="1343">
        <f t="shared" si="93"/>
        <v>0</v>
      </c>
      <c r="AX152" s="1343">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30"/>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31"/>
      <c r="AV153" s="1343">
        <f t="shared" si="92"/>
        <v>0</v>
      </c>
      <c r="AW153" s="1343">
        <f t="shared" si="93"/>
        <v>0</v>
      </c>
      <c r="AX153" s="1343">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30"/>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31"/>
      <c r="AV154" s="1343">
        <f t="shared" si="92"/>
        <v>0</v>
      </c>
      <c r="AW154" s="1343">
        <f t="shared" si="93"/>
        <v>0</v>
      </c>
      <c r="AX154" s="1343">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30"/>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31"/>
      <c r="AV155" s="1343">
        <f t="shared" si="92"/>
        <v>0</v>
      </c>
      <c r="AW155" s="1343">
        <f t="shared" si="93"/>
        <v>0</v>
      </c>
      <c r="AX155" s="1343">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30"/>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31"/>
      <c r="AV156" s="1343">
        <f t="shared" si="92"/>
        <v>0</v>
      </c>
      <c r="AW156" s="1343">
        <f t="shared" si="93"/>
        <v>0</v>
      </c>
      <c r="AX156" s="1343">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30"/>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31"/>
      <c r="AV157" s="1343">
        <f t="shared" si="92"/>
        <v>0</v>
      </c>
      <c r="AW157" s="1343">
        <f t="shared" si="93"/>
        <v>0</v>
      </c>
      <c r="AX157" s="1343">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30"/>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31"/>
      <c r="AV158" s="1343">
        <f t="shared" si="92"/>
        <v>0</v>
      </c>
      <c r="AW158" s="1343">
        <f t="shared" si="93"/>
        <v>0</v>
      </c>
      <c r="AX158" s="1343">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30"/>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31"/>
      <c r="AV159" s="1343">
        <f t="shared" si="92"/>
        <v>0</v>
      </c>
      <c r="AW159" s="1343">
        <f t="shared" si="93"/>
        <v>0</v>
      </c>
      <c r="AX159" s="1343">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30"/>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31"/>
      <c r="AV160" s="1343">
        <f t="shared" si="92"/>
        <v>0</v>
      </c>
      <c r="AW160" s="1343">
        <f t="shared" si="93"/>
        <v>0</v>
      </c>
      <c r="AX160" s="1343">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30"/>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31"/>
      <c r="AV161" s="1343">
        <f t="shared" si="92"/>
        <v>0</v>
      </c>
      <c r="AW161" s="1343">
        <f t="shared" si="93"/>
        <v>0</v>
      </c>
      <c r="AX161" s="1343">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30"/>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31"/>
      <c r="AV162" s="1343">
        <f t="shared" si="92"/>
        <v>0</v>
      </c>
      <c r="AW162" s="1343">
        <f t="shared" si="93"/>
        <v>0</v>
      </c>
      <c r="AX162" s="1343">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30"/>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31"/>
      <c r="AV163" s="1343">
        <f t="shared" si="92"/>
        <v>0</v>
      </c>
      <c r="AW163" s="1343">
        <f t="shared" si="93"/>
        <v>0</v>
      </c>
      <c r="AX163" s="1343">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30"/>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31"/>
      <c r="AV164" s="1343">
        <f t="shared" si="92"/>
        <v>0</v>
      </c>
      <c r="AW164" s="1343">
        <f t="shared" si="93"/>
        <v>0</v>
      </c>
      <c r="AX164" s="1343">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30"/>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31"/>
      <c r="AV165" s="1343">
        <f t="shared" si="92"/>
        <v>0</v>
      </c>
      <c r="AW165" s="1343">
        <f t="shared" si="93"/>
        <v>0</v>
      </c>
      <c r="AX165" s="1343">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30"/>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31"/>
      <c r="AV166" s="1343">
        <f t="shared" si="92"/>
        <v>0</v>
      </c>
      <c r="AW166" s="1343">
        <f t="shared" si="93"/>
        <v>0</v>
      </c>
      <c r="AX166" s="1343">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30"/>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31"/>
      <c r="AV167" s="1343">
        <f t="shared" si="92"/>
        <v>0</v>
      </c>
      <c r="AW167" s="1343">
        <f t="shared" si="93"/>
        <v>0</v>
      </c>
      <c r="AX167" s="1343">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30"/>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31"/>
      <c r="AV168" s="1343">
        <f t="shared" si="92"/>
        <v>0</v>
      </c>
      <c r="AW168" s="1343">
        <f t="shared" si="93"/>
        <v>0</v>
      </c>
      <c r="AX168" s="1343">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30"/>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31"/>
      <c r="AV169" s="1343">
        <f t="shared" si="92"/>
        <v>0</v>
      </c>
      <c r="AW169" s="1343">
        <f t="shared" si="93"/>
        <v>0</v>
      </c>
      <c r="AX169" s="1343">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30"/>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31"/>
      <c r="AV170" s="1343">
        <f t="shared" si="92"/>
        <v>0</v>
      </c>
      <c r="AW170" s="1343">
        <f t="shared" si="93"/>
        <v>0</v>
      </c>
      <c r="AX170" s="1343">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30"/>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31"/>
      <c r="AV171" s="1343">
        <f t="shared" si="92"/>
        <v>0</v>
      </c>
      <c r="AW171" s="1343">
        <f t="shared" si="93"/>
        <v>0</v>
      </c>
      <c r="AX171" s="1343">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30"/>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31"/>
      <c r="AV172" s="1343">
        <f t="shared" si="92"/>
        <v>0</v>
      </c>
      <c r="AW172" s="1343">
        <f t="shared" si="93"/>
        <v>0</v>
      </c>
      <c r="AX172" s="1343">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30"/>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31"/>
      <c r="AV173" s="1343">
        <f t="shared" si="92"/>
        <v>0</v>
      </c>
      <c r="AW173" s="1343">
        <f t="shared" si="93"/>
        <v>0</v>
      </c>
      <c r="AX173" s="1343">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30"/>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2"/>
        <v>0</v>
      </c>
      <c r="AW174" s="1343">
        <f t="shared" si="93"/>
        <v>0</v>
      </c>
      <c r="AX174" s="1343">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30"/>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31"/>
      <c r="AV175" s="1343">
        <f t="shared" si="92"/>
        <v>0</v>
      </c>
      <c r="AW175" s="1343">
        <f t="shared" si="93"/>
        <v>0</v>
      </c>
      <c r="AX175" s="1343">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30"/>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31"/>
      <c r="AV176" s="1343">
        <f t="shared" si="92"/>
        <v>0</v>
      </c>
      <c r="AW176" s="1343">
        <f t="shared" si="93"/>
        <v>0</v>
      </c>
      <c r="AX176" s="1343">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30"/>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1">A177</f>
        <v>0</v>
      </c>
      <c r="AW177" s="1343">
        <f t="shared" ref="AW177:AW207" si="122">B177</f>
        <v>0</v>
      </c>
      <c r="AX177" s="1343">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30"/>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31"/>
      <c r="AV178" s="1343">
        <f t="shared" si="121"/>
        <v>0</v>
      </c>
      <c r="AW178" s="1343">
        <f t="shared" si="122"/>
        <v>0</v>
      </c>
      <c r="AX178" s="1343">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30"/>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31"/>
      <c r="AV179" s="1343">
        <f t="shared" si="121"/>
        <v>0</v>
      </c>
      <c r="AW179" s="1343">
        <f t="shared" si="122"/>
        <v>0</v>
      </c>
      <c r="AX179" s="1343">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30"/>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31"/>
      <c r="AV180" s="1343">
        <f t="shared" si="121"/>
        <v>0</v>
      </c>
      <c r="AW180" s="1343">
        <f t="shared" si="122"/>
        <v>0</v>
      </c>
      <c r="AX180" s="1343">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30"/>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31"/>
      <c r="AV181" s="1343">
        <f t="shared" si="121"/>
        <v>0</v>
      </c>
      <c r="AW181" s="1343">
        <f t="shared" si="122"/>
        <v>0</v>
      </c>
      <c r="AX181" s="1343">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30"/>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31"/>
      <c r="AV182" s="1343">
        <f t="shared" si="121"/>
        <v>0</v>
      </c>
      <c r="AW182" s="1343">
        <f t="shared" si="122"/>
        <v>0</v>
      </c>
      <c r="AX182" s="1343">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30"/>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31"/>
      <c r="AV183" s="1343">
        <f t="shared" si="121"/>
        <v>0</v>
      </c>
      <c r="AW183" s="1343">
        <f t="shared" si="122"/>
        <v>0</v>
      </c>
      <c r="AX183" s="1343">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30"/>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31"/>
      <c r="AV184" s="1343">
        <f t="shared" si="121"/>
        <v>0</v>
      </c>
      <c r="AW184" s="1343">
        <f t="shared" si="122"/>
        <v>0</v>
      </c>
      <c r="AX184" s="1343">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30"/>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31"/>
      <c r="AV185" s="1343">
        <f t="shared" si="121"/>
        <v>0</v>
      </c>
      <c r="AW185" s="1343">
        <f t="shared" si="122"/>
        <v>0</v>
      </c>
      <c r="AX185" s="1343">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30"/>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31"/>
      <c r="AV186" s="1343">
        <f t="shared" si="121"/>
        <v>0</v>
      </c>
      <c r="AW186" s="1343">
        <f t="shared" si="122"/>
        <v>0</v>
      </c>
      <c r="AX186" s="1343">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30"/>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31"/>
      <c r="AV187" s="1343">
        <f t="shared" si="121"/>
        <v>0</v>
      </c>
      <c r="AW187" s="1343">
        <f t="shared" si="122"/>
        <v>0</v>
      </c>
      <c r="AX187" s="1343">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30"/>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31"/>
      <c r="AV188" s="1343">
        <f t="shared" si="121"/>
        <v>0</v>
      </c>
      <c r="AW188" s="1343">
        <f t="shared" si="122"/>
        <v>0</v>
      </c>
      <c r="AX188" s="1343">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30"/>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31"/>
      <c r="AV189" s="1343">
        <f t="shared" si="121"/>
        <v>0</v>
      </c>
      <c r="AW189" s="1343">
        <f t="shared" si="122"/>
        <v>0</v>
      </c>
      <c r="AX189" s="1343">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30"/>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31"/>
      <c r="AV190" s="1343">
        <f t="shared" si="121"/>
        <v>0</v>
      </c>
      <c r="AW190" s="1343">
        <f t="shared" si="122"/>
        <v>0</v>
      </c>
      <c r="AX190" s="1343">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30"/>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31"/>
      <c r="AV191" s="1343">
        <f t="shared" si="121"/>
        <v>0</v>
      </c>
      <c r="AW191" s="1343">
        <f t="shared" si="122"/>
        <v>0</v>
      </c>
      <c r="AX191" s="1343">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30"/>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31"/>
      <c r="AV192" s="1343">
        <f t="shared" si="121"/>
        <v>0</v>
      </c>
      <c r="AW192" s="1343">
        <f t="shared" si="122"/>
        <v>0</v>
      </c>
      <c r="AX192" s="1343">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30"/>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31"/>
      <c r="AV193" s="1343">
        <f t="shared" si="121"/>
        <v>0</v>
      </c>
      <c r="AW193" s="1343">
        <f t="shared" si="122"/>
        <v>0</v>
      </c>
      <c r="AX193" s="1343">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30"/>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31"/>
      <c r="AV194" s="1343">
        <f t="shared" si="121"/>
        <v>0</v>
      </c>
      <c r="AW194" s="1343">
        <f t="shared" si="122"/>
        <v>0</v>
      </c>
      <c r="AX194" s="1343">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30"/>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31"/>
      <c r="AV195" s="1343">
        <f t="shared" si="121"/>
        <v>0</v>
      </c>
      <c r="AW195" s="1343">
        <f t="shared" si="122"/>
        <v>0</v>
      </c>
      <c r="AX195" s="1343">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30"/>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31"/>
      <c r="AV196" s="1343">
        <f t="shared" si="121"/>
        <v>0</v>
      </c>
      <c r="AW196" s="1343">
        <f t="shared" si="122"/>
        <v>0</v>
      </c>
      <c r="AX196" s="1343">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30"/>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31"/>
      <c r="AV197" s="1343">
        <f t="shared" si="121"/>
        <v>0</v>
      </c>
      <c r="AW197" s="1343">
        <f t="shared" si="122"/>
        <v>0</v>
      </c>
      <c r="AX197" s="1343">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30"/>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31"/>
      <c r="AV198" s="1343">
        <f t="shared" si="121"/>
        <v>0</v>
      </c>
      <c r="AW198" s="1343">
        <f t="shared" si="122"/>
        <v>0</v>
      </c>
      <c r="AX198" s="1343">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30"/>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31"/>
      <c r="AV199" s="1343">
        <f t="shared" si="121"/>
        <v>0</v>
      </c>
      <c r="AW199" s="1343">
        <f t="shared" si="122"/>
        <v>0</v>
      </c>
      <c r="AX199" s="1343">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30"/>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31"/>
      <c r="AV200" s="1343">
        <f t="shared" si="121"/>
        <v>0</v>
      </c>
      <c r="AW200" s="1343">
        <f t="shared" si="122"/>
        <v>0</v>
      </c>
      <c r="AX200" s="1343">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30"/>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31"/>
      <c r="AV201" s="1343">
        <f t="shared" si="121"/>
        <v>0</v>
      </c>
      <c r="AW201" s="1343">
        <f t="shared" si="122"/>
        <v>0</v>
      </c>
      <c r="AX201" s="1343">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30"/>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31"/>
      <c r="AV202" s="1343">
        <f t="shared" si="121"/>
        <v>0</v>
      </c>
      <c r="AW202" s="1343">
        <f t="shared" si="122"/>
        <v>0</v>
      </c>
      <c r="AX202" s="1343">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30"/>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31"/>
      <c r="AV203" s="1343">
        <f t="shared" si="121"/>
        <v>0</v>
      </c>
      <c r="AW203" s="1343">
        <f t="shared" si="122"/>
        <v>0</v>
      </c>
      <c r="AX203" s="1343">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30"/>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31"/>
      <c r="AV204" s="1343">
        <f t="shared" si="121"/>
        <v>0</v>
      </c>
      <c r="AW204" s="1343">
        <f t="shared" si="122"/>
        <v>0</v>
      </c>
      <c r="AX204" s="1343">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30"/>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71"/>
      <c r="AV205" s="1343">
        <f t="shared" si="121"/>
        <v>0</v>
      </c>
      <c r="AW205" s="1343">
        <f t="shared" si="122"/>
        <v>0</v>
      </c>
      <c r="AX205" s="1343">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30"/>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1"/>
        <v>0</v>
      </c>
      <c r="AW206" s="1343">
        <f t="shared" si="122"/>
        <v>0</v>
      </c>
      <c r="AX206" s="1343">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30"/>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1"/>
        <v>0</v>
      </c>
      <c r="AW207" s="1343">
        <f t="shared" si="122"/>
        <v>0</v>
      </c>
      <c r="AX207" s="1343">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30"/>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8">A208</f>
        <v>0</v>
      </c>
      <c r="AW208" s="1343">
        <f t="shared" ref="AW208:AW302" si="129">B208</f>
        <v>0</v>
      </c>
      <c r="AX208" s="1343">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30"/>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31"/>
      <c r="AV209" s="1343">
        <f t="shared" si="128"/>
        <v>0</v>
      </c>
      <c r="AW209" s="1343">
        <f t="shared" si="129"/>
        <v>0</v>
      </c>
      <c r="AX209" s="1343">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30"/>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31"/>
      <c r="AV210" s="1343">
        <f t="shared" si="128"/>
        <v>0</v>
      </c>
      <c r="AW210" s="1343">
        <f t="shared" si="129"/>
        <v>0</v>
      </c>
      <c r="AX210" s="1343">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30"/>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31"/>
      <c r="AV211" s="1343">
        <f t="shared" si="128"/>
        <v>0</v>
      </c>
      <c r="AW211" s="1343">
        <f t="shared" si="129"/>
        <v>0</v>
      </c>
      <c r="AX211" s="1343">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30"/>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31"/>
      <c r="AV212" s="1343">
        <f t="shared" si="128"/>
        <v>0</v>
      </c>
      <c r="AW212" s="1343">
        <f t="shared" si="129"/>
        <v>0</v>
      </c>
      <c r="AX212" s="1343">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30"/>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31"/>
      <c r="AV213" s="1343">
        <f t="shared" si="128"/>
        <v>0</v>
      </c>
      <c r="AW213" s="1343">
        <f t="shared" si="129"/>
        <v>0</v>
      </c>
      <c r="AX213" s="1343">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30"/>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31"/>
      <c r="AV214" s="1343">
        <f t="shared" si="128"/>
        <v>0</v>
      </c>
      <c r="AW214" s="1343">
        <f t="shared" si="129"/>
        <v>0</v>
      </c>
      <c r="AX214" s="1343">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30"/>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31"/>
      <c r="AV215" s="1343">
        <f t="shared" si="128"/>
        <v>0</v>
      </c>
      <c r="AW215" s="1343">
        <f t="shared" si="129"/>
        <v>0</v>
      </c>
      <c r="AX215" s="1343">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30"/>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31"/>
      <c r="AV216" s="1343">
        <f t="shared" si="128"/>
        <v>0</v>
      </c>
      <c r="AW216" s="1343">
        <f t="shared" si="129"/>
        <v>0</v>
      </c>
      <c r="AX216" s="1343">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30"/>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31"/>
      <c r="AV217" s="1343">
        <f t="shared" si="128"/>
        <v>0</v>
      </c>
      <c r="AW217" s="1343">
        <f t="shared" si="129"/>
        <v>0</v>
      </c>
      <c r="AX217" s="1343">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30"/>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31"/>
      <c r="AV218" s="1343">
        <f t="shared" si="128"/>
        <v>0</v>
      </c>
      <c r="AW218" s="1343">
        <f t="shared" si="129"/>
        <v>0</v>
      </c>
      <c r="AX218" s="1343">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30"/>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31"/>
      <c r="AV219" s="1343">
        <f t="shared" si="128"/>
        <v>0</v>
      </c>
      <c r="AW219" s="1343">
        <f t="shared" si="129"/>
        <v>0</v>
      </c>
      <c r="AX219" s="1343">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30"/>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31"/>
      <c r="AV220" s="1343">
        <f t="shared" si="128"/>
        <v>0</v>
      </c>
      <c r="AW220" s="1343">
        <f t="shared" si="129"/>
        <v>0</v>
      </c>
      <c r="AX220" s="1343">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30"/>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31"/>
      <c r="AV221" s="1343">
        <f t="shared" si="128"/>
        <v>0</v>
      </c>
      <c r="AW221" s="1343">
        <f t="shared" si="129"/>
        <v>0</v>
      </c>
      <c r="AX221" s="1343">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30"/>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31"/>
      <c r="AV222" s="1343">
        <f t="shared" si="128"/>
        <v>0</v>
      </c>
      <c r="AW222" s="1343">
        <f t="shared" si="129"/>
        <v>0</v>
      </c>
      <c r="AX222" s="1343">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30"/>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31"/>
      <c r="AV223" s="1343">
        <f t="shared" si="128"/>
        <v>0</v>
      </c>
      <c r="AW223" s="1343">
        <f t="shared" si="129"/>
        <v>0</v>
      </c>
      <c r="AX223" s="1343">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30"/>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31"/>
      <c r="AV224" s="1343">
        <f t="shared" si="128"/>
        <v>0</v>
      </c>
      <c r="AW224" s="1343">
        <f t="shared" si="129"/>
        <v>0</v>
      </c>
      <c r="AX224" s="1343">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30"/>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31"/>
      <c r="AV225" s="1343">
        <f t="shared" si="128"/>
        <v>0</v>
      </c>
      <c r="AW225" s="1343">
        <f t="shared" si="129"/>
        <v>0</v>
      </c>
      <c r="AX225" s="1343">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30"/>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31"/>
      <c r="AV226" s="1343">
        <f t="shared" si="128"/>
        <v>0</v>
      </c>
      <c r="AW226" s="1343">
        <f t="shared" si="129"/>
        <v>0</v>
      </c>
      <c r="AX226" s="1343">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30"/>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31"/>
      <c r="AV227" s="1343">
        <f t="shared" si="128"/>
        <v>0</v>
      </c>
      <c r="AW227" s="1343">
        <f t="shared" si="129"/>
        <v>0</v>
      </c>
      <c r="AX227" s="1343">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30"/>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31"/>
      <c r="AV228" s="1343">
        <f t="shared" si="128"/>
        <v>0</v>
      </c>
      <c r="AW228" s="1343">
        <f t="shared" si="129"/>
        <v>0</v>
      </c>
      <c r="AX228" s="1343">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30"/>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31"/>
      <c r="AV229" s="1343">
        <f t="shared" si="128"/>
        <v>0</v>
      </c>
      <c r="AW229" s="1343">
        <f t="shared" si="129"/>
        <v>0</v>
      </c>
      <c r="AX229" s="1343">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30"/>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31"/>
      <c r="AV230" s="1343">
        <f t="shared" si="128"/>
        <v>0</v>
      </c>
      <c r="AW230" s="1343">
        <f t="shared" si="129"/>
        <v>0</v>
      </c>
      <c r="AX230" s="1343">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30"/>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31"/>
      <c r="AV231" s="1343">
        <f t="shared" si="128"/>
        <v>0</v>
      </c>
      <c r="AW231" s="1343">
        <f t="shared" si="129"/>
        <v>0</v>
      </c>
      <c r="AX231" s="1343">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30"/>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31"/>
      <c r="AV232" s="1343">
        <f t="shared" si="128"/>
        <v>0</v>
      </c>
      <c r="AW232" s="1343">
        <f t="shared" si="129"/>
        <v>0</v>
      </c>
      <c r="AX232" s="1343">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30"/>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31"/>
      <c r="AV233" s="1343">
        <f t="shared" si="128"/>
        <v>0</v>
      </c>
      <c r="AW233" s="1343">
        <f t="shared" si="129"/>
        <v>0</v>
      </c>
      <c r="AX233" s="1343">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30"/>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31"/>
      <c r="AV234" s="1343">
        <f t="shared" si="128"/>
        <v>0</v>
      </c>
      <c r="AW234" s="1343">
        <f t="shared" si="129"/>
        <v>0</v>
      </c>
      <c r="AX234" s="1343">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30"/>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31"/>
      <c r="AV235" s="1343">
        <f t="shared" si="128"/>
        <v>0</v>
      </c>
      <c r="AW235" s="1343">
        <f t="shared" si="129"/>
        <v>0</v>
      </c>
      <c r="AX235" s="1343">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30"/>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31"/>
      <c r="AV236" s="1343">
        <f t="shared" si="128"/>
        <v>0</v>
      </c>
      <c r="AW236" s="1343">
        <f t="shared" si="129"/>
        <v>0</v>
      </c>
      <c r="AX236" s="1343">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30"/>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31"/>
      <c r="AV237" s="1343">
        <f t="shared" si="128"/>
        <v>0</v>
      </c>
      <c r="AW237" s="1343">
        <f t="shared" si="129"/>
        <v>0</v>
      </c>
      <c r="AX237" s="1343">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30"/>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31"/>
      <c r="AV238" s="1343">
        <f t="shared" si="128"/>
        <v>0</v>
      </c>
      <c r="AW238" s="1343">
        <f t="shared" si="129"/>
        <v>0</v>
      </c>
      <c r="AX238" s="1343">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30"/>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31"/>
      <c r="AV239" s="1343">
        <f t="shared" si="128"/>
        <v>0</v>
      </c>
      <c r="AW239" s="1343">
        <f t="shared" si="129"/>
        <v>0</v>
      </c>
      <c r="AX239" s="1343">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30"/>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31"/>
      <c r="AV240" s="1343">
        <f t="shared" si="128"/>
        <v>0</v>
      </c>
      <c r="AW240" s="1343">
        <f t="shared" si="129"/>
        <v>0</v>
      </c>
      <c r="AX240" s="1343">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30"/>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31"/>
      <c r="AV241" s="1343">
        <f t="shared" si="128"/>
        <v>0</v>
      </c>
      <c r="AW241" s="1343">
        <f t="shared" si="129"/>
        <v>0</v>
      </c>
      <c r="AX241" s="1343">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30"/>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31"/>
      <c r="AV242" s="1343">
        <f t="shared" si="128"/>
        <v>0</v>
      </c>
      <c r="AW242" s="1343">
        <f t="shared" si="129"/>
        <v>0</v>
      </c>
      <c r="AX242" s="1343">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30"/>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31"/>
      <c r="AV243" s="1343">
        <f t="shared" si="128"/>
        <v>0</v>
      </c>
      <c r="AW243" s="1343">
        <f t="shared" si="129"/>
        <v>0</v>
      </c>
      <c r="AX243" s="1343">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30"/>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31"/>
      <c r="AV244" s="1343">
        <f t="shared" si="128"/>
        <v>0</v>
      </c>
      <c r="AW244" s="1343">
        <f t="shared" si="129"/>
        <v>0</v>
      </c>
      <c r="AX244" s="1343">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30"/>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31"/>
      <c r="AV245" s="1343">
        <f t="shared" si="128"/>
        <v>0</v>
      </c>
      <c r="AW245" s="1343">
        <f t="shared" si="129"/>
        <v>0</v>
      </c>
      <c r="AX245" s="1343">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30"/>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31"/>
      <c r="AV246" s="1343">
        <f t="shared" si="128"/>
        <v>0</v>
      </c>
      <c r="AW246" s="1343">
        <f t="shared" si="129"/>
        <v>0</v>
      </c>
      <c r="AX246" s="1343">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30"/>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31"/>
      <c r="AV247" s="1343">
        <f t="shared" si="128"/>
        <v>0</v>
      </c>
      <c r="AW247" s="1343">
        <f t="shared" si="129"/>
        <v>0</v>
      </c>
      <c r="AX247" s="1343">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30"/>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31"/>
      <c r="AV248" s="1343">
        <f t="shared" si="128"/>
        <v>0</v>
      </c>
      <c r="AW248" s="1343">
        <f t="shared" si="129"/>
        <v>0</v>
      </c>
      <c r="AX248" s="1343">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30"/>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31"/>
      <c r="AV249" s="1343">
        <f t="shared" si="128"/>
        <v>0</v>
      </c>
      <c r="AW249" s="1343">
        <f t="shared" si="129"/>
        <v>0</v>
      </c>
      <c r="AX249" s="1343">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30"/>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31"/>
      <c r="AV250" s="1343">
        <f t="shared" si="128"/>
        <v>0</v>
      </c>
      <c r="AW250" s="1343">
        <f t="shared" si="129"/>
        <v>0</v>
      </c>
      <c r="AX250" s="1343">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30"/>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31"/>
      <c r="AV251" s="1343">
        <f t="shared" si="128"/>
        <v>0</v>
      </c>
      <c r="AW251" s="1343">
        <f t="shared" si="129"/>
        <v>0</v>
      </c>
      <c r="AX251" s="1343">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30"/>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31"/>
      <c r="AV252" s="1343">
        <f t="shared" si="128"/>
        <v>0</v>
      </c>
      <c r="AW252" s="1343">
        <f t="shared" si="129"/>
        <v>0</v>
      </c>
      <c r="AX252" s="1343">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30"/>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31"/>
      <c r="AV253" s="1343">
        <f t="shared" si="128"/>
        <v>0</v>
      </c>
      <c r="AW253" s="1343">
        <f t="shared" si="129"/>
        <v>0</v>
      </c>
      <c r="AX253" s="1343">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30"/>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31"/>
      <c r="AV254" s="1343">
        <f t="shared" si="128"/>
        <v>0</v>
      </c>
      <c r="AW254" s="1343">
        <f t="shared" si="129"/>
        <v>0</v>
      </c>
      <c r="AX254" s="1343">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30"/>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31"/>
      <c r="AV255" s="1343">
        <f t="shared" si="128"/>
        <v>0</v>
      </c>
      <c r="AW255" s="1343">
        <f t="shared" si="129"/>
        <v>0</v>
      </c>
      <c r="AX255" s="1343">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30"/>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31"/>
      <c r="AV256" s="1343">
        <f t="shared" si="128"/>
        <v>0</v>
      </c>
      <c r="AW256" s="1343">
        <f t="shared" si="129"/>
        <v>0</v>
      </c>
      <c r="AX256" s="1343">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30"/>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31"/>
      <c r="AV257" s="1343">
        <f t="shared" si="128"/>
        <v>0</v>
      </c>
      <c r="AW257" s="1343">
        <f t="shared" si="129"/>
        <v>0</v>
      </c>
      <c r="AX257" s="1343">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30"/>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31"/>
      <c r="AV258" s="1343">
        <f t="shared" si="128"/>
        <v>0</v>
      </c>
      <c r="AW258" s="1343">
        <f t="shared" si="129"/>
        <v>0</v>
      </c>
      <c r="AX258" s="1343">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30"/>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31"/>
      <c r="AV259" s="1343">
        <f t="shared" si="128"/>
        <v>0</v>
      </c>
      <c r="AW259" s="1343">
        <f t="shared" si="129"/>
        <v>0</v>
      </c>
      <c r="AX259" s="1343">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30"/>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31"/>
      <c r="AV260" s="1343">
        <f t="shared" si="128"/>
        <v>0</v>
      </c>
      <c r="AW260" s="1343">
        <f t="shared" si="129"/>
        <v>0</v>
      </c>
      <c r="AX260" s="1343">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30"/>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31"/>
      <c r="AV261" s="1343">
        <f t="shared" si="128"/>
        <v>0</v>
      </c>
      <c r="AW261" s="1343">
        <f t="shared" si="129"/>
        <v>0</v>
      </c>
      <c r="AX261" s="1343">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30"/>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31"/>
      <c r="AV262" s="1343">
        <f t="shared" si="128"/>
        <v>0</v>
      </c>
      <c r="AW262" s="1343">
        <f t="shared" si="129"/>
        <v>0</v>
      </c>
      <c r="AX262" s="1343">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30"/>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31"/>
      <c r="AV263" s="1343">
        <f t="shared" si="128"/>
        <v>0</v>
      </c>
      <c r="AW263" s="1343">
        <f t="shared" si="129"/>
        <v>0</v>
      </c>
      <c r="AX263" s="1343">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30"/>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31"/>
      <c r="AV264" s="1343">
        <f t="shared" si="128"/>
        <v>0</v>
      </c>
      <c r="AW264" s="1343">
        <f t="shared" si="129"/>
        <v>0</v>
      </c>
      <c r="AX264" s="1343">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30"/>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31"/>
      <c r="AV265" s="1343">
        <f t="shared" si="128"/>
        <v>0</v>
      </c>
      <c r="AW265" s="1343">
        <f t="shared" si="129"/>
        <v>0</v>
      </c>
      <c r="AX265" s="1343">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30"/>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31"/>
      <c r="AV266" s="1343">
        <f t="shared" si="128"/>
        <v>0</v>
      </c>
      <c r="AW266" s="1343">
        <f t="shared" si="129"/>
        <v>0</v>
      </c>
      <c r="AX266" s="1343">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30"/>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31"/>
      <c r="AV267" s="1343">
        <f t="shared" si="128"/>
        <v>0</v>
      </c>
      <c r="AW267" s="1343">
        <f t="shared" si="129"/>
        <v>0</v>
      </c>
      <c r="AX267" s="1343">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30"/>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31"/>
      <c r="AV268" s="1343">
        <f t="shared" si="128"/>
        <v>0</v>
      </c>
      <c r="AW268" s="1343">
        <f t="shared" si="129"/>
        <v>0</v>
      </c>
      <c r="AX268" s="1343">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30"/>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31"/>
      <c r="AV269" s="1343">
        <f t="shared" si="128"/>
        <v>0</v>
      </c>
      <c r="AW269" s="1343">
        <f t="shared" si="129"/>
        <v>0</v>
      </c>
      <c r="AX269" s="1343">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30"/>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31"/>
      <c r="AV270" s="1343">
        <f t="shared" si="128"/>
        <v>0</v>
      </c>
      <c r="AW270" s="1343">
        <f t="shared" si="129"/>
        <v>0</v>
      </c>
      <c r="AX270" s="1343">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30"/>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31"/>
      <c r="AV271" s="1343">
        <f t="shared" si="128"/>
        <v>0</v>
      </c>
      <c r="AW271" s="1343">
        <f t="shared" si="129"/>
        <v>0</v>
      </c>
      <c r="AX271" s="1343">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30"/>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31"/>
      <c r="AV272" s="1343">
        <f t="shared" si="128"/>
        <v>0</v>
      </c>
      <c r="AW272" s="1343">
        <f t="shared" si="129"/>
        <v>0</v>
      </c>
      <c r="AX272" s="1343">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30"/>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31"/>
      <c r="AV273" s="1343">
        <f t="shared" si="128"/>
        <v>0</v>
      </c>
      <c r="AW273" s="1343">
        <f t="shared" si="129"/>
        <v>0</v>
      </c>
      <c r="AX273" s="1343">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30"/>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31"/>
      <c r="AV274" s="1343">
        <f t="shared" si="128"/>
        <v>0</v>
      </c>
      <c r="AW274" s="1343">
        <f t="shared" si="129"/>
        <v>0</v>
      </c>
      <c r="AX274" s="1343">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30"/>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31"/>
      <c r="AV275" s="1343">
        <f t="shared" si="128"/>
        <v>0</v>
      </c>
      <c r="AW275" s="1343">
        <f t="shared" si="129"/>
        <v>0</v>
      </c>
      <c r="AX275" s="1343">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30"/>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31"/>
      <c r="AV276" s="1343">
        <f t="shared" si="128"/>
        <v>0</v>
      </c>
      <c r="AW276" s="1343">
        <f t="shared" si="129"/>
        <v>0</v>
      </c>
      <c r="AX276" s="1343">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30"/>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31"/>
      <c r="AV277" s="1343">
        <f t="shared" si="128"/>
        <v>0</v>
      </c>
      <c r="AW277" s="1343">
        <f t="shared" si="129"/>
        <v>0</v>
      </c>
      <c r="AX277" s="1343">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30"/>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31"/>
      <c r="AV278" s="1343">
        <f t="shared" si="128"/>
        <v>0</v>
      </c>
      <c r="AW278" s="1343">
        <f t="shared" si="129"/>
        <v>0</v>
      </c>
      <c r="AX278" s="1343">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30"/>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31"/>
      <c r="AV279" s="1343">
        <f t="shared" si="128"/>
        <v>0</v>
      </c>
      <c r="AW279" s="1343">
        <f t="shared" si="129"/>
        <v>0</v>
      </c>
      <c r="AX279" s="1343">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30"/>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31"/>
      <c r="AV280" s="1343">
        <f t="shared" si="128"/>
        <v>0</v>
      </c>
      <c r="AW280" s="1343">
        <f t="shared" si="129"/>
        <v>0</v>
      </c>
      <c r="AX280" s="1343">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30"/>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31"/>
      <c r="AV281" s="1343">
        <f t="shared" si="128"/>
        <v>0</v>
      </c>
      <c r="AW281" s="1343">
        <f t="shared" si="129"/>
        <v>0</v>
      </c>
      <c r="AX281" s="1343">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30"/>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31"/>
      <c r="AV282" s="1343">
        <f t="shared" si="128"/>
        <v>0</v>
      </c>
      <c r="AW282" s="1343">
        <f t="shared" si="129"/>
        <v>0</v>
      </c>
      <c r="AX282" s="1343">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30"/>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31"/>
      <c r="AV283" s="1343">
        <f t="shared" si="128"/>
        <v>0</v>
      </c>
      <c r="AW283" s="1343">
        <f t="shared" si="129"/>
        <v>0</v>
      </c>
      <c r="AX283" s="1343">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30"/>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31"/>
      <c r="AV284" s="1343">
        <f t="shared" si="128"/>
        <v>0</v>
      </c>
      <c r="AW284" s="1343">
        <f t="shared" si="129"/>
        <v>0</v>
      </c>
      <c r="AX284" s="1343">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30"/>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31"/>
      <c r="AV285" s="1343">
        <f t="shared" si="128"/>
        <v>0</v>
      </c>
      <c r="AW285" s="1343">
        <f t="shared" si="129"/>
        <v>0</v>
      </c>
      <c r="AX285" s="1343">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30"/>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31"/>
      <c r="AV286" s="1343">
        <f t="shared" si="128"/>
        <v>0</v>
      </c>
      <c r="AW286" s="1343">
        <f t="shared" si="129"/>
        <v>0</v>
      </c>
      <c r="AX286" s="1343">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30"/>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31"/>
      <c r="AV287" s="1343">
        <f t="shared" si="128"/>
        <v>0</v>
      </c>
      <c r="AW287" s="1343">
        <f t="shared" si="129"/>
        <v>0</v>
      </c>
      <c r="AX287" s="1343">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30"/>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31"/>
      <c r="AV288" s="1343">
        <f t="shared" si="128"/>
        <v>0</v>
      </c>
      <c r="AW288" s="1343">
        <f t="shared" si="129"/>
        <v>0</v>
      </c>
      <c r="AX288" s="1343">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30"/>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31"/>
      <c r="AV289" s="1343">
        <f t="shared" si="128"/>
        <v>0</v>
      </c>
      <c r="AW289" s="1343">
        <f t="shared" si="129"/>
        <v>0</v>
      </c>
      <c r="AX289" s="1343">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30"/>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31"/>
      <c r="AV290" s="1343">
        <f t="shared" si="128"/>
        <v>0</v>
      </c>
      <c r="AW290" s="1343">
        <f t="shared" si="129"/>
        <v>0</v>
      </c>
      <c r="AX290" s="1343">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30"/>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31"/>
      <c r="AV291" s="1343">
        <f t="shared" si="128"/>
        <v>0</v>
      </c>
      <c r="AW291" s="1343">
        <f t="shared" si="129"/>
        <v>0</v>
      </c>
      <c r="AX291" s="1343">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30"/>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31"/>
      <c r="AV292" s="1343">
        <f t="shared" si="128"/>
        <v>0</v>
      </c>
      <c r="AW292" s="1343">
        <f t="shared" si="129"/>
        <v>0</v>
      </c>
      <c r="AX292" s="1343">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30"/>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31"/>
      <c r="AV293" s="1343">
        <f t="shared" si="128"/>
        <v>0</v>
      </c>
      <c r="AW293" s="1343">
        <f t="shared" si="129"/>
        <v>0</v>
      </c>
      <c r="AX293" s="1343">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30"/>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31"/>
      <c r="AV294" s="1343">
        <f t="shared" si="128"/>
        <v>0</v>
      </c>
      <c r="AW294" s="1343">
        <f t="shared" si="129"/>
        <v>0</v>
      </c>
      <c r="AX294" s="1343">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30"/>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31"/>
      <c r="AV295" s="1343">
        <f t="shared" si="128"/>
        <v>0</v>
      </c>
      <c r="AW295" s="1343">
        <f t="shared" si="129"/>
        <v>0</v>
      </c>
      <c r="AX295" s="1343">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30"/>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31"/>
      <c r="AV296" s="1343">
        <f t="shared" si="128"/>
        <v>0</v>
      </c>
      <c r="AW296" s="1343">
        <f t="shared" si="129"/>
        <v>0</v>
      </c>
      <c r="AX296" s="1343">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30"/>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31"/>
      <c r="AV297" s="1343">
        <f t="shared" si="128"/>
        <v>0</v>
      </c>
      <c r="AW297" s="1343">
        <f t="shared" si="129"/>
        <v>0</v>
      </c>
      <c r="AX297" s="1343">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30"/>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31"/>
      <c r="AV298" s="1343">
        <f t="shared" si="128"/>
        <v>0</v>
      </c>
      <c r="AW298" s="1343">
        <f t="shared" si="129"/>
        <v>0</v>
      </c>
      <c r="AX298" s="1343">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30"/>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31"/>
      <c r="AV299" s="1343">
        <f t="shared" si="128"/>
        <v>0</v>
      </c>
      <c r="AW299" s="1343">
        <f t="shared" si="129"/>
        <v>0</v>
      </c>
      <c r="AX299" s="1343">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30"/>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8"/>
        <v>0</v>
      </c>
      <c r="AW300" s="1343">
        <f t="shared" si="129"/>
        <v>0</v>
      </c>
      <c r="AX300" s="1343">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30"/>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71"/>
      <c r="AV301" s="1343">
        <f t="shared" si="128"/>
        <v>0</v>
      </c>
      <c r="AW301" s="1343">
        <f t="shared" si="129"/>
        <v>0</v>
      </c>
      <c r="AX301" s="1343">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30"/>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71"/>
      <c r="AV302" s="1343">
        <f t="shared" si="128"/>
        <v>0</v>
      </c>
      <c r="AW302" s="1343">
        <f t="shared" si="129"/>
        <v>0</v>
      </c>
      <c r="AX302" s="1343">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30"/>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9">A303</f>
        <v>0</v>
      </c>
      <c r="AW303" s="1343">
        <f t="shared" ref="AW303:AW334" si="180">B303</f>
        <v>0</v>
      </c>
      <c r="AX303" s="1343">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30"/>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31"/>
      <c r="AV304" s="1343">
        <f t="shared" si="179"/>
        <v>0</v>
      </c>
      <c r="AW304" s="1343">
        <f t="shared" si="180"/>
        <v>0</v>
      </c>
      <c r="AX304" s="1343">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30"/>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31"/>
      <c r="AV305" s="1343">
        <f t="shared" si="179"/>
        <v>0</v>
      </c>
      <c r="AW305" s="1343">
        <f t="shared" si="180"/>
        <v>0</v>
      </c>
      <c r="AX305" s="1343">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30"/>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31"/>
      <c r="AV306" s="1343">
        <f t="shared" si="179"/>
        <v>0</v>
      </c>
      <c r="AW306" s="1343">
        <f t="shared" si="180"/>
        <v>0</v>
      </c>
      <c r="AX306" s="1343">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30"/>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31"/>
      <c r="AV307" s="1343">
        <f t="shared" si="179"/>
        <v>0</v>
      </c>
      <c r="AW307" s="1343">
        <f t="shared" si="180"/>
        <v>0</v>
      </c>
      <c r="AX307" s="1343">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30"/>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31"/>
      <c r="AV308" s="1343">
        <f t="shared" si="179"/>
        <v>0</v>
      </c>
      <c r="AW308" s="1343">
        <f t="shared" si="180"/>
        <v>0</v>
      </c>
      <c r="AX308" s="1343">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30"/>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31"/>
      <c r="AV309" s="1343">
        <f t="shared" si="179"/>
        <v>0</v>
      </c>
      <c r="AW309" s="1343">
        <f t="shared" si="180"/>
        <v>0</v>
      </c>
      <c r="AX309" s="1343">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30"/>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31"/>
      <c r="AV310" s="1343">
        <f t="shared" si="179"/>
        <v>0</v>
      </c>
      <c r="AW310" s="1343">
        <f t="shared" si="180"/>
        <v>0</v>
      </c>
      <c r="AX310" s="1343">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30"/>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31"/>
      <c r="AV311" s="1343">
        <f t="shared" si="179"/>
        <v>0</v>
      </c>
      <c r="AW311" s="1343">
        <f t="shared" si="180"/>
        <v>0</v>
      </c>
      <c r="AX311" s="1343">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30"/>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31"/>
      <c r="AV312" s="1343">
        <f t="shared" si="179"/>
        <v>0</v>
      </c>
      <c r="AW312" s="1343">
        <f t="shared" si="180"/>
        <v>0</v>
      </c>
      <c r="AX312" s="1343">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30"/>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31"/>
      <c r="AV313" s="1343">
        <f t="shared" si="179"/>
        <v>0</v>
      </c>
      <c r="AW313" s="1343">
        <f t="shared" si="180"/>
        <v>0</v>
      </c>
      <c r="AX313" s="1343">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30"/>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31"/>
      <c r="AV314" s="1343">
        <f t="shared" si="179"/>
        <v>0</v>
      </c>
      <c r="AW314" s="1343">
        <f t="shared" si="180"/>
        <v>0</v>
      </c>
      <c r="AX314" s="1343">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30"/>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31"/>
      <c r="AV315" s="1343">
        <f t="shared" si="179"/>
        <v>0</v>
      </c>
      <c r="AW315" s="1343">
        <f t="shared" si="180"/>
        <v>0</v>
      </c>
      <c r="AX315" s="1343">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30"/>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31"/>
      <c r="AV316" s="1343">
        <f t="shared" si="179"/>
        <v>0</v>
      </c>
      <c r="AW316" s="1343">
        <f t="shared" si="180"/>
        <v>0</v>
      </c>
      <c r="AX316" s="1343">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30"/>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31"/>
      <c r="AV317" s="1343">
        <f t="shared" si="179"/>
        <v>0</v>
      </c>
      <c r="AW317" s="1343">
        <f t="shared" si="180"/>
        <v>0</v>
      </c>
      <c r="AX317" s="1343">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30"/>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31"/>
      <c r="AV318" s="1343">
        <f t="shared" si="179"/>
        <v>0</v>
      </c>
      <c r="AW318" s="1343">
        <f t="shared" si="180"/>
        <v>0</v>
      </c>
      <c r="AX318" s="1343">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30"/>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31"/>
      <c r="AV319" s="1343">
        <f t="shared" si="179"/>
        <v>0</v>
      </c>
      <c r="AW319" s="1343">
        <f t="shared" si="180"/>
        <v>0</v>
      </c>
      <c r="AX319" s="1343">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30"/>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31"/>
      <c r="AV320" s="1343">
        <f t="shared" si="179"/>
        <v>0</v>
      </c>
      <c r="AW320" s="1343">
        <f t="shared" si="180"/>
        <v>0</v>
      </c>
      <c r="AX320" s="1343">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30"/>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31"/>
      <c r="AV321" s="1343">
        <f t="shared" si="179"/>
        <v>0</v>
      </c>
      <c r="AW321" s="1343">
        <f t="shared" si="180"/>
        <v>0</v>
      </c>
      <c r="AX321" s="1343">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30"/>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31"/>
      <c r="AV322" s="1343">
        <f t="shared" si="179"/>
        <v>0</v>
      </c>
      <c r="AW322" s="1343">
        <f t="shared" si="180"/>
        <v>0</v>
      </c>
      <c r="AX322" s="1343">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30"/>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31"/>
      <c r="AV323" s="1343">
        <f t="shared" si="179"/>
        <v>0</v>
      </c>
      <c r="AW323" s="1343">
        <f t="shared" si="180"/>
        <v>0</v>
      </c>
      <c r="AX323" s="1343">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30"/>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31"/>
      <c r="AV324" s="1343">
        <f t="shared" si="179"/>
        <v>0</v>
      </c>
      <c r="AW324" s="1343">
        <f t="shared" si="180"/>
        <v>0</v>
      </c>
      <c r="AX324" s="1343">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30"/>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31"/>
      <c r="AV325" s="1343">
        <f t="shared" si="179"/>
        <v>0</v>
      </c>
      <c r="AW325" s="1343">
        <f t="shared" si="180"/>
        <v>0</v>
      </c>
      <c r="AX325" s="1343">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30"/>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31"/>
      <c r="AV326" s="1343">
        <f t="shared" si="179"/>
        <v>0</v>
      </c>
      <c r="AW326" s="1343">
        <f t="shared" si="180"/>
        <v>0</v>
      </c>
      <c r="AX326" s="1343">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30"/>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31"/>
      <c r="AV327" s="1343">
        <f t="shared" si="179"/>
        <v>0</v>
      </c>
      <c r="AW327" s="1343">
        <f t="shared" si="180"/>
        <v>0</v>
      </c>
      <c r="AX327" s="1343">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30"/>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31"/>
      <c r="AV328" s="1343">
        <f t="shared" si="179"/>
        <v>0</v>
      </c>
      <c r="AW328" s="1343">
        <f t="shared" si="180"/>
        <v>0</v>
      </c>
      <c r="AX328" s="1343">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30"/>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31"/>
      <c r="AV329" s="1343">
        <f t="shared" si="179"/>
        <v>0</v>
      </c>
      <c r="AW329" s="1343">
        <f t="shared" si="180"/>
        <v>0</v>
      </c>
      <c r="AX329" s="1343">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30"/>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31"/>
      <c r="AV330" s="1343">
        <f t="shared" si="179"/>
        <v>0</v>
      </c>
      <c r="AW330" s="1343">
        <f t="shared" si="180"/>
        <v>0</v>
      </c>
      <c r="AX330" s="1343">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30"/>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31"/>
      <c r="AV331" s="1343">
        <f t="shared" si="179"/>
        <v>0</v>
      </c>
      <c r="AW331" s="1343">
        <f t="shared" si="180"/>
        <v>0</v>
      </c>
      <c r="AX331" s="1343">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30"/>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9"/>
        <v>0</v>
      </c>
      <c r="AW332" s="1343">
        <f t="shared" si="180"/>
        <v>0</v>
      </c>
      <c r="AX332" s="1343">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30"/>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31"/>
      <c r="AV333" s="1343">
        <f t="shared" si="179"/>
        <v>0</v>
      </c>
      <c r="AW333" s="1343">
        <f t="shared" si="180"/>
        <v>0</v>
      </c>
      <c r="AX333" s="1343">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30"/>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31"/>
      <c r="AV334" s="1343">
        <f t="shared" si="179"/>
        <v>0</v>
      </c>
      <c r="AW334" s="1343">
        <f t="shared" si="180"/>
        <v>0</v>
      </c>
      <c r="AX334" s="1343">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30"/>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8">A335</f>
        <v>0</v>
      </c>
      <c r="AW335" s="1343">
        <f t="shared" ref="AW335:AW366" si="209">B335</f>
        <v>0</v>
      </c>
      <c r="AX335" s="1343">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30"/>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31"/>
      <c r="AV336" s="1343">
        <f t="shared" si="208"/>
        <v>0</v>
      </c>
      <c r="AW336" s="1343">
        <f t="shared" si="209"/>
        <v>0</v>
      </c>
      <c r="AX336" s="1343">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30"/>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31"/>
      <c r="AV337" s="1343">
        <f t="shared" si="208"/>
        <v>0</v>
      </c>
      <c r="AW337" s="1343">
        <f t="shared" si="209"/>
        <v>0</v>
      </c>
      <c r="AX337" s="1343">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30"/>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31"/>
      <c r="AV338" s="1343">
        <f t="shared" si="208"/>
        <v>0</v>
      </c>
      <c r="AW338" s="1343">
        <f t="shared" si="209"/>
        <v>0</v>
      </c>
      <c r="AX338" s="1343">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30"/>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31"/>
      <c r="AV339" s="1343">
        <f t="shared" si="208"/>
        <v>0</v>
      </c>
      <c r="AW339" s="1343">
        <f t="shared" si="209"/>
        <v>0</v>
      </c>
      <c r="AX339" s="1343">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30"/>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31"/>
      <c r="AV340" s="1343">
        <f t="shared" si="208"/>
        <v>0</v>
      </c>
      <c r="AW340" s="1343">
        <f t="shared" si="209"/>
        <v>0</v>
      </c>
      <c r="AX340" s="1343">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30"/>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31"/>
      <c r="AV341" s="1343">
        <f t="shared" si="208"/>
        <v>0</v>
      </c>
      <c r="AW341" s="1343">
        <f t="shared" si="209"/>
        <v>0</v>
      </c>
      <c r="AX341" s="1343">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30"/>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31"/>
      <c r="AV342" s="1343">
        <f t="shared" si="208"/>
        <v>0</v>
      </c>
      <c r="AW342" s="1343">
        <f t="shared" si="209"/>
        <v>0</v>
      </c>
      <c r="AX342" s="1343">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30"/>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31"/>
      <c r="AV343" s="1343">
        <f t="shared" si="208"/>
        <v>0</v>
      </c>
      <c r="AW343" s="1343">
        <f t="shared" si="209"/>
        <v>0</v>
      </c>
      <c r="AX343" s="1343">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30"/>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31"/>
      <c r="AV344" s="1343">
        <f t="shared" si="208"/>
        <v>0</v>
      </c>
      <c r="AW344" s="1343">
        <f t="shared" si="209"/>
        <v>0</v>
      </c>
      <c r="AX344" s="1343">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30"/>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31"/>
      <c r="AV345" s="1343">
        <f t="shared" si="208"/>
        <v>0</v>
      </c>
      <c r="AW345" s="1343">
        <f t="shared" si="209"/>
        <v>0</v>
      </c>
      <c r="AX345" s="1343">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30"/>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31"/>
      <c r="AV346" s="1343">
        <f t="shared" si="208"/>
        <v>0</v>
      </c>
      <c r="AW346" s="1343">
        <f t="shared" si="209"/>
        <v>0</v>
      </c>
      <c r="AX346" s="1343">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30"/>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31"/>
      <c r="AV347" s="1343">
        <f t="shared" si="208"/>
        <v>0</v>
      </c>
      <c r="AW347" s="1343">
        <f t="shared" si="209"/>
        <v>0</v>
      </c>
      <c r="AX347" s="1343">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30"/>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31"/>
      <c r="AV348" s="1343">
        <f t="shared" si="208"/>
        <v>0</v>
      </c>
      <c r="AW348" s="1343">
        <f t="shared" si="209"/>
        <v>0</v>
      </c>
      <c r="AX348" s="1343">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30"/>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31"/>
      <c r="AV349" s="1343">
        <f t="shared" si="208"/>
        <v>0</v>
      </c>
      <c r="AW349" s="1343">
        <f t="shared" si="209"/>
        <v>0</v>
      </c>
      <c r="AX349" s="1343">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30"/>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31"/>
      <c r="AV350" s="1343">
        <f t="shared" si="208"/>
        <v>0</v>
      </c>
      <c r="AW350" s="1343">
        <f t="shared" si="209"/>
        <v>0</v>
      </c>
      <c r="AX350" s="1343">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30"/>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31"/>
      <c r="AV351" s="1343">
        <f t="shared" si="208"/>
        <v>0</v>
      </c>
      <c r="AW351" s="1343">
        <f t="shared" si="209"/>
        <v>0</v>
      </c>
      <c r="AX351" s="1343">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30"/>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31"/>
      <c r="AV352" s="1343">
        <f t="shared" si="208"/>
        <v>0</v>
      </c>
      <c r="AW352" s="1343">
        <f t="shared" si="209"/>
        <v>0</v>
      </c>
      <c r="AX352" s="1343">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30"/>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31"/>
      <c r="AV353" s="1343">
        <f t="shared" si="208"/>
        <v>0</v>
      </c>
      <c r="AW353" s="1343">
        <f t="shared" si="209"/>
        <v>0</v>
      </c>
      <c r="AX353" s="1343">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30"/>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31"/>
      <c r="AV354" s="1343">
        <f t="shared" si="208"/>
        <v>0</v>
      </c>
      <c r="AW354" s="1343">
        <f t="shared" si="209"/>
        <v>0</v>
      </c>
      <c r="AX354" s="1343">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30"/>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31"/>
      <c r="AV355" s="1343">
        <f t="shared" si="208"/>
        <v>0</v>
      </c>
      <c r="AW355" s="1343">
        <f t="shared" si="209"/>
        <v>0</v>
      </c>
      <c r="AX355" s="1343">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30"/>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31"/>
      <c r="AV356" s="1343">
        <f t="shared" si="208"/>
        <v>0</v>
      </c>
      <c r="AW356" s="1343">
        <f t="shared" si="209"/>
        <v>0</v>
      </c>
      <c r="AX356" s="1343">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30"/>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31"/>
      <c r="AV357" s="1343">
        <f t="shared" si="208"/>
        <v>0</v>
      </c>
      <c r="AW357" s="1343">
        <f t="shared" si="209"/>
        <v>0</v>
      </c>
      <c r="AX357" s="1343">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30"/>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31"/>
      <c r="AV358" s="1343">
        <f t="shared" si="208"/>
        <v>0</v>
      </c>
      <c r="AW358" s="1343">
        <f t="shared" si="209"/>
        <v>0</v>
      </c>
      <c r="AX358" s="1343">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30"/>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31"/>
      <c r="AV359" s="1343">
        <f t="shared" si="208"/>
        <v>0</v>
      </c>
      <c r="AW359" s="1343">
        <f t="shared" si="209"/>
        <v>0</v>
      </c>
      <c r="AX359" s="1343">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30"/>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31"/>
      <c r="AV360" s="1343">
        <f t="shared" si="208"/>
        <v>0</v>
      </c>
      <c r="AW360" s="1343">
        <f t="shared" si="209"/>
        <v>0</v>
      </c>
      <c r="AX360" s="1343">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30"/>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31"/>
      <c r="AV361" s="1343">
        <f t="shared" si="208"/>
        <v>0</v>
      </c>
      <c r="AW361" s="1343">
        <f t="shared" si="209"/>
        <v>0</v>
      </c>
      <c r="AX361" s="1343">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30"/>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31"/>
      <c r="AV362" s="1343">
        <f t="shared" si="208"/>
        <v>0</v>
      </c>
      <c r="AW362" s="1343">
        <f t="shared" si="209"/>
        <v>0</v>
      </c>
      <c r="AX362" s="1343">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30"/>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31"/>
      <c r="AV363" s="1343">
        <f t="shared" si="208"/>
        <v>0</v>
      </c>
      <c r="AW363" s="1343">
        <f t="shared" si="209"/>
        <v>0</v>
      </c>
      <c r="AX363" s="1343">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30"/>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8"/>
        <v>0</v>
      </c>
      <c r="AW364" s="1343">
        <f t="shared" si="209"/>
        <v>0</v>
      </c>
      <c r="AX364" s="1343">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30"/>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31"/>
      <c r="AV365" s="1343">
        <f t="shared" si="208"/>
        <v>0</v>
      </c>
      <c r="AW365" s="1343">
        <f t="shared" si="209"/>
        <v>0</v>
      </c>
      <c r="AX365" s="1343">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30"/>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31"/>
      <c r="AV366" s="1343">
        <f t="shared" si="208"/>
        <v>0</v>
      </c>
      <c r="AW366" s="1343">
        <f t="shared" si="209"/>
        <v>0</v>
      </c>
      <c r="AX366" s="1343">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30"/>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7">A367</f>
        <v>0</v>
      </c>
      <c r="AW367" s="1343">
        <f t="shared" ref="AW367:AW397" si="238">B367</f>
        <v>0</v>
      </c>
      <c r="AX367" s="1343">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30"/>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31"/>
      <c r="AV368" s="1343">
        <f t="shared" si="237"/>
        <v>0</v>
      </c>
      <c r="AW368" s="1343">
        <f t="shared" si="238"/>
        <v>0</v>
      </c>
      <c r="AX368" s="1343">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30"/>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31"/>
      <c r="AV369" s="1343">
        <f t="shared" si="237"/>
        <v>0</v>
      </c>
      <c r="AW369" s="1343">
        <f t="shared" si="238"/>
        <v>0</v>
      </c>
      <c r="AX369" s="1343">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30"/>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31"/>
      <c r="AV370" s="1343">
        <f t="shared" si="237"/>
        <v>0</v>
      </c>
      <c r="AW370" s="1343">
        <f t="shared" si="238"/>
        <v>0</v>
      </c>
      <c r="AX370" s="1343">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30"/>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31"/>
      <c r="AV371" s="1343">
        <f t="shared" si="237"/>
        <v>0</v>
      </c>
      <c r="AW371" s="1343">
        <f t="shared" si="238"/>
        <v>0</v>
      </c>
      <c r="AX371" s="1343">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30"/>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31"/>
      <c r="AV372" s="1343">
        <f t="shared" si="237"/>
        <v>0</v>
      </c>
      <c r="AW372" s="1343">
        <f t="shared" si="238"/>
        <v>0</v>
      </c>
      <c r="AX372" s="1343">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30"/>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31"/>
      <c r="AV373" s="1343">
        <f t="shared" si="237"/>
        <v>0</v>
      </c>
      <c r="AW373" s="1343">
        <f t="shared" si="238"/>
        <v>0</v>
      </c>
      <c r="AX373" s="1343">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30"/>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31"/>
      <c r="AV374" s="1343">
        <f t="shared" si="237"/>
        <v>0</v>
      </c>
      <c r="AW374" s="1343">
        <f t="shared" si="238"/>
        <v>0</v>
      </c>
      <c r="AX374" s="1343">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30"/>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31"/>
      <c r="AV375" s="1343">
        <f t="shared" si="237"/>
        <v>0</v>
      </c>
      <c r="AW375" s="1343">
        <f t="shared" si="238"/>
        <v>0</v>
      </c>
      <c r="AX375" s="1343">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30"/>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31"/>
      <c r="AV376" s="1343">
        <f t="shared" si="237"/>
        <v>0</v>
      </c>
      <c r="AW376" s="1343">
        <f t="shared" si="238"/>
        <v>0</v>
      </c>
      <c r="AX376" s="1343">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30"/>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31"/>
      <c r="AV377" s="1343">
        <f t="shared" si="237"/>
        <v>0</v>
      </c>
      <c r="AW377" s="1343">
        <f t="shared" si="238"/>
        <v>0</v>
      </c>
      <c r="AX377" s="1343">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30"/>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31"/>
      <c r="AV378" s="1343">
        <f t="shared" si="237"/>
        <v>0</v>
      </c>
      <c r="AW378" s="1343">
        <f t="shared" si="238"/>
        <v>0</v>
      </c>
      <c r="AX378" s="1343">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30"/>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31"/>
      <c r="AV379" s="1343">
        <f t="shared" si="237"/>
        <v>0</v>
      </c>
      <c r="AW379" s="1343">
        <f t="shared" si="238"/>
        <v>0</v>
      </c>
      <c r="AX379" s="1343">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30"/>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31"/>
      <c r="AV380" s="1343">
        <f t="shared" si="237"/>
        <v>0</v>
      </c>
      <c r="AW380" s="1343">
        <f t="shared" si="238"/>
        <v>0</v>
      </c>
      <c r="AX380" s="1343">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30"/>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31"/>
      <c r="AV381" s="1343">
        <f t="shared" si="237"/>
        <v>0</v>
      </c>
      <c r="AW381" s="1343">
        <f t="shared" si="238"/>
        <v>0</v>
      </c>
      <c r="AX381" s="1343">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30"/>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31"/>
      <c r="AV382" s="1343">
        <f t="shared" si="237"/>
        <v>0</v>
      </c>
      <c r="AW382" s="1343">
        <f t="shared" si="238"/>
        <v>0</v>
      </c>
      <c r="AX382" s="1343">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30"/>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31"/>
      <c r="AV383" s="1343">
        <f t="shared" si="237"/>
        <v>0</v>
      </c>
      <c r="AW383" s="1343">
        <f t="shared" si="238"/>
        <v>0</v>
      </c>
      <c r="AX383" s="1343">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30"/>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31"/>
      <c r="AV384" s="1343">
        <f t="shared" si="237"/>
        <v>0</v>
      </c>
      <c r="AW384" s="1343">
        <f t="shared" si="238"/>
        <v>0</v>
      </c>
      <c r="AX384" s="1343">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30"/>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31"/>
      <c r="AV385" s="1343">
        <f t="shared" si="237"/>
        <v>0</v>
      </c>
      <c r="AW385" s="1343">
        <f t="shared" si="238"/>
        <v>0</v>
      </c>
      <c r="AX385" s="1343">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30"/>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31"/>
      <c r="AV386" s="1343">
        <f t="shared" si="237"/>
        <v>0</v>
      </c>
      <c r="AW386" s="1343">
        <f t="shared" si="238"/>
        <v>0</v>
      </c>
      <c r="AX386" s="1343">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30"/>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31"/>
      <c r="AV387" s="1343">
        <f t="shared" si="237"/>
        <v>0</v>
      </c>
      <c r="AW387" s="1343">
        <f t="shared" si="238"/>
        <v>0</v>
      </c>
      <c r="AX387" s="1343">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30"/>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31"/>
      <c r="AV388" s="1343">
        <f t="shared" si="237"/>
        <v>0</v>
      </c>
      <c r="AW388" s="1343">
        <f t="shared" si="238"/>
        <v>0</v>
      </c>
      <c r="AX388" s="1343">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30"/>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31"/>
      <c r="AV389" s="1343">
        <f t="shared" si="237"/>
        <v>0</v>
      </c>
      <c r="AW389" s="1343">
        <f t="shared" si="238"/>
        <v>0</v>
      </c>
      <c r="AX389" s="1343">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30"/>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31"/>
      <c r="AV390" s="1343">
        <f t="shared" si="237"/>
        <v>0</v>
      </c>
      <c r="AW390" s="1343">
        <f t="shared" si="238"/>
        <v>0</v>
      </c>
      <c r="AX390" s="1343">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30"/>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31"/>
      <c r="AV391" s="1343">
        <f t="shared" si="237"/>
        <v>0</v>
      </c>
      <c r="AW391" s="1343">
        <f t="shared" si="238"/>
        <v>0</v>
      </c>
      <c r="AX391" s="1343">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30"/>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31"/>
      <c r="AV392" s="1343">
        <f t="shared" si="237"/>
        <v>0</v>
      </c>
      <c r="AW392" s="1343">
        <f t="shared" si="238"/>
        <v>0</v>
      </c>
      <c r="AX392" s="1343">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30"/>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31"/>
      <c r="AV393" s="1343">
        <f t="shared" si="237"/>
        <v>0</v>
      </c>
      <c r="AW393" s="1343">
        <f t="shared" si="238"/>
        <v>0</v>
      </c>
      <c r="AX393" s="1343">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30"/>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31"/>
      <c r="AV394" s="1343">
        <f t="shared" si="237"/>
        <v>0</v>
      </c>
      <c r="AW394" s="1343">
        <f t="shared" si="238"/>
        <v>0</v>
      </c>
      <c r="AX394" s="1343">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30"/>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71"/>
      <c r="AV395" s="1343">
        <f t="shared" si="237"/>
        <v>0</v>
      </c>
      <c r="AW395" s="1343">
        <f t="shared" si="238"/>
        <v>0</v>
      </c>
      <c r="AX395" s="1343">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30"/>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7"/>
        <v>0</v>
      </c>
      <c r="AW396" s="1343">
        <f t="shared" si="238"/>
        <v>0</v>
      </c>
      <c r="AX396" s="1343">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30"/>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7"/>
        <v>0</v>
      </c>
      <c r="AW397" s="1343">
        <f t="shared" si="238"/>
        <v>0</v>
      </c>
      <c r="AX397" s="1343">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30"/>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4">A398</f>
        <v>0</v>
      </c>
      <c r="AW398" s="1343">
        <f t="shared" ref="AW398:AW492" si="245">B398</f>
        <v>0</v>
      </c>
      <c r="AX398" s="1343">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30"/>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31"/>
      <c r="AV399" s="1343">
        <f t="shared" si="244"/>
        <v>0</v>
      </c>
      <c r="AW399" s="1343">
        <f t="shared" si="245"/>
        <v>0</v>
      </c>
      <c r="AX399" s="1343">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30"/>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31"/>
      <c r="AV400" s="1343">
        <f t="shared" si="244"/>
        <v>0</v>
      </c>
      <c r="AW400" s="1343">
        <f t="shared" si="245"/>
        <v>0</v>
      </c>
      <c r="AX400" s="1343">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30"/>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31"/>
      <c r="AV401" s="1343">
        <f t="shared" si="244"/>
        <v>0</v>
      </c>
      <c r="AW401" s="1343">
        <f t="shared" si="245"/>
        <v>0</v>
      </c>
      <c r="AX401" s="1343">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30"/>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31"/>
      <c r="AV402" s="1343">
        <f t="shared" si="244"/>
        <v>0</v>
      </c>
      <c r="AW402" s="1343">
        <f t="shared" si="245"/>
        <v>0</v>
      </c>
      <c r="AX402" s="1343">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30"/>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31"/>
      <c r="AV403" s="1343">
        <f t="shared" si="244"/>
        <v>0</v>
      </c>
      <c r="AW403" s="1343">
        <f t="shared" si="245"/>
        <v>0</v>
      </c>
      <c r="AX403" s="1343">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30"/>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31"/>
      <c r="AV404" s="1343">
        <f t="shared" si="244"/>
        <v>0</v>
      </c>
      <c r="AW404" s="1343">
        <f t="shared" si="245"/>
        <v>0</v>
      </c>
      <c r="AX404" s="1343">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30"/>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31"/>
      <c r="AV405" s="1343">
        <f t="shared" si="244"/>
        <v>0</v>
      </c>
      <c r="AW405" s="1343">
        <f t="shared" si="245"/>
        <v>0</v>
      </c>
      <c r="AX405" s="1343">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30"/>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31"/>
      <c r="AV406" s="1343">
        <f t="shared" si="244"/>
        <v>0</v>
      </c>
      <c r="AW406" s="1343">
        <f t="shared" si="245"/>
        <v>0</v>
      </c>
      <c r="AX406" s="1343">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30"/>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31"/>
      <c r="AV407" s="1343">
        <f t="shared" si="244"/>
        <v>0</v>
      </c>
      <c r="AW407" s="1343">
        <f t="shared" si="245"/>
        <v>0</v>
      </c>
      <c r="AX407" s="1343">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30"/>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31"/>
      <c r="AV408" s="1343">
        <f t="shared" si="244"/>
        <v>0</v>
      </c>
      <c r="AW408" s="1343">
        <f t="shared" si="245"/>
        <v>0</v>
      </c>
      <c r="AX408" s="1343">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30"/>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31"/>
      <c r="AV409" s="1343">
        <f t="shared" si="244"/>
        <v>0</v>
      </c>
      <c r="AW409" s="1343">
        <f t="shared" si="245"/>
        <v>0</v>
      </c>
      <c r="AX409" s="1343">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30"/>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31"/>
      <c r="AV410" s="1343">
        <f t="shared" si="244"/>
        <v>0</v>
      </c>
      <c r="AW410" s="1343">
        <f t="shared" si="245"/>
        <v>0</v>
      </c>
      <c r="AX410" s="1343">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30"/>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31"/>
      <c r="AV411" s="1343">
        <f t="shared" si="244"/>
        <v>0</v>
      </c>
      <c r="AW411" s="1343">
        <f t="shared" si="245"/>
        <v>0</v>
      </c>
      <c r="AX411" s="1343">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30"/>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31"/>
      <c r="AV412" s="1343">
        <f t="shared" si="244"/>
        <v>0</v>
      </c>
      <c r="AW412" s="1343">
        <f t="shared" si="245"/>
        <v>0</v>
      </c>
      <c r="AX412" s="1343">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30"/>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31"/>
      <c r="AV413" s="1343">
        <f t="shared" si="244"/>
        <v>0</v>
      </c>
      <c r="AW413" s="1343">
        <f t="shared" si="245"/>
        <v>0</v>
      </c>
      <c r="AX413" s="1343">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30"/>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31"/>
      <c r="AV414" s="1343">
        <f t="shared" si="244"/>
        <v>0</v>
      </c>
      <c r="AW414" s="1343">
        <f t="shared" si="245"/>
        <v>0</v>
      </c>
      <c r="AX414" s="1343">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30"/>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31"/>
      <c r="AV415" s="1343">
        <f t="shared" si="244"/>
        <v>0</v>
      </c>
      <c r="AW415" s="1343">
        <f t="shared" si="245"/>
        <v>0</v>
      </c>
      <c r="AX415" s="1343">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30"/>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31"/>
      <c r="AV416" s="1343">
        <f t="shared" si="244"/>
        <v>0</v>
      </c>
      <c r="AW416" s="1343">
        <f t="shared" si="245"/>
        <v>0</v>
      </c>
      <c r="AX416" s="1343">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30"/>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31"/>
      <c r="AV417" s="1343">
        <f t="shared" si="244"/>
        <v>0</v>
      </c>
      <c r="AW417" s="1343">
        <f t="shared" si="245"/>
        <v>0</v>
      </c>
      <c r="AX417" s="1343">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30"/>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31"/>
      <c r="AV418" s="1343">
        <f t="shared" si="244"/>
        <v>0</v>
      </c>
      <c r="AW418" s="1343">
        <f t="shared" si="245"/>
        <v>0</v>
      </c>
      <c r="AX418" s="1343">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30"/>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31"/>
      <c r="AV419" s="1343">
        <f t="shared" si="244"/>
        <v>0</v>
      </c>
      <c r="AW419" s="1343">
        <f t="shared" si="245"/>
        <v>0</v>
      </c>
      <c r="AX419" s="1343">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30"/>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31"/>
      <c r="AV420" s="1343">
        <f t="shared" si="244"/>
        <v>0</v>
      </c>
      <c r="AW420" s="1343">
        <f t="shared" si="245"/>
        <v>0</v>
      </c>
      <c r="AX420" s="1343">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30"/>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31"/>
      <c r="AV421" s="1343">
        <f t="shared" si="244"/>
        <v>0</v>
      </c>
      <c r="AW421" s="1343">
        <f t="shared" si="245"/>
        <v>0</v>
      </c>
      <c r="AX421" s="1343">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30"/>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31"/>
      <c r="AV422" s="1343">
        <f t="shared" si="244"/>
        <v>0</v>
      </c>
      <c r="AW422" s="1343">
        <f t="shared" si="245"/>
        <v>0</v>
      </c>
      <c r="AX422" s="1343">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30"/>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31"/>
      <c r="AV423" s="1343">
        <f t="shared" si="244"/>
        <v>0</v>
      </c>
      <c r="AW423" s="1343">
        <f t="shared" si="245"/>
        <v>0</v>
      </c>
      <c r="AX423" s="1343">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30"/>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31"/>
      <c r="AV424" s="1343">
        <f t="shared" si="244"/>
        <v>0</v>
      </c>
      <c r="AW424" s="1343">
        <f t="shared" si="245"/>
        <v>0</v>
      </c>
      <c r="AX424" s="1343">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30"/>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31"/>
      <c r="AV425" s="1343">
        <f t="shared" si="244"/>
        <v>0</v>
      </c>
      <c r="AW425" s="1343">
        <f t="shared" si="245"/>
        <v>0</v>
      </c>
      <c r="AX425" s="1343">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30"/>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31"/>
      <c r="AV426" s="1343">
        <f t="shared" si="244"/>
        <v>0</v>
      </c>
      <c r="AW426" s="1343">
        <f t="shared" si="245"/>
        <v>0</v>
      </c>
      <c r="AX426" s="1343">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30"/>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31"/>
      <c r="AV427" s="1343">
        <f t="shared" si="244"/>
        <v>0</v>
      </c>
      <c r="AW427" s="1343">
        <f t="shared" si="245"/>
        <v>0</v>
      </c>
      <c r="AX427" s="1343">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30"/>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31"/>
      <c r="AV428" s="1343">
        <f t="shared" si="244"/>
        <v>0</v>
      </c>
      <c r="AW428" s="1343">
        <f t="shared" si="245"/>
        <v>0</v>
      </c>
      <c r="AX428" s="1343">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30"/>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31"/>
      <c r="AV429" s="1343">
        <f t="shared" si="244"/>
        <v>0</v>
      </c>
      <c r="AW429" s="1343">
        <f t="shared" si="245"/>
        <v>0</v>
      </c>
      <c r="AX429" s="1343">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30"/>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31"/>
      <c r="AV430" s="1343">
        <f t="shared" si="244"/>
        <v>0</v>
      </c>
      <c r="AW430" s="1343">
        <f t="shared" si="245"/>
        <v>0</v>
      </c>
      <c r="AX430" s="1343">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30"/>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31"/>
      <c r="AV431" s="1343">
        <f t="shared" si="244"/>
        <v>0</v>
      </c>
      <c r="AW431" s="1343">
        <f t="shared" si="245"/>
        <v>0</v>
      </c>
      <c r="AX431" s="1343">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30"/>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31"/>
      <c r="AV432" s="1343">
        <f t="shared" si="244"/>
        <v>0</v>
      </c>
      <c r="AW432" s="1343">
        <f t="shared" si="245"/>
        <v>0</v>
      </c>
      <c r="AX432" s="1343">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30"/>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31"/>
      <c r="AV433" s="1343">
        <f t="shared" si="244"/>
        <v>0</v>
      </c>
      <c r="AW433" s="1343">
        <f t="shared" si="245"/>
        <v>0</v>
      </c>
      <c r="AX433" s="1343">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30"/>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31"/>
      <c r="AV434" s="1343">
        <f t="shared" si="244"/>
        <v>0</v>
      </c>
      <c r="AW434" s="1343">
        <f t="shared" si="245"/>
        <v>0</v>
      </c>
      <c r="AX434" s="1343">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30"/>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31"/>
      <c r="AV435" s="1343">
        <f t="shared" si="244"/>
        <v>0</v>
      </c>
      <c r="AW435" s="1343">
        <f t="shared" si="245"/>
        <v>0</v>
      </c>
      <c r="AX435" s="1343">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30"/>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31"/>
      <c r="AV436" s="1343">
        <f t="shared" si="244"/>
        <v>0</v>
      </c>
      <c r="AW436" s="1343">
        <f t="shared" si="245"/>
        <v>0</v>
      </c>
      <c r="AX436" s="1343">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30"/>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31"/>
      <c r="AV437" s="1343">
        <f t="shared" si="244"/>
        <v>0</v>
      </c>
      <c r="AW437" s="1343">
        <f t="shared" si="245"/>
        <v>0</v>
      </c>
      <c r="AX437" s="1343">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30"/>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31"/>
      <c r="AV438" s="1343">
        <f t="shared" si="244"/>
        <v>0</v>
      </c>
      <c r="AW438" s="1343">
        <f t="shared" si="245"/>
        <v>0</v>
      </c>
      <c r="AX438" s="1343">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30"/>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31"/>
      <c r="AV439" s="1343">
        <f t="shared" si="244"/>
        <v>0</v>
      </c>
      <c r="AW439" s="1343">
        <f t="shared" si="245"/>
        <v>0</v>
      </c>
      <c r="AX439" s="1343">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30"/>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31"/>
      <c r="AV440" s="1343">
        <f t="shared" si="244"/>
        <v>0</v>
      </c>
      <c r="AW440" s="1343">
        <f t="shared" si="245"/>
        <v>0</v>
      </c>
      <c r="AX440" s="1343">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30"/>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31"/>
      <c r="AV441" s="1343">
        <f t="shared" si="244"/>
        <v>0</v>
      </c>
      <c r="AW441" s="1343">
        <f t="shared" si="245"/>
        <v>0</v>
      </c>
      <c r="AX441" s="1343">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30"/>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31"/>
      <c r="AV442" s="1343">
        <f t="shared" si="244"/>
        <v>0</v>
      </c>
      <c r="AW442" s="1343">
        <f t="shared" si="245"/>
        <v>0</v>
      </c>
      <c r="AX442" s="1343">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30"/>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31"/>
      <c r="AV443" s="1343">
        <f t="shared" si="244"/>
        <v>0</v>
      </c>
      <c r="AW443" s="1343">
        <f t="shared" si="245"/>
        <v>0</v>
      </c>
      <c r="AX443" s="1343">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30"/>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31"/>
      <c r="AV444" s="1343">
        <f t="shared" si="244"/>
        <v>0</v>
      </c>
      <c r="AW444" s="1343">
        <f t="shared" si="245"/>
        <v>0</v>
      </c>
      <c r="AX444" s="1343">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30"/>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31"/>
      <c r="AV445" s="1343">
        <f t="shared" si="244"/>
        <v>0</v>
      </c>
      <c r="AW445" s="1343">
        <f t="shared" si="245"/>
        <v>0</v>
      </c>
      <c r="AX445" s="1343">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30"/>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31"/>
      <c r="AV446" s="1343">
        <f t="shared" si="244"/>
        <v>0</v>
      </c>
      <c r="AW446" s="1343">
        <f t="shared" si="245"/>
        <v>0</v>
      </c>
      <c r="AX446" s="1343">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30"/>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31"/>
      <c r="AV447" s="1343">
        <f t="shared" si="244"/>
        <v>0</v>
      </c>
      <c r="AW447" s="1343">
        <f t="shared" si="245"/>
        <v>0</v>
      </c>
      <c r="AX447" s="1343">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30"/>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31"/>
      <c r="AV448" s="1343">
        <f t="shared" si="244"/>
        <v>0</v>
      </c>
      <c r="AW448" s="1343">
        <f t="shared" si="245"/>
        <v>0</v>
      </c>
      <c r="AX448" s="1343">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30"/>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31"/>
      <c r="AV449" s="1343">
        <f t="shared" si="244"/>
        <v>0</v>
      </c>
      <c r="AW449" s="1343">
        <f t="shared" si="245"/>
        <v>0</v>
      </c>
      <c r="AX449" s="1343">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30"/>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31"/>
      <c r="AV450" s="1343">
        <f t="shared" si="244"/>
        <v>0</v>
      </c>
      <c r="AW450" s="1343">
        <f t="shared" si="245"/>
        <v>0</v>
      </c>
      <c r="AX450" s="1343">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30"/>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31"/>
      <c r="AV451" s="1343">
        <f t="shared" si="244"/>
        <v>0</v>
      </c>
      <c r="AW451" s="1343">
        <f t="shared" si="245"/>
        <v>0</v>
      </c>
      <c r="AX451" s="1343">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30"/>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31"/>
      <c r="AV452" s="1343">
        <f t="shared" si="244"/>
        <v>0</v>
      </c>
      <c r="AW452" s="1343">
        <f t="shared" si="245"/>
        <v>0</v>
      </c>
      <c r="AX452" s="1343">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30"/>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31"/>
      <c r="AV453" s="1343">
        <f t="shared" si="244"/>
        <v>0</v>
      </c>
      <c r="AW453" s="1343">
        <f t="shared" si="245"/>
        <v>0</v>
      </c>
      <c r="AX453" s="1343">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30"/>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31"/>
      <c r="AV454" s="1343">
        <f t="shared" si="244"/>
        <v>0</v>
      </c>
      <c r="AW454" s="1343">
        <f t="shared" si="245"/>
        <v>0</v>
      </c>
      <c r="AX454" s="1343">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30"/>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31"/>
      <c r="AV455" s="1343">
        <f t="shared" si="244"/>
        <v>0</v>
      </c>
      <c r="AW455" s="1343">
        <f t="shared" si="245"/>
        <v>0</v>
      </c>
      <c r="AX455" s="1343">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30"/>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31"/>
      <c r="AV456" s="1343">
        <f t="shared" si="244"/>
        <v>0</v>
      </c>
      <c r="AW456" s="1343">
        <f t="shared" si="245"/>
        <v>0</v>
      </c>
      <c r="AX456" s="1343">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30"/>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31"/>
      <c r="AV457" s="1343">
        <f t="shared" si="244"/>
        <v>0</v>
      </c>
      <c r="AW457" s="1343">
        <f t="shared" si="245"/>
        <v>0</v>
      </c>
      <c r="AX457" s="1343">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30"/>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31"/>
      <c r="AV458" s="1343">
        <f t="shared" si="244"/>
        <v>0</v>
      </c>
      <c r="AW458" s="1343">
        <f t="shared" si="245"/>
        <v>0</v>
      </c>
      <c r="AX458" s="1343">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30"/>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31"/>
      <c r="AV459" s="1343">
        <f t="shared" si="244"/>
        <v>0</v>
      </c>
      <c r="AW459" s="1343">
        <f t="shared" si="245"/>
        <v>0</v>
      </c>
      <c r="AX459" s="1343">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30"/>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31"/>
      <c r="AV460" s="1343">
        <f t="shared" si="244"/>
        <v>0</v>
      </c>
      <c r="AW460" s="1343">
        <f t="shared" si="245"/>
        <v>0</v>
      </c>
      <c r="AX460" s="1343">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30"/>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31"/>
      <c r="AV461" s="1343">
        <f t="shared" si="244"/>
        <v>0</v>
      </c>
      <c r="AW461" s="1343">
        <f t="shared" si="245"/>
        <v>0</v>
      </c>
      <c r="AX461" s="1343">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30"/>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31"/>
      <c r="AV462" s="1343">
        <f t="shared" si="244"/>
        <v>0</v>
      </c>
      <c r="AW462" s="1343">
        <f t="shared" si="245"/>
        <v>0</v>
      </c>
      <c r="AX462" s="1343">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30"/>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31"/>
      <c r="AV463" s="1343">
        <f t="shared" si="244"/>
        <v>0</v>
      </c>
      <c r="AW463" s="1343">
        <f t="shared" si="245"/>
        <v>0</v>
      </c>
      <c r="AX463" s="1343">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30"/>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31"/>
      <c r="AV464" s="1343">
        <f t="shared" si="244"/>
        <v>0</v>
      </c>
      <c r="AW464" s="1343">
        <f t="shared" si="245"/>
        <v>0</v>
      </c>
      <c r="AX464" s="1343">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30"/>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31"/>
      <c r="AV465" s="1343">
        <f t="shared" si="244"/>
        <v>0</v>
      </c>
      <c r="AW465" s="1343">
        <f t="shared" si="245"/>
        <v>0</v>
      </c>
      <c r="AX465" s="1343">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30"/>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31"/>
      <c r="AV466" s="1343">
        <f t="shared" si="244"/>
        <v>0</v>
      </c>
      <c r="AW466" s="1343">
        <f t="shared" si="245"/>
        <v>0</v>
      </c>
      <c r="AX466" s="1343">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30"/>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31"/>
      <c r="AV467" s="1343">
        <f t="shared" si="244"/>
        <v>0</v>
      </c>
      <c r="AW467" s="1343">
        <f t="shared" si="245"/>
        <v>0</v>
      </c>
      <c r="AX467" s="1343">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30"/>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31"/>
      <c r="AV468" s="1343">
        <f t="shared" si="244"/>
        <v>0</v>
      </c>
      <c r="AW468" s="1343">
        <f t="shared" si="245"/>
        <v>0</v>
      </c>
      <c r="AX468" s="1343">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30"/>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31"/>
      <c r="AV469" s="1343">
        <f t="shared" si="244"/>
        <v>0</v>
      </c>
      <c r="AW469" s="1343">
        <f t="shared" si="245"/>
        <v>0</v>
      </c>
      <c r="AX469" s="1343">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30"/>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31"/>
      <c r="AV470" s="1343">
        <f t="shared" si="244"/>
        <v>0</v>
      </c>
      <c r="AW470" s="1343">
        <f t="shared" si="245"/>
        <v>0</v>
      </c>
      <c r="AX470" s="1343">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30"/>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31"/>
      <c r="AV471" s="1343">
        <f t="shared" si="244"/>
        <v>0</v>
      </c>
      <c r="AW471" s="1343">
        <f t="shared" si="245"/>
        <v>0</v>
      </c>
      <c r="AX471" s="1343">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30"/>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31"/>
      <c r="AV472" s="1343">
        <f t="shared" si="244"/>
        <v>0</v>
      </c>
      <c r="AW472" s="1343">
        <f t="shared" si="245"/>
        <v>0</v>
      </c>
      <c r="AX472" s="1343">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30"/>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31"/>
      <c r="AV473" s="1343">
        <f t="shared" si="244"/>
        <v>0</v>
      </c>
      <c r="AW473" s="1343">
        <f t="shared" si="245"/>
        <v>0</v>
      </c>
      <c r="AX473" s="1343">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30"/>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31"/>
      <c r="AV474" s="1343">
        <f t="shared" si="244"/>
        <v>0</v>
      </c>
      <c r="AW474" s="1343">
        <f t="shared" si="245"/>
        <v>0</v>
      </c>
      <c r="AX474" s="1343">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30"/>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31"/>
      <c r="AV475" s="1343">
        <f t="shared" si="244"/>
        <v>0</v>
      </c>
      <c r="AW475" s="1343">
        <f t="shared" si="245"/>
        <v>0</v>
      </c>
      <c r="AX475" s="1343">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30"/>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31"/>
      <c r="AV476" s="1343">
        <f t="shared" si="244"/>
        <v>0</v>
      </c>
      <c r="AW476" s="1343">
        <f t="shared" si="245"/>
        <v>0</v>
      </c>
      <c r="AX476" s="1343">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30"/>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31"/>
      <c r="AV477" s="1343">
        <f t="shared" si="244"/>
        <v>0</v>
      </c>
      <c r="AW477" s="1343">
        <f t="shared" si="245"/>
        <v>0</v>
      </c>
      <c r="AX477" s="1343">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30"/>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31"/>
      <c r="AV478" s="1343">
        <f t="shared" si="244"/>
        <v>0</v>
      </c>
      <c r="AW478" s="1343">
        <f t="shared" si="245"/>
        <v>0</v>
      </c>
      <c r="AX478" s="1343">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30"/>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31"/>
      <c r="AV479" s="1343">
        <f t="shared" si="244"/>
        <v>0</v>
      </c>
      <c r="AW479" s="1343">
        <f t="shared" si="245"/>
        <v>0</v>
      </c>
      <c r="AX479" s="1343">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30"/>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31"/>
      <c r="AV480" s="1343">
        <f t="shared" si="244"/>
        <v>0</v>
      </c>
      <c r="AW480" s="1343">
        <f t="shared" si="245"/>
        <v>0</v>
      </c>
      <c r="AX480" s="1343">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30"/>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31"/>
      <c r="AV481" s="1343">
        <f t="shared" si="244"/>
        <v>0</v>
      </c>
      <c r="AW481" s="1343">
        <f t="shared" si="245"/>
        <v>0</v>
      </c>
      <c r="AX481" s="1343">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30"/>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31"/>
      <c r="AV482" s="1343">
        <f t="shared" si="244"/>
        <v>0</v>
      </c>
      <c r="AW482" s="1343">
        <f t="shared" si="245"/>
        <v>0</v>
      </c>
      <c r="AX482" s="1343">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30"/>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31"/>
      <c r="AV483" s="1343">
        <f t="shared" si="244"/>
        <v>0</v>
      </c>
      <c r="AW483" s="1343">
        <f t="shared" si="245"/>
        <v>0</v>
      </c>
      <c r="AX483" s="1343">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30"/>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31"/>
      <c r="AV484" s="1343">
        <f t="shared" si="244"/>
        <v>0</v>
      </c>
      <c r="AW484" s="1343">
        <f t="shared" si="245"/>
        <v>0</v>
      </c>
      <c r="AX484" s="1343">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30"/>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31"/>
      <c r="AV485" s="1343">
        <f t="shared" si="244"/>
        <v>0</v>
      </c>
      <c r="AW485" s="1343">
        <f t="shared" si="245"/>
        <v>0</v>
      </c>
      <c r="AX485" s="1343">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30"/>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31"/>
      <c r="AV486" s="1343">
        <f t="shared" si="244"/>
        <v>0</v>
      </c>
      <c r="AW486" s="1343">
        <f t="shared" si="245"/>
        <v>0</v>
      </c>
      <c r="AX486" s="1343">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30"/>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31"/>
      <c r="AV487" s="1343">
        <f t="shared" si="244"/>
        <v>0</v>
      </c>
      <c r="AW487" s="1343">
        <f t="shared" si="245"/>
        <v>0</v>
      </c>
      <c r="AX487" s="1343">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30"/>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31"/>
      <c r="AV488" s="1343">
        <f t="shared" si="244"/>
        <v>0</v>
      </c>
      <c r="AW488" s="1343">
        <f t="shared" si="245"/>
        <v>0</v>
      </c>
      <c r="AX488" s="1343">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30"/>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31"/>
      <c r="AV489" s="1343">
        <f t="shared" si="244"/>
        <v>0</v>
      </c>
      <c r="AW489" s="1343">
        <f t="shared" si="245"/>
        <v>0</v>
      </c>
      <c r="AX489" s="1343">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30"/>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4"/>
        <v>0</v>
      </c>
      <c r="AW490" s="1343">
        <f t="shared" si="245"/>
        <v>0</v>
      </c>
      <c r="AX490" s="1343">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30"/>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71"/>
      <c r="AV491" s="1343">
        <f t="shared" si="244"/>
        <v>0</v>
      </c>
      <c r="AW491" s="1343">
        <f t="shared" si="245"/>
        <v>0</v>
      </c>
      <c r="AX491" s="1343">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30"/>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71"/>
      <c r="AV492" s="1343">
        <f t="shared" si="244"/>
        <v>0</v>
      </c>
      <c r="AW492" s="1343">
        <f t="shared" si="245"/>
        <v>0</v>
      </c>
      <c r="AX492" s="1343">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30"/>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5">A493</f>
        <v>0</v>
      </c>
      <c r="AW493" s="1343">
        <f t="shared" ref="AW493:AW520" si="296">B493</f>
        <v>0</v>
      </c>
      <c r="AX493" s="1343">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30"/>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31"/>
      <c r="AV494" s="1343">
        <f t="shared" si="295"/>
        <v>0</v>
      </c>
      <c r="AW494" s="1343">
        <f t="shared" si="296"/>
        <v>0</v>
      </c>
      <c r="AX494" s="1343">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30"/>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31"/>
      <c r="AV495" s="1343">
        <f t="shared" si="295"/>
        <v>0</v>
      </c>
      <c r="AW495" s="1343">
        <f t="shared" si="296"/>
        <v>0</v>
      </c>
      <c r="AX495" s="1343">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30"/>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31"/>
      <c r="AV496" s="1343">
        <f t="shared" si="295"/>
        <v>0</v>
      </c>
      <c r="AW496" s="1343">
        <f t="shared" si="296"/>
        <v>0</v>
      </c>
      <c r="AX496" s="1343">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30"/>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31"/>
      <c r="AV497" s="1343">
        <f t="shared" si="295"/>
        <v>0</v>
      </c>
      <c r="AW497" s="1343">
        <f t="shared" si="296"/>
        <v>0</v>
      </c>
      <c r="AX497" s="1343">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30"/>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31"/>
      <c r="AV498" s="1343">
        <f t="shared" si="295"/>
        <v>0</v>
      </c>
      <c r="AW498" s="1343">
        <f t="shared" si="296"/>
        <v>0</v>
      </c>
      <c r="AX498" s="1343">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30"/>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31"/>
      <c r="AV499" s="1343">
        <f t="shared" si="295"/>
        <v>0</v>
      </c>
      <c r="AW499" s="1343">
        <f t="shared" si="296"/>
        <v>0</v>
      </c>
      <c r="AX499" s="1343">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30"/>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31"/>
      <c r="AV500" s="1343">
        <f t="shared" si="295"/>
        <v>0</v>
      </c>
      <c r="AW500" s="1343">
        <f t="shared" si="296"/>
        <v>0</v>
      </c>
      <c r="AX500" s="1343">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30"/>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31"/>
      <c r="AV501" s="1343">
        <f t="shared" si="295"/>
        <v>0</v>
      </c>
      <c r="AW501" s="1343">
        <f t="shared" si="296"/>
        <v>0</v>
      </c>
      <c r="AX501" s="1343">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30"/>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31"/>
      <c r="AV502" s="1343">
        <f t="shared" si="295"/>
        <v>0</v>
      </c>
      <c r="AW502" s="1343">
        <f t="shared" si="296"/>
        <v>0</v>
      </c>
      <c r="AX502" s="1343">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30"/>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31"/>
      <c r="AV503" s="1343">
        <f t="shared" si="295"/>
        <v>0</v>
      </c>
      <c r="AW503" s="1343">
        <f t="shared" si="296"/>
        <v>0</v>
      </c>
      <c r="AX503" s="1343">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30"/>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31"/>
      <c r="AV504" s="1343">
        <f t="shared" si="295"/>
        <v>0</v>
      </c>
      <c r="AW504" s="1343">
        <f t="shared" si="296"/>
        <v>0</v>
      </c>
      <c r="AX504" s="1343">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30"/>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31"/>
      <c r="AV505" s="1343">
        <f t="shared" si="295"/>
        <v>0</v>
      </c>
      <c r="AW505" s="1343">
        <f t="shared" si="296"/>
        <v>0</v>
      </c>
      <c r="AX505" s="1343">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30"/>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31"/>
      <c r="AV506" s="1343">
        <f t="shared" si="295"/>
        <v>0</v>
      </c>
      <c r="AW506" s="1343">
        <f t="shared" si="296"/>
        <v>0</v>
      </c>
      <c r="AX506" s="1343">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30"/>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31"/>
      <c r="AV507" s="1343">
        <f t="shared" si="295"/>
        <v>0</v>
      </c>
      <c r="AW507" s="1343">
        <f t="shared" si="296"/>
        <v>0</v>
      </c>
      <c r="AX507" s="1343">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30"/>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31"/>
      <c r="AV508" s="1343">
        <f t="shared" si="295"/>
        <v>0</v>
      </c>
      <c r="AW508" s="1343">
        <f t="shared" si="296"/>
        <v>0</v>
      </c>
      <c r="AX508" s="1343">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30"/>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31"/>
      <c r="AV509" s="1343">
        <f t="shared" si="295"/>
        <v>0</v>
      </c>
      <c r="AW509" s="1343">
        <f t="shared" si="296"/>
        <v>0</v>
      </c>
      <c r="AX509" s="1343">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30"/>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31"/>
      <c r="AV510" s="1343">
        <f t="shared" si="295"/>
        <v>0</v>
      </c>
      <c r="AW510" s="1343">
        <f t="shared" si="296"/>
        <v>0</v>
      </c>
      <c r="AX510" s="1343">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30"/>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31"/>
      <c r="AV511" s="1343">
        <f t="shared" si="295"/>
        <v>0</v>
      </c>
      <c r="AW511" s="1343">
        <f t="shared" si="296"/>
        <v>0</v>
      </c>
      <c r="AX511" s="1343">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30"/>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31"/>
      <c r="AV512" s="1343">
        <f t="shared" si="295"/>
        <v>0</v>
      </c>
      <c r="AW512" s="1343">
        <f t="shared" si="296"/>
        <v>0</v>
      </c>
      <c r="AX512" s="1343">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30"/>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31"/>
      <c r="AV513" s="1343">
        <f t="shared" si="295"/>
        <v>0</v>
      </c>
      <c r="AW513" s="1343">
        <f t="shared" si="296"/>
        <v>0</v>
      </c>
      <c r="AX513" s="1343">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30"/>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31"/>
      <c r="AV514" s="1343">
        <f t="shared" si="295"/>
        <v>0</v>
      </c>
      <c r="AW514" s="1343">
        <f t="shared" si="296"/>
        <v>0</v>
      </c>
      <c r="AX514" s="1343">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30"/>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31"/>
      <c r="AV515" s="1343">
        <f t="shared" si="295"/>
        <v>0</v>
      </c>
      <c r="AW515" s="1343">
        <f t="shared" si="296"/>
        <v>0</v>
      </c>
      <c r="AX515" s="1343">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30"/>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31"/>
      <c r="AV516" s="1343">
        <f t="shared" si="295"/>
        <v>0</v>
      </c>
      <c r="AW516" s="1343">
        <f t="shared" si="296"/>
        <v>0</v>
      </c>
      <c r="AX516" s="1343">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30"/>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31"/>
      <c r="AV517" s="1343">
        <f t="shared" si="295"/>
        <v>0</v>
      </c>
      <c r="AW517" s="1343">
        <f t="shared" si="296"/>
        <v>0</v>
      </c>
      <c r="AX517" s="1343">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30"/>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31"/>
      <c r="AV518" s="1343">
        <f t="shared" si="295"/>
        <v>0</v>
      </c>
      <c r="AW518" s="1343">
        <f t="shared" si="296"/>
        <v>0</v>
      </c>
      <c r="AX518" s="1343">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30"/>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31"/>
      <c r="AV519" s="1343">
        <f t="shared" si="295"/>
        <v>0</v>
      </c>
      <c r="AW519" s="1343">
        <f t="shared" si="296"/>
        <v>0</v>
      </c>
      <c r="AX519" s="1343">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30"/>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31"/>
      <c r="AV520" s="1343">
        <f t="shared" si="295"/>
        <v>0</v>
      </c>
      <c r="AW520" s="1343">
        <f t="shared" si="296"/>
        <v>0</v>
      </c>
      <c r="AX520" s="1343">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30"/>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9">A521</f>
        <v>0</v>
      </c>
      <c r="AW521" s="1343">
        <f t="shared" ref="AW521:AW552" si="300">B521</f>
        <v>0</v>
      </c>
      <c r="AX521" s="1343">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30"/>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9"/>
        <v>0</v>
      </c>
      <c r="AW522" s="1343">
        <f t="shared" si="300"/>
        <v>0</v>
      </c>
      <c r="AX522" s="1343">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30"/>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31"/>
      <c r="AV523" s="1343">
        <f t="shared" si="299"/>
        <v>0</v>
      </c>
      <c r="AW523" s="1343">
        <f t="shared" si="300"/>
        <v>0</v>
      </c>
      <c r="AX523" s="1343">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30"/>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31"/>
      <c r="AV524" s="1343">
        <f t="shared" si="299"/>
        <v>0</v>
      </c>
      <c r="AW524" s="1343">
        <f t="shared" si="300"/>
        <v>0</v>
      </c>
      <c r="AX524" s="1343">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30"/>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31"/>
      <c r="AV525" s="1343">
        <f t="shared" si="299"/>
        <v>0</v>
      </c>
      <c r="AW525" s="1343">
        <f t="shared" si="300"/>
        <v>0</v>
      </c>
      <c r="AX525" s="1343">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30"/>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31"/>
      <c r="AV526" s="1343">
        <f t="shared" si="299"/>
        <v>0</v>
      </c>
      <c r="AW526" s="1343">
        <f t="shared" si="300"/>
        <v>0</v>
      </c>
      <c r="AX526" s="1343">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30"/>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31"/>
      <c r="AV527" s="1343">
        <f t="shared" si="299"/>
        <v>0</v>
      </c>
      <c r="AW527" s="1343">
        <f t="shared" si="300"/>
        <v>0</v>
      </c>
      <c r="AX527" s="1343">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30"/>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31"/>
      <c r="AV528" s="1343">
        <f t="shared" si="299"/>
        <v>0</v>
      </c>
      <c r="AW528" s="1343">
        <f t="shared" si="300"/>
        <v>0</v>
      </c>
      <c r="AX528" s="1343">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30"/>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31"/>
      <c r="AV529" s="1343">
        <f t="shared" si="299"/>
        <v>0</v>
      </c>
      <c r="AW529" s="1343">
        <f t="shared" si="300"/>
        <v>0</v>
      </c>
      <c r="AX529" s="1343">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30"/>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31"/>
      <c r="AV530" s="1343">
        <f t="shared" si="299"/>
        <v>0</v>
      </c>
      <c r="AW530" s="1343">
        <f t="shared" si="300"/>
        <v>0</v>
      </c>
      <c r="AX530" s="1343">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30"/>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31"/>
      <c r="AV531" s="1343">
        <f t="shared" si="299"/>
        <v>0</v>
      </c>
      <c r="AW531" s="1343">
        <f t="shared" si="300"/>
        <v>0</v>
      </c>
      <c r="AX531" s="1343">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30"/>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31"/>
      <c r="AV532" s="1343">
        <f t="shared" si="299"/>
        <v>0</v>
      </c>
      <c r="AW532" s="1343">
        <f t="shared" si="300"/>
        <v>0</v>
      </c>
      <c r="AX532" s="1343">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30"/>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31"/>
      <c r="AV533" s="1343">
        <f t="shared" si="299"/>
        <v>0</v>
      </c>
      <c r="AW533" s="1343">
        <f t="shared" si="300"/>
        <v>0</v>
      </c>
      <c r="AX533" s="1343">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30"/>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31"/>
      <c r="AV534" s="1343">
        <f t="shared" si="299"/>
        <v>0</v>
      </c>
      <c r="AW534" s="1343">
        <f t="shared" si="300"/>
        <v>0</v>
      </c>
      <c r="AX534" s="1343">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30"/>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31"/>
      <c r="AV535" s="1343">
        <f t="shared" si="299"/>
        <v>0</v>
      </c>
      <c r="AW535" s="1343">
        <f t="shared" si="300"/>
        <v>0</v>
      </c>
      <c r="AX535" s="1343">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30"/>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31"/>
      <c r="AV536" s="1343">
        <f t="shared" si="299"/>
        <v>0</v>
      </c>
      <c r="AW536" s="1343">
        <f t="shared" si="300"/>
        <v>0</v>
      </c>
      <c r="AX536" s="1343">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30"/>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31"/>
      <c r="AV537" s="1343">
        <f t="shared" si="299"/>
        <v>0</v>
      </c>
      <c r="AW537" s="1343">
        <f t="shared" si="300"/>
        <v>0</v>
      </c>
      <c r="AX537" s="1343">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30"/>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31"/>
      <c r="AV538" s="1343">
        <f t="shared" si="299"/>
        <v>0</v>
      </c>
      <c r="AW538" s="1343">
        <f t="shared" si="300"/>
        <v>0</v>
      </c>
      <c r="AX538" s="1343">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30"/>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31"/>
      <c r="AV539" s="1343">
        <f t="shared" si="299"/>
        <v>0</v>
      </c>
      <c r="AW539" s="1343">
        <f t="shared" si="300"/>
        <v>0</v>
      </c>
      <c r="AX539" s="1343">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30"/>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31"/>
      <c r="AV540" s="1343">
        <f t="shared" si="299"/>
        <v>0</v>
      </c>
      <c r="AW540" s="1343">
        <f t="shared" si="300"/>
        <v>0</v>
      </c>
      <c r="AX540" s="1343">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30"/>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31"/>
      <c r="AV541" s="1343">
        <f t="shared" si="299"/>
        <v>0</v>
      </c>
      <c r="AW541" s="1343">
        <f t="shared" si="300"/>
        <v>0</v>
      </c>
      <c r="AX541" s="1343">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30"/>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31"/>
      <c r="AV542" s="1343">
        <f t="shared" si="299"/>
        <v>0</v>
      </c>
      <c r="AW542" s="1343">
        <f t="shared" si="300"/>
        <v>0</v>
      </c>
      <c r="AX542" s="1343">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30"/>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31"/>
      <c r="AV543" s="1343">
        <f t="shared" si="299"/>
        <v>0</v>
      </c>
      <c r="AW543" s="1343">
        <f t="shared" si="300"/>
        <v>0</v>
      </c>
      <c r="AX543" s="1343">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30"/>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31"/>
      <c r="AV544" s="1343">
        <f t="shared" si="299"/>
        <v>0</v>
      </c>
      <c r="AW544" s="1343">
        <f t="shared" si="300"/>
        <v>0</v>
      </c>
      <c r="AX544" s="1343">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30"/>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31"/>
      <c r="AV545" s="1343">
        <f t="shared" si="299"/>
        <v>0</v>
      </c>
      <c r="AW545" s="1343">
        <f t="shared" si="300"/>
        <v>0</v>
      </c>
      <c r="AX545" s="1343">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30"/>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31"/>
      <c r="AV546" s="1343">
        <f t="shared" si="299"/>
        <v>0</v>
      </c>
      <c r="AW546" s="1343">
        <f t="shared" si="300"/>
        <v>0</v>
      </c>
      <c r="AX546" s="1343">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30"/>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31"/>
      <c r="AV547" s="1343">
        <f t="shared" si="299"/>
        <v>0</v>
      </c>
      <c r="AW547" s="1343">
        <f t="shared" si="300"/>
        <v>0</v>
      </c>
      <c r="AX547" s="1343">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30"/>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31"/>
      <c r="AV548" s="1343">
        <f t="shared" si="299"/>
        <v>0</v>
      </c>
      <c r="AW548" s="1343">
        <f t="shared" si="300"/>
        <v>0</v>
      </c>
      <c r="AX548" s="1343">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30"/>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31"/>
      <c r="AV549" s="1343">
        <f t="shared" si="299"/>
        <v>0</v>
      </c>
      <c r="AW549" s="1343">
        <f t="shared" si="300"/>
        <v>0</v>
      </c>
      <c r="AX549" s="1343">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30"/>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31"/>
      <c r="AV550" s="1343">
        <f t="shared" si="299"/>
        <v>0</v>
      </c>
      <c r="AW550" s="1343">
        <f t="shared" si="300"/>
        <v>0</v>
      </c>
      <c r="AX550" s="1343">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30"/>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31"/>
      <c r="AV551" s="1343">
        <f t="shared" si="299"/>
        <v>0</v>
      </c>
      <c r="AW551" s="1343">
        <f t="shared" si="300"/>
        <v>0</v>
      </c>
      <c r="AX551" s="1343">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30"/>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31"/>
      <c r="AV552" s="1343">
        <f t="shared" si="299"/>
        <v>0</v>
      </c>
      <c r="AW552" s="1343">
        <f t="shared" si="300"/>
        <v>0</v>
      </c>
      <c r="AX552" s="1343">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30"/>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1">A553</f>
        <v>0</v>
      </c>
      <c r="AW553" s="1343">
        <f t="shared" ref="AW553:AW587" si="332">B553</f>
        <v>0</v>
      </c>
      <c r="AX553" s="1343">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30"/>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31"/>
      <c r="AV554" s="1343">
        <f t="shared" si="331"/>
        <v>0</v>
      </c>
      <c r="AW554" s="1343">
        <f t="shared" si="332"/>
        <v>0</v>
      </c>
      <c r="AX554" s="1343">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30"/>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31"/>
      <c r="AV555" s="1343">
        <f t="shared" si="331"/>
        <v>0</v>
      </c>
      <c r="AW555" s="1343">
        <f t="shared" si="332"/>
        <v>0</v>
      </c>
      <c r="AX555" s="1343">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30"/>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31"/>
      <c r="AV556" s="1343">
        <f t="shared" si="331"/>
        <v>0</v>
      </c>
      <c r="AW556" s="1343">
        <f t="shared" si="332"/>
        <v>0</v>
      </c>
      <c r="AX556" s="1343">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30"/>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31"/>
      <c r="AV557" s="1343">
        <f t="shared" si="331"/>
        <v>0</v>
      </c>
      <c r="AW557" s="1343">
        <f t="shared" si="332"/>
        <v>0</v>
      </c>
      <c r="AX557" s="1343">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30"/>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31"/>
      <c r="AV558" s="1343">
        <f t="shared" si="331"/>
        <v>0</v>
      </c>
      <c r="AW558" s="1343">
        <f t="shared" si="332"/>
        <v>0</v>
      </c>
      <c r="AX558" s="1343">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30"/>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31"/>
      <c r="AV559" s="1343">
        <f t="shared" si="331"/>
        <v>0</v>
      </c>
      <c r="AW559" s="1343">
        <f t="shared" si="332"/>
        <v>0</v>
      </c>
      <c r="AX559" s="1343">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30"/>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31"/>
      <c r="AV560" s="1343">
        <f t="shared" si="331"/>
        <v>0</v>
      </c>
      <c r="AW560" s="1343">
        <f t="shared" si="332"/>
        <v>0</v>
      </c>
      <c r="AX560" s="1343">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30"/>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31"/>
      <c r="AV561" s="1343">
        <f t="shared" si="331"/>
        <v>0</v>
      </c>
      <c r="AW561" s="1343">
        <f t="shared" si="332"/>
        <v>0</v>
      </c>
      <c r="AX561" s="1343">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30"/>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31"/>
      <c r="AV562" s="1343">
        <f t="shared" si="331"/>
        <v>0</v>
      </c>
      <c r="AW562" s="1343">
        <f t="shared" si="332"/>
        <v>0</v>
      </c>
      <c r="AX562" s="1343">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30"/>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31"/>
      <c r="AV563" s="1343">
        <f t="shared" si="331"/>
        <v>0</v>
      </c>
      <c r="AW563" s="1343">
        <f t="shared" si="332"/>
        <v>0</v>
      </c>
      <c r="AX563" s="1343">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30"/>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31"/>
      <c r="AV564" s="1343">
        <f t="shared" si="331"/>
        <v>0</v>
      </c>
      <c r="AW564" s="1343">
        <f t="shared" si="332"/>
        <v>0</v>
      </c>
      <c r="AX564" s="1343">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30"/>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31"/>
      <c r="AV565" s="1343">
        <f t="shared" si="331"/>
        <v>0</v>
      </c>
      <c r="AW565" s="1343">
        <f t="shared" si="332"/>
        <v>0</v>
      </c>
      <c r="AX565" s="1343">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30"/>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31"/>
      <c r="AV566" s="1343">
        <f t="shared" si="331"/>
        <v>0</v>
      </c>
      <c r="AW566" s="1343">
        <f t="shared" si="332"/>
        <v>0</v>
      </c>
      <c r="AX566" s="1343">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30"/>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31"/>
      <c r="AV567" s="1343">
        <f t="shared" si="331"/>
        <v>0</v>
      </c>
      <c r="AW567" s="1343">
        <f t="shared" si="332"/>
        <v>0</v>
      </c>
      <c r="AX567" s="1343">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30"/>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31"/>
      <c r="AV568" s="1343">
        <f t="shared" si="331"/>
        <v>0</v>
      </c>
      <c r="AW568" s="1343">
        <f t="shared" si="332"/>
        <v>0</v>
      </c>
      <c r="AX568" s="1343">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30"/>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31"/>
      <c r="AV569" s="1343">
        <f t="shared" si="331"/>
        <v>0</v>
      </c>
      <c r="AW569" s="1343">
        <f t="shared" si="332"/>
        <v>0</v>
      </c>
      <c r="AX569" s="1343">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30"/>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31"/>
      <c r="AV570" s="1343">
        <f t="shared" si="331"/>
        <v>0</v>
      </c>
      <c r="AW570" s="1343">
        <f t="shared" si="332"/>
        <v>0</v>
      </c>
      <c r="AX570" s="1343">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30"/>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31"/>
      <c r="AV571" s="1343">
        <f t="shared" si="331"/>
        <v>0</v>
      </c>
      <c r="AW571" s="1343">
        <f t="shared" si="332"/>
        <v>0</v>
      </c>
      <c r="AX571" s="1343">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30"/>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31"/>
      <c r="AV572" s="1343">
        <f t="shared" si="331"/>
        <v>0</v>
      </c>
      <c r="AW572" s="1343">
        <f t="shared" si="332"/>
        <v>0</v>
      </c>
      <c r="AX572" s="1343">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30"/>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31"/>
      <c r="AV573" s="1343">
        <f t="shared" si="331"/>
        <v>0</v>
      </c>
      <c r="AW573" s="1343">
        <f t="shared" si="332"/>
        <v>0</v>
      </c>
      <c r="AX573" s="1343">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30"/>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31"/>
      <c r="AV574" s="1343">
        <f t="shared" si="331"/>
        <v>0</v>
      </c>
      <c r="AW574" s="1343">
        <f t="shared" si="332"/>
        <v>0</v>
      </c>
      <c r="AX574" s="1343">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30"/>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31"/>
      <c r="AV575" s="1343">
        <f t="shared" si="331"/>
        <v>0</v>
      </c>
      <c r="AW575" s="1343">
        <f t="shared" si="332"/>
        <v>0</v>
      </c>
      <c r="AX575" s="1343">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30"/>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31"/>
      <c r="AV576" s="1343">
        <f t="shared" si="331"/>
        <v>0</v>
      </c>
      <c r="AW576" s="1343">
        <f t="shared" si="332"/>
        <v>0</v>
      </c>
      <c r="AX576" s="1343">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30"/>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31"/>
      <c r="AV577" s="1343">
        <f t="shared" si="331"/>
        <v>0</v>
      </c>
      <c r="AW577" s="1343">
        <f t="shared" si="332"/>
        <v>0</v>
      </c>
      <c r="AX577" s="1343">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30"/>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31"/>
      <c r="AV578" s="1343">
        <f t="shared" si="331"/>
        <v>0</v>
      </c>
      <c r="AW578" s="1343">
        <f t="shared" si="332"/>
        <v>0</v>
      </c>
      <c r="AX578" s="1343">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30"/>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31"/>
      <c r="AV579" s="1343">
        <f t="shared" si="331"/>
        <v>0</v>
      </c>
      <c r="AW579" s="1343">
        <f t="shared" si="332"/>
        <v>0</v>
      </c>
      <c r="AX579" s="1343">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30"/>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31"/>
      <c r="AV580" s="1343">
        <f t="shared" si="331"/>
        <v>0</v>
      </c>
      <c r="AW580" s="1343">
        <f t="shared" si="332"/>
        <v>0</v>
      </c>
      <c r="AX580" s="1343">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30"/>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31"/>
      <c r="AV581" s="1343">
        <f t="shared" si="331"/>
        <v>0</v>
      </c>
      <c r="AW581" s="1343">
        <f t="shared" si="332"/>
        <v>0</v>
      </c>
      <c r="AX581" s="1343">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30"/>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31"/>
      <c r="AV582" s="1343">
        <f t="shared" si="331"/>
        <v>0</v>
      </c>
      <c r="AW582" s="1343">
        <f t="shared" si="332"/>
        <v>0</v>
      </c>
      <c r="AX582" s="1343">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30"/>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31"/>
      <c r="AV583" s="1343">
        <f t="shared" si="331"/>
        <v>0</v>
      </c>
      <c r="AW583" s="1343">
        <f t="shared" si="332"/>
        <v>0</v>
      </c>
      <c r="AX583" s="1343">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30"/>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31"/>
      <c r="AV584" s="1343">
        <f t="shared" si="331"/>
        <v>0</v>
      </c>
      <c r="AW584" s="1343">
        <f t="shared" si="332"/>
        <v>0</v>
      </c>
      <c r="AX584" s="1343">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30"/>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1"/>
        <v>0</v>
      </c>
      <c r="AW585" s="1343">
        <f t="shared" si="332"/>
        <v>0</v>
      </c>
      <c r="AX585" s="1343">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1"/>
        <v>0</v>
      </c>
      <c r="AW586" s="1343">
        <f t="shared" si="332"/>
        <v>0</v>
      </c>
      <c r="AX586" s="1343">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1"/>
        <v>0</v>
      </c>
      <c r="AW587" s="1343">
        <f t="shared" si="332"/>
        <v>0</v>
      </c>
      <c r="AX587" s="1343">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abSelected="1" view="pageBreakPreview" zoomScale="70" zoomScaleNormal="100" zoomScaleSheetLayoutView="70" workbookViewId="0">
      <selection activeCell="M42" sqref="M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9"/>
      <c r="G2" s="2650"/>
      <c r="H2" s="2651"/>
      <c r="I2" s="2325" t="s">
        <v>1132</v>
      </c>
      <c r="J2" s="2659"/>
      <c r="K2" s="2659"/>
      <c r="L2" s="2659"/>
      <c r="M2" s="2659"/>
      <c r="N2" s="2661"/>
      <c r="O2" s="2659"/>
      <c r="P2" s="2659"/>
    </row>
    <row r="3" spans="1:16" ht="15.75" thickBot="1">
      <c r="A3" s="3546" t="s">
        <v>1105</v>
      </c>
      <c r="B3" s="3546"/>
      <c r="C3" s="3546"/>
      <c r="D3" s="43">
        <f>'数据-基础表'!AY6</f>
        <v>3138.66</v>
      </c>
      <c r="E3" s="43">
        <f>'数据-基础表'!AZ5</f>
        <v>13495.99</v>
      </c>
      <c r="F3" s="2659"/>
      <c r="G3" s="1145"/>
      <c r="H3" s="1026" t="s">
        <v>1106</v>
      </c>
      <c r="I3" s="855">
        <f>ROUND('数据-基础表'!B3/'数据-基础表'!A3,2)</f>
        <v>1.1200000000000001</v>
      </c>
      <c r="J3" s="2659"/>
      <c r="K3" s="2659"/>
      <c r="L3" s="2659"/>
      <c r="M3" s="2659"/>
      <c r="N3" s="2661"/>
      <c r="O3" s="2659"/>
      <c r="P3" s="2659"/>
    </row>
    <row r="4" spans="1:16" ht="15">
      <c r="A4" s="3547"/>
      <c r="B4" s="3548"/>
      <c r="C4" s="3549"/>
      <c r="D4" s="1641" t="s">
        <v>1107</v>
      </c>
      <c r="E4" s="1642" t="s">
        <v>1108</v>
      </c>
      <c r="F4" s="2659"/>
      <c r="G4" s="2652" t="s">
        <v>1133</v>
      </c>
      <c r="H4" s="1026" t="s">
        <v>1113</v>
      </c>
      <c r="I4" s="855">
        <f>ROUND(SUMIF('数据-基础表'!I9:AS9,"地上",'数据-基础表'!I5:AS5)/'数据-基础表'!A3,2)</f>
        <v>0.88</v>
      </c>
      <c r="J4" s="2659"/>
      <c r="K4" s="2659"/>
      <c r="L4" s="2659"/>
      <c r="M4" s="2659"/>
      <c r="N4" s="2661"/>
      <c r="O4" s="2659"/>
      <c r="P4" s="2659"/>
    </row>
    <row r="5" spans="1:16">
      <c r="A5" s="44" t="s">
        <v>1109</v>
      </c>
      <c r="B5" s="3550" t="s">
        <v>1110</v>
      </c>
      <c r="C5" s="3550"/>
      <c r="D5" s="45">
        <f>ROUND($D$3*E5/$E$3,2)</f>
        <v>0</v>
      </c>
      <c r="E5" s="46">
        <f>SUMIF('数据-基础表'!$11:$11,"住宅",'数据-基础表'!$5:$5)</f>
        <v>0</v>
      </c>
      <c r="F5" s="2659"/>
      <c r="G5" s="1145"/>
      <c r="H5" s="1026" t="s">
        <v>1106</v>
      </c>
      <c r="I5" s="855">
        <f>ROUND(E31/D31,2)</f>
        <v>4.3</v>
      </c>
      <c r="J5" s="2659"/>
      <c r="K5" s="2659"/>
      <c r="L5" s="2659"/>
      <c r="M5" s="2659"/>
      <c r="N5" s="2659"/>
      <c r="O5" s="2659"/>
      <c r="P5" s="2659"/>
    </row>
    <row r="6" spans="1:16" ht="15" thickBot="1">
      <c r="A6" s="1644"/>
      <c r="B6" s="3550" t="s">
        <v>1111</v>
      </c>
      <c r="C6" s="3550"/>
      <c r="D6" s="45">
        <f>ROUND($D$3*E6/$E$3,2)</f>
        <v>3138.66</v>
      </c>
      <c r="E6" s="46">
        <f>E3-E5</f>
        <v>13495.99</v>
      </c>
      <c r="F6" s="2659"/>
      <c r="G6" s="2653" t="s">
        <v>1112</v>
      </c>
      <c r="H6" s="1146" t="s">
        <v>1113</v>
      </c>
      <c r="I6" s="2654">
        <f>ROUND(F31/D31,2)</f>
        <v>0.42</v>
      </c>
      <c r="J6" s="2659"/>
      <c r="K6" s="2659"/>
      <c r="L6" s="2659"/>
      <c r="M6" s="2659"/>
      <c r="N6" s="2659"/>
      <c r="O6" s="2659"/>
      <c r="P6" s="2659"/>
    </row>
    <row r="7" spans="1:16" ht="15.75" thickBot="1">
      <c r="A7" s="3542"/>
      <c r="B7" s="3543"/>
      <c r="C7" s="354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293.93</v>
      </c>
      <c r="E8" s="48">
        <f>SUMIF('数据-基础表'!BB10:BK10,"地上",'数据-基础表'!BB5:BK5)</f>
        <v>1263.8800000000001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293.93</v>
      </c>
      <c r="E16" s="50">
        <f>SUM(E8:E15)</f>
        <v>1263.8800000000001</v>
      </c>
      <c r="F16" s="2659"/>
      <c r="G16" s="2660"/>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'数据-基础表'!B13</f>
        <v>7号楼</v>
      </c>
      <c r="D19" s="45">
        <f>ROUND($D$3*E19/$E$3,2)</f>
        <v>3126.48</v>
      </c>
      <c r="E19" s="53">
        <f t="shared" ref="E19:E26" si="1">SUM(F19:G19)</f>
        <v>13443.630000000001</v>
      </c>
      <c r="F19" s="2795">
        <f>'数据-基础表'!I13</f>
        <v>1263.8800000000001</v>
      </c>
      <c r="G19" s="2796">
        <f>'数据-基础表'!K13</f>
        <v>12179.75</v>
      </c>
      <c r="H19" s="670">
        <f>ROUND($D$3*I19/$E$3,2)</f>
        <v>12.18</v>
      </c>
      <c r="I19" s="48">
        <f t="shared" ref="I19:I26" si="2">IF($I$17="自定义",P19,M19)</f>
        <v>52.36</v>
      </c>
      <c r="J19" s="1139"/>
      <c r="K19" s="1138">
        <f t="shared" ref="K19:K26" si="3">ROUND(E$28*E19/E$27,2)</f>
        <v>52.36</v>
      </c>
      <c r="L19" s="1026">
        <f t="shared" ref="L19:L26" si="4">ROUND(IF(COUNTIF(C19,"*住宅*")&gt;0,E$29*E19/E$32,0),2)</f>
        <v>0</v>
      </c>
      <c r="M19" s="1150">
        <f>K19+L19</f>
        <v>52.36</v>
      </c>
      <c r="N19" s="1668"/>
      <c r="O19" s="1669"/>
      <c r="P19" s="1150">
        <f>N19+O19</f>
        <v>0</v>
      </c>
      <c r="R19" s="1026">
        <f t="shared" ref="R19:S26" si="5">D19+H19</f>
        <v>3138.66</v>
      </c>
      <c r="S19" s="1027">
        <f t="shared" si="5"/>
        <v>13495.990000000002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3126.48</v>
      </c>
      <c r="E27" s="1141">
        <f>IF(SUM(E19:E26)='数据-基础表'!BA5,SUM(E19:E26),IF(F27="地上面积有误","面积有误","地下面积有误"))</f>
        <v>13443.630000000001</v>
      </c>
      <c r="F27" s="1140">
        <f>IF(SUM(F19:F26)=E8,SUM(F19:F26),"地上面积有误")</f>
        <v>1263.8800000000001</v>
      </c>
      <c r="G27" s="1142">
        <f>SUM(G19:G26)</f>
        <v>12179.75</v>
      </c>
      <c r="H27" s="1143">
        <f>SUM(H19:H26)</f>
        <v>12.18</v>
      </c>
      <c r="I27" s="1144">
        <f>SUM(I19:I26)</f>
        <v>52.36</v>
      </c>
      <c r="J27" s="1139"/>
      <c r="K27" s="1147">
        <f>SUM(K19:K26)</f>
        <v>52.36</v>
      </c>
      <c r="L27" s="1148">
        <f>SUM(L19:L26)</f>
        <v>0</v>
      </c>
      <c r="M27" s="1151">
        <f>SUM(M19:M26)</f>
        <v>52.36</v>
      </c>
      <c r="N27" s="1147">
        <f t="shared" ref="N27:O27" si="10">SUM(N19:N26)</f>
        <v>0</v>
      </c>
      <c r="O27" s="1148">
        <f t="shared" si="10"/>
        <v>0</v>
      </c>
      <c r="P27" s="1149">
        <f>SUM(P19:P26)</f>
        <v>0</v>
      </c>
      <c r="R27" s="1028">
        <f>IF(SUM(R19:R26)=$D$3,SUM(R19:R26),SUM(R19:R26)&amp;"误差"&amp;ROUND(SUM(R19:R26)-$D$3,2))</f>
        <v>3138.66</v>
      </c>
      <c r="S27" s="1026">
        <f>IF(SUM(S19:S26)=$E$3,SUM(S19:S26),SUM(S19:S26)&amp;"误差"&amp;ROUND(SUM(S19:S26)-E3,2))</f>
        <v>13495.990000000002</v>
      </c>
    </row>
    <row r="28" spans="1:19">
      <c r="A28" s="1670"/>
      <c r="B28" s="47" t="s">
        <v>1155</v>
      </c>
      <c r="C28" s="1038" t="s">
        <v>1156</v>
      </c>
      <c r="D28" s="45">
        <f>ROUND($D$3*E28/$E$3,2)</f>
        <v>12.18</v>
      </c>
      <c r="E28" s="53">
        <f>SUM(F28:G28)</f>
        <v>52.359999999998763</v>
      </c>
      <c r="F28" s="56">
        <f>'数据-基础表'!BQ5+'数据-基础表'!BS5</f>
        <v>52.359999999998763</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12.18</v>
      </c>
      <c r="E30" s="1140">
        <f>SUM(E28:E29)</f>
        <v>52.359999999998763</v>
      </c>
      <c r="F30" s="1140">
        <f>SUM(F28:F29)</f>
        <v>52.359999999998763</v>
      </c>
      <c r="G30" s="1142">
        <f>SUM(G28:G29)</f>
        <v>0</v>
      </c>
      <c r="H30" s="2659"/>
      <c r="I30" s="2659"/>
      <c r="J30" s="2659"/>
      <c r="K30" s="2659"/>
      <c r="L30" s="2659"/>
      <c r="M30" s="2659"/>
      <c r="N30" s="2659"/>
      <c r="O30" s="2659"/>
      <c r="P30" s="2659"/>
    </row>
    <row r="31" spans="1:19" ht="15.75" thickBot="1">
      <c r="A31" s="1676"/>
      <c r="B31" s="1677"/>
      <c r="C31" s="835" t="s">
        <v>1158</v>
      </c>
      <c r="D31" s="676">
        <f>D27+D30</f>
        <v>3138.66</v>
      </c>
      <c r="E31" s="676">
        <f>E27+E30</f>
        <v>13495.99</v>
      </c>
      <c r="F31" s="677">
        <f>F27+F30</f>
        <v>1316.2399999999989</v>
      </c>
      <c r="G31" s="678">
        <f>G27+G30</f>
        <v>12179.75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7" spans="4:7">
      <c r="F37" s="1638">
        <f>F31*1.7</f>
        <v>2237.6079999999979</v>
      </c>
      <c r="G37" s="3452">
        <f>G31</f>
        <v>12179.75</v>
      </c>
    </row>
    <row r="38" spans="4:7">
      <c r="F38" s="1638">
        <v>3</v>
      </c>
      <c r="G38" s="1638">
        <v>0.8</v>
      </c>
    </row>
    <row r="39" spans="4:7">
      <c r="F39" s="1638">
        <f>F38*F37</f>
        <v>6712.8239999999932</v>
      </c>
      <c r="G39" s="1638">
        <f>G38*G37</f>
        <v>9743.8000000000011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5" sqref="K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125" style="1682" customWidth="1"/>
    <col min="23" max="23" width="7" style="1682" bestFit="1" customWidth="1"/>
    <col min="24" max="24" width="5" style="1682" bestFit="1" customWidth="1"/>
    <col min="25" max="25" width="8.75" style="1682" bestFit="1" customWidth="1"/>
    <col min="26" max="26" width="7.125" style="1682" bestFit="1" customWidth="1"/>
    <col min="27" max="27" width="8.75" style="1682" bestFit="1" customWidth="1"/>
    <col min="28" max="28" width="6.75" style="1682" customWidth="1"/>
    <col min="29" max="29" width="7.875" style="1682" customWidth="1"/>
    <col min="30"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7号楼</v>
      </c>
      <c r="B6" s="1713" t="str">
        <f>IF(A6=0,"","经营性")</f>
        <v>经营性</v>
      </c>
      <c r="C6" s="1714" t="s">
        <v>673</v>
      </c>
      <c r="D6" s="858">
        <f>SUMIF(项目基本情况!C$12:I$12,C6,项目基本情况!C$14:I$14)</f>
        <v>0</v>
      </c>
      <c r="E6" s="857">
        <f>IF(B6="","",SUMIF(项目基本情况!C$12:I$12,C6,项目基本情况!C$13:I$13))</f>
        <v>54848</v>
      </c>
      <c r="F6" s="64">
        <f>SUMIF(项目基本情况!C$12:I$12,C6,项目基本情况!C$15:I$15)</f>
        <v>26.35</v>
      </c>
      <c r="G6" s="65">
        <f>IF(ISERROR(ROUND(POWER(1+H6,D6-F6)*(POWER(1+H6,F6)-1)/(POWER(1+H6,D6)-1),3)),0,ROUND(POWER(1+H6,D6-F6)*(POWER(1+H6,F6)-1)/(POWER(1+H6,D6)-1),3))</f>
        <v>0</v>
      </c>
      <c r="H6" s="732">
        <v>0.05</v>
      </c>
      <c r="I6" s="732">
        <v>5.5E-2</v>
      </c>
      <c r="J6" s="66">
        <v>7.0000000000000007E-2</v>
      </c>
      <c r="K6" s="1030">
        <f>SUMIF('数据-汇总表'!C$19:C$33,A6,'数据-汇总表'!E$19:E$33)</f>
        <v>13443.630000000001</v>
      </c>
      <c r="L6" s="733">
        <v>5500</v>
      </c>
      <c r="M6" s="67">
        <f t="shared" ref="M6:M14" si="0">ROUND(K6*L6/10000,0)</f>
        <v>7394</v>
      </c>
      <c r="N6" s="731">
        <f>ROUND(1-(2023-2013)/60,2)</f>
        <v>0.83</v>
      </c>
      <c r="O6" s="67" t="str">
        <f>IF($N$5="成新度","——",ROUND(M6*N6,0))</f>
        <v>——</v>
      </c>
      <c r="P6" s="68" t="str">
        <f>IF($N$5="成新度","——",M6-O6)</f>
        <v>——</v>
      </c>
      <c r="Q6" s="734">
        <v>0.2</v>
      </c>
      <c r="R6" s="69">
        <f ca="1">SUMIF('数据-汇总表'!C$19:C$33,A6,'数据-汇总表'!R$19:R$27)</f>
        <v>3138.66</v>
      </c>
      <c r="S6" s="51">
        <f>IF('数据-汇总表'!$I$17="按面积比例",SUMIF('数据-汇总表'!C$19:C$33,A6,'数据-汇总表'!K$19:K$33),SUMIF('数据-汇总表'!C$19:C$33,A6,'数据-汇总表'!N$19:N$33))</f>
        <v>52.36</v>
      </c>
      <c r="T6" s="1172">
        <f>ROUND($L$14*S6/10000,0)</f>
        <v>29</v>
      </c>
      <c r="U6" s="3428">
        <f>W25</f>
        <v>3.44</v>
      </c>
      <c r="V6" s="70">
        <v>2.5000000000000001E-2</v>
      </c>
      <c r="W6" s="70">
        <v>0.1</v>
      </c>
      <c r="X6" s="1040"/>
      <c r="Y6" s="71">
        <f>N6</f>
        <v>0.83</v>
      </c>
      <c r="Z6" s="72"/>
      <c r="AA6" s="66"/>
      <c r="AB6" s="66"/>
      <c r="AC6" s="1040"/>
      <c r="AD6" s="73"/>
      <c r="AE6" s="1041">
        <f ca="1">IF(AN6="",0,SUMIF(INDIRECT("'"&amp;AN6&amp;"'"&amp;"!E:E"),$AE$5,INDIRECT("'"&amp;AN6&amp;"'"&amp;"!F:F")))</f>
        <v>26.35</v>
      </c>
      <c r="AF6" s="1348"/>
      <c r="AG6" s="138">
        <f>IF(AF6="",0,AE6-AF6)</f>
        <v>0</v>
      </c>
      <c r="AH6" s="74"/>
      <c r="AI6" s="76">
        <v>365</v>
      </c>
      <c r="AJ6" s="77"/>
      <c r="AK6" s="78">
        <v>5.0000000000000001E-3</v>
      </c>
      <c r="AL6" s="79">
        <v>1E-3</v>
      </c>
      <c r="AM6" s="80">
        <v>5.0000000000000001E-3</v>
      </c>
      <c r="AN6" s="1715" t="s">
        <v>3404</v>
      </c>
      <c r="AO6" s="52">
        <f ca="1">SUMIF(INDIRECT("'"&amp;AN6&amp;"'"&amp;"!A:A"),"总价",INDIRECT("'"&amp;AN6&amp;"'"&amp;"!B:B"))</f>
        <v>21819</v>
      </c>
      <c r="AP6" s="1716">
        <f>IF(C6="住宅",K6*L6,0)</f>
        <v>0</v>
      </c>
      <c r="AQ6" s="52">
        <f>ROUND($L$14*$N$14*S6/10000,0)</f>
        <v>24</v>
      </c>
      <c r="AR6" s="52">
        <f>ROUND($L$14*(1-$N$14)*S6/10000,0)</f>
        <v>5</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52.359999999998763</v>
      </c>
      <c r="L14" s="82">
        <f>L6</f>
        <v>5500</v>
      </c>
      <c r="M14" s="67">
        <f t="shared" si="0"/>
        <v>29</v>
      </c>
      <c r="N14" s="83">
        <f>N6</f>
        <v>0.83</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13495.99</v>
      </c>
      <c r="L16" s="93">
        <f>ROUND(M16*10000/SUM(K6:K14),0)</f>
        <v>5500</v>
      </c>
      <c r="M16" s="93">
        <f>SUM(M6:M14)</f>
        <v>7423</v>
      </c>
      <c r="N16" s="94">
        <f>ROUND(SUMPRODUCT(M6:M14,N6:N14)/M16,3)</f>
        <v>0.83</v>
      </c>
      <c r="O16" s="93">
        <f>SUM(O6:O14)</f>
        <v>0</v>
      </c>
      <c r="P16" s="93">
        <f>SUM(P6:P14)</f>
        <v>0</v>
      </c>
      <c r="Q16" s="95">
        <f>ROUND(SUMPRODUCT(Q6:Q13,K6:K13)/SUMPRODUCT((Q6:Q13&gt;0)*(K6:K13)),2)</f>
        <v>0.2</v>
      </c>
      <c r="R16" s="1034">
        <f ca="1">SUM(R6:R13)</f>
        <v>3138.66</v>
      </c>
      <c r="S16" s="96">
        <f>SUM(S6:S13)</f>
        <v>52.36</v>
      </c>
      <c r="T16" s="97">
        <f>IF(SUMIF(T6:T13,"&lt;9E307")=M14,SUMIF(T6:T13,"&lt;9E307"),"有误，请检查")</f>
        <v>29</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3450"/>
      <c r="V19" s="3450"/>
      <c r="W19" s="3450"/>
      <c r="X19" s="3450"/>
      <c r="Y19" s="3450"/>
      <c r="Z19" s="3450"/>
      <c r="AA19" s="3450"/>
      <c r="AB19" s="3450"/>
      <c r="AC19" s="3450"/>
      <c r="AD19" s="3450"/>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3450"/>
      <c r="V20" s="3451" t="s">
        <v>3428</v>
      </c>
      <c r="W20" s="3451" t="s">
        <v>3429</v>
      </c>
      <c r="X20" s="3451" t="s">
        <v>3430</v>
      </c>
      <c r="Y20" s="3451" t="s">
        <v>3472</v>
      </c>
      <c r="Z20" s="3451" t="s">
        <v>3431</v>
      </c>
      <c r="AA20" s="3451" t="s">
        <v>3519</v>
      </c>
      <c r="AB20" s="3450"/>
      <c r="AC20" s="3450"/>
      <c r="AD20" s="3451" t="s">
        <v>3523</v>
      </c>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3451" t="s">
        <v>3424</v>
      </c>
      <c r="V21" s="3450">
        <f>Sheet1!I4</f>
        <v>548.14</v>
      </c>
      <c r="W21" s="3450">
        <f>Z31</f>
        <v>8.9</v>
      </c>
      <c r="X21" s="3450"/>
      <c r="Y21" s="3450">
        <f>ROUND(W21*V21,2)</f>
        <v>4878.45</v>
      </c>
      <c r="Z21" s="3450">
        <f>AA31</f>
        <v>40000</v>
      </c>
      <c r="AA21" s="3450">
        <f>Z21*V21/10000</f>
        <v>2192.56</v>
      </c>
      <c r="AB21" s="3450">
        <f>Z21/1.5</f>
        <v>26666.666666666668</v>
      </c>
      <c r="AC21" s="3450"/>
      <c r="AD21" s="3450">
        <v>5000</v>
      </c>
      <c r="AE21" s="2671">
        <f>10400/K6*10000</f>
        <v>7736.0058258074641</v>
      </c>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3451" t="s">
        <v>3425</v>
      </c>
      <c r="V22" s="3450">
        <f>Sheet1!I5</f>
        <v>720.67</v>
      </c>
      <c r="W22" s="3450">
        <f>Z33</f>
        <v>6.23</v>
      </c>
      <c r="X22" s="3450">
        <v>0.7</v>
      </c>
      <c r="Y22" s="3450">
        <f t="shared" ref="Y22:Y24" si="12">ROUND(W22*V22,2)</f>
        <v>4489.7700000000004</v>
      </c>
      <c r="Z22" s="3450">
        <f>AA33</f>
        <v>28000</v>
      </c>
      <c r="AA22" s="3450">
        <f t="shared" ref="AA22:AA24" si="13">Z22*V22/10000</f>
        <v>2017.876</v>
      </c>
      <c r="AB22" s="3450"/>
      <c r="AC22" s="3450"/>
      <c r="AD22" s="3450">
        <v>5000</v>
      </c>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3451" t="s">
        <v>3426</v>
      </c>
      <c r="V23" s="3450">
        <f>Sheet1!I6</f>
        <v>4973.1099999999997</v>
      </c>
      <c r="W23" s="3450">
        <f>W35</f>
        <v>3.5600000000000005</v>
      </c>
      <c r="X23" s="3450">
        <v>0.45</v>
      </c>
      <c r="Y23" s="3450">
        <f t="shared" si="12"/>
        <v>17704.27</v>
      </c>
      <c r="Z23" s="3450">
        <f>AB35</f>
        <v>16000</v>
      </c>
      <c r="AA23" s="3450">
        <f t="shared" si="13"/>
        <v>7956.9759999999997</v>
      </c>
      <c r="AB23" s="3450"/>
      <c r="AC23" s="3450"/>
      <c r="AD23" s="3450">
        <v>5000</v>
      </c>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3451" t="s">
        <v>3427</v>
      </c>
      <c r="V24" s="3450">
        <f>Sheet1!I9</f>
        <v>7254.07</v>
      </c>
      <c r="W24" s="3450">
        <f>W36</f>
        <v>2.67</v>
      </c>
      <c r="X24" s="3450">
        <v>0.3</v>
      </c>
      <c r="Y24" s="3450">
        <f t="shared" si="12"/>
        <v>19368.37</v>
      </c>
      <c r="Z24" s="3450">
        <f>AB36</f>
        <v>12000</v>
      </c>
      <c r="AA24" s="3450">
        <f t="shared" si="13"/>
        <v>8704.884</v>
      </c>
      <c r="AB24" s="3450"/>
      <c r="AC24" s="3450"/>
      <c r="AD24" s="3450">
        <v>5500</v>
      </c>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3450"/>
      <c r="V25" s="3450">
        <f>SUM(V21:V24)</f>
        <v>13495.99</v>
      </c>
      <c r="W25" s="3450">
        <f>ROUND(Y25/V25,2)</f>
        <v>3.44</v>
      </c>
      <c r="X25" s="3450"/>
      <c r="Y25" s="3450">
        <f t="shared" ref="Y25" si="14">SUM(Y21:Y24)</f>
        <v>46440.86</v>
      </c>
      <c r="Z25" s="3450"/>
      <c r="AA25" s="3450">
        <f t="shared" ref="AA25" si="15">SUM(AA21:AA24)</f>
        <v>20872.296000000002</v>
      </c>
      <c r="AB25" s="3450"/>
      <c r="AC25" s="3450"/>
      <c r="AD25" s="3450">
        <f>(V21*AD21+V22*AD22+V23*AD23+V24*AD24)/V25</f>
        <v>5268.7490876919737</v>
      </c>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0"/>
      <c r="V26" s="3450"/>
      <c r="W26" s="3450"/>
      <c r="X26" s="3450"/>
      <c r="Y26" s="3450"/>
      <c r="Z26" s="3450"/>
      <c r="AA26" s="3450"/>
      <c r="AB26" s="3450"/>
      <c r="AC26" s="3450"/>
      <c r="AD26" s="3450"/>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2303</v>
      </c>
      <c r="D27" s="2679"/>
      <c r="E27" s="2661"/>
      <c r="F27" s="2661"/>
      <c r="G27" s="2673"/>
      <c r="H27" s="2673"/>
      <c r="I27" s="2673"/>
      <c r="J27" s="2673"/>
      <c r="K27" s="2672"/>
      <c r="L27" s="2672"/>
      <c r="M27" s="2671"/>
      <c r="N27" s="2671"/>
      <c r="O27" s="2671"/>
      <c r="P27" s="2671"/>
      <c r="Q27" s="2671"/>
      <c r="R27" s="2671"/>
      <c r="S27" s="2671"/>
      <c r="T27" s="2671"/>
      <c r="U27" s="3450"/>
      <c r="V27" s="3450"/>
      <c r="W27" s="3450"/>
      <c r="X27" s="3450"/>
      <c r="Y27" s="3450"/>
      <c r="Z27" s="3450"/>
      <c r="AA27" s="3450"/>
      <c r="AB27" s="3450"/>
      <c r="AC27" s="3450"/>
      <c r="AD27" s="3450"/>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3450"/>
      <c r="V28" s="3450"/>
      <c r="W28" s="3450"/>
      <c r="X28" s="3450"/>
      <c r="Y28" s="3450"/>
      <c r="Z28" s="3450"/>
      <c r="AA28" s="3450"/>
      <c r="AB28" s="3450"/>
      <c r="AC28" s="3450"/>
      <c r="AD28" s="3450"/>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270</v>
      </c>
      <c r="C29" s="2802" t="s">
        <v>2290</v>
      </c>
      <c r="D29" s="2679"/>
      <c r="E29" s="2661"/>
      <c r="F29" s="2661"/>
      <c r="G29" s="2673"/>
      <c r="H29" s="2673"/>
      <c r="I29" s="2673"/>
      <c r="J29" s="2673"/>
      <c r="K29" s="2672"/>
      <c r="L29" s="2672"/>
      <c r="M29" s="2671"/>
      <c r="N29" s="2671"/>
      <c r="O29" s="2671"/>
      <c r="P29" s="2671"/>
      <c r="Q29" s="2671"/>
      <c r="R29" s="2671"/>
      <c r="S29" s="2671"/>
      <c r="T29" s="2671"/>
      <c r="U29" s="3450"/>
      <c r="V29" s="3450"/>
      <c r="W29" s="3450"/>
      <c r="X29" s="3450"/>
      <c r="Y29" s="3450"/>
      <c r="Z29" s="3450"/>
      <c r="AA29" s="3450"/>
      <c r="AB29" s="3450"/>
      <c r="AC29" s="3450"/>
      <c r="AD29" s="3450"/>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3450"/>
      <c r="V30" s="3451" t="s">
        <v>3428</v>
      </c>
      <c r="W30" s="3451" t="s">
        <v>3429</v>
      </c>
      <c r="X30" s="3451" t="s">
        <v>3430</v>
      </c>
      <c r="Y30" s="3451" t="s">
        <v>3473</v>
      </c>
      <c r="Z30" s="3451" t="s">
        <v>3521</v>
      </c>
      <c r="AA30" s="3451" t="s">
        <v>3520</v>
      </c>
      <c r="AB30" s="3451" t="s">
        <v>3522</v>
      </c>
      <c r="AC30" s="3450"/>
      <c r="AD30" s="3450"/>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3451" t="s">
        <v>3424</v>
      </c>
      <c r="V31" s="3450">
        <f>Sheet1!I4</f>
        <v>548.14</v>
      </c>
      <c r="W31" s="3463">
        <f>'比较法-商业'!C49</f>
        <v>8.9</v>
      </c>
      <c r="X31" s="3450"/>
      <c r="Y31" s="3450">
        <f t="shared" ref="Y31:Y36" si="16">ROUND(W31*V31,2)</f>
        <v>4878.45</v>
      </c>
      <c r="Z31" s="3450">
        <f>ROUND((Y31+Y32)/V31,2)</f>
        <v>8.9</v>
      </c>
      <c r="AA31" s="3450">
        <f>ROUND((V31*AB31+V32*AB32)/V31,0)</f>
        <v>40000</v>
      </c>
      <c r="AB31" s="3450">
        <v>40000</v>
      </c>
      <c r="AC31" s="3450"/>
      <c r="AD31" s="3450"/>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3451" t="s">
        <v>3425</v>
      </c>
      <c r="V32" s="3450"/>
      <c r="W32" s="3450"/>
      <c r="X32" s="3450">
        <v>0.8</v>
      </c>
      <c r="Y32" s="3450">
        <f t="shared" si="16"/>
        <v>0</v>
      </c>
      <c r="Z32" s="3450"/>
      <c r="AA32" s="3450"/>
      <c r="AB32" s="3450">
        <f>AB31*X32</f>
        <v>32000</v>
      </c>
      <c r="AC32" s="3450"/>
      <c r="AD32" s="3450"/>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2291</v>
      </c>
      <c r="D33" s="2676"/>
      <c r="E33" s="2673"/>
      <c r="F33" s="2673"/>
      <c r="G33" s="2673"/>
      <c r="H33" s="2673"/>
      <c r="I33" s="2673"/>
      <c r="J33" s="2673"/>
      <c r="K33" s="2672"/>
      <c r="L33" s="2672"/>
      <c r="M33" s="2671"/>
      <c r="N33" s="2671"/>
      <c r="O33" s="2671"/>
      <c r="P33" s="2671"/>
      <c r="Q33" s="2671"/>
      <c r="R33" s="2671"/>
      <c r="S33" s="2671"/>
      <c r="T33" s="2671"/>
      <c r="U33" s="3451" t="s">
        <v>3441</v>
      </c>
      <c r="V33" s="3450">
        <f>Sheet1!I5</f>
        <v>720.67</v>
      </c>
      <c r="W33" s="3450">
        <f>W31*X33</f>
        <v>6.2299999999999995</v>
      </c>
      <c r="X33" s="3450">
        <v>0.7</v>
      </c>
      <c r="Y33" s="3450">
        <f t="shared" si="16"/>
        <v>4489.7700000000004</v>
      </c>
      <c r="Z33" s="3450">
        <f>ROUND((Y33+Y34)/V33,2)</f>
        <v>6.23</v>
      </c>
      <c r="AA33" s="3450">
        <f>ROUND((V33*AB33+V34*AB34)/V33,0)</f>
        <v>28000</v>
      </c>
      <c r="AB33" s="3450">
        <f>AB31*X33</f>
        <v>28000</v>
      </c>
      <c r="AC33" s="3450"/>
      <c r="AD33" s="3450"/>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3451" t="s">
        <v>3442</v>
      </c>
      <c r="V34" s="3450"/>
      <c r="W34" s="3450"/>
      <c r="X34" s="3450">
        <v>0.5</v>
      </c>
      <c r="Y34" s="3450">
        <f t="shared" si="16"/>
        <v>0</v>
      </c>
      <c r="Z34" s="3450"/>
      <c r="AA34" s="3450"/>
      <c r="AB34" s="3450">
        <f>AB31*X34</f>
        <v>20000</v>
      </c>
      <c r="AC34" s="3450"/>
      <c r="AD34" s="3450"/>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3451" t="s">
        <v>3426</v>
      </c>
      <c r="V35" s="3450">
        <f>Sheet1!I6</f>
        <v>4973.1099999999997</v>
      </c>
      <c r="W35" s="3450">
        <f>W31*X35</f>
        <v>3.5600000000000005</v>
      </c>
      <c r="X35" s="3450">
        <v>0.4</v>
      </c>
      <c r="Y35" s="3450">
        <f t="shared" si="16"/>
        <v>17704.27</v>
      </c>
      <c r="Z35" s="3450"/>
      <c r="AA35" s="3450"/>
      <c r="AB35" s="3450">
        <f>AB31*X35</f>
        <v>16000</v>
      </c>
      <c r="AC35" s="3450"/>
      <c r="AD35" s="3450"/>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2294</v>
      </c>
      <c r="D36" s="2676"/>
      <c r="E36" s="2673"/>
      <c r="F36" s="2673"/>
      <c r="G36" s="2673"/>
      <c r="H36" s="2673"/>
      <c r="I36" s="2673"/>
      <c r="J36" s="2673"/>
      <c r="K36" s="2672"/>
      <c r="L36" s="2672"/>
      <c r="M36" s="2671"/>
      <c r="N36" s="2671"/>
      <c r="O36" s="2671"/>
      <c r="P36" s="2671"/>
      <c r="Q36" s="2671"/>
      <c r="R36" s="2671"/>
      <c r="S36" s="2671"/>
      <c r="T36" s="2671"/>
      <c r="U36" s="3451" t="s">
        <v>3427</v>
      </c>
      <c r="V36" s="3450">
        <f>Sheet1!I9</f>
        <v>7254.07</v>
      </c>
      <c r="W36" s="3450">
        <f>W31*X36</f>
        <v>2.67</v>
      </c>
      <c r="X36" s="3450">
        <v>0.3</v>
      </c>
      <c r="Y36" s="3450">
        <f t="shared" si="16"/>
        <v>19368.37</v>
      </c>
      <c r="Z36" s="3450"/>
      <c r="AA36" s="3450"/>
      <c r="AB36" s="3450">
        <f>AB31*X36</f>
        <v>12000</v>
      </c>
      <c r="AC36" s="3450"/>
      <c r="AD36" s="3450"/>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2295</v>
      </c>
      <c r="D37" s="2676"/>
      <c r="E37" s="2673"/>
      <c r="F37" s="2673"/>
      <c r="G37" s="2673"/>
      <c r="H37" s="2673"/>
      <c r="I37" s="2673"/>
      <c r="J37" s="2673"/>
      <c r="K37" s="2672"/>
      <c r="L37" s="2672"/>
      <c r="M37" s="2671"/>
      <c r="N37" s="2671"/>
      <c r="O37" s="2671"/>
      <c r="P37" s="2671"/>
      <c r="Q37" s="2671"/>
      <c r="R37" s="2671"/>
      <c r="S37" s="2671"/>
      <c r="T37" s="2671"/>
      <c r="U37" s="3450"/>
      <c r="V37" s="3450">
        <f>SUM(V31:V36)</f>
        <v>13495.99</v>
      </c>
      <c r="W37" s="3450">
        <f>ROUND(Y37/V37,2)</f>
        <v>3.44</v>
      </c>
      <c r="X37" s="3450"/>
      <c r="Y37" s="3450">
        <f>SUM(Y31:Y36)</f>
        <v>46440.86</v>
      </c>
      <c r="Z37" s="3450"/>
      <c r="AA37" s="3450"/>
      <c r="AB37" s="3450"/>
      <c r="AC37" s="3450"/>
      <c r="AD37" s="3450"/>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2295</v>
      </c>
      <c r="D38" s="2676"/>
      <c r="E38" s="2673"/>
      <c r="F38" s="2673"/>
      <c r="G38" s="2673"/>
      <c r="H38" s="2673"/>
      <c r="I38" s="2673"/>
      <c r="J38" s="2673"/>
      <c r="K38" s="2672"/>
      <c r="L38" s="2672"/>
      <c r="M38" s="2671"/>
      <c r="N38" s="2671"/>
      <c r="O38" s="2671"/>
      <c r="P38" s="2671"/>
      <c r="Q38" s="2671"/>
      <c r="R38" s="2671"/>
      <c r="S38" s="2671"/>
      <c r="T38" s="2671"/>
      <c r="U38" s="3450"/>
      <c r="V38" s="3450"/>
      <c r="W38" s="3450"/>
      <c r="X38" s="3450"/>
      <c r="Y38" s="3450"/>
      <c r="Z38" s="3450"/>
      <c r="AA38" s="3450"/>
      <c r="AB38" s="3450"/>
      <c r="AC38" s="3450"/>
      <c r="AD38" s="3450"/>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1" t="s">
        <v>2282</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13495.99</v>
      </c>
      <c r="C1" s="2686"/>
      <c r="D1" s="2686"/>
      <c r="E1" s="2686"/>
      <c r="F1" s="2686"/>
      <c r="G1" s="2687"/>
      <c r="H1" s="2688"/>
      <c r="I1" s="2688"/>
      <c r="J1" s="2688"/>
      <c r="K1" s="2688"/>
    </row>
    <row r="2" spans="1:11" ht="16.5">
      <c r="A2" s="2512" t="s">
        <v>653</v>
      </c>
      <c r="B2" s="2512">
        <f>SUM(C14:C23)</f>
        <v>3138.66</v>
      </c>
      <c r="C2" s="2686"/>
      <c r="D2" s="2686"/>
      <c r="E2" s="2686"/>
      <c r="F2" s="2686"/>
      <c r="G2" s="2687"/>
      <c r="H2" s="2688"/>
      <c r="I2" s="2688"/>
      <c r="J2" s="2688"/>
      <c r="K2" s="2688"/>
    </row>
    <row r="3" spans="1:11" ht="16.5">
      <c r="A3" s="2512" t="s">
        <v>662</v>
      </c>
      <c r="B3" s="2514">
        <f>项目基本情况!D3</f>
        <v>45227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21190</v>
      </c>
      <c r="C5" s="2512">
        <f ca="1">IF(B5=D14,结果表!H102,ROUND(B5*10000/$B$1,0))</f>
        <v>15762</v>
      </c>
      <c r="D5" s="2512">
        <f ca="1">ROUND(B5*10000/$B$2,0)</f>
        <v>67513</v>
      </c>
      <c r="E5" s="2686"/>
      <c r="F5" s="2687"/>
      <c r="G5" s="2687"/>
      <c r="H5" s="2688"/>
      <c r="I5" s="2688"/>
      <c r="J5" s="2688"/>
      <c r="K5" s="2688"/>
    </row>
    <row r="6" spans="1:11" ht="16.5">
      <c r="A6" s="2512" t="s">
        <v>656</v>
      </c>
      <c r="B6" s="2512">
        <f ca="1">SUM(G14:G23)</f>
        <v>21190</v>
      </c>
      <c r="C6" s="2512">
        <f ca="1">IF(B6=G14,结果表!H108,ROUND(B6*10000/$B$1,0))</f>
        <v>15762</v>
      </c>
      <c r="D6" s="2512">
        <f ca="1">ROUND(B6*10000/$B$2,0)</f>
        <v>67513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13495.99</v>
      </c>
      <c r="C14" s="2518">
        <f>'数据-汇总表'!D3</f>
        <v>3138.66</v>
      </c>
      <c r="D14" s="2518">
        <f ca="1">结果表!H101</f>
        <v>21190</v>
      </c>
      <c r="E14" s="2518">
        <f ca="1">ROUND(D14*10000/B14,0)</f>
        <v>15701</v>
      </c>
      <c r="F14" s="2518">
        <f ca="1">ROUND(D14*10000/C14,0)</f>
        <v>67513</v>
      </c>
      <c r="G14" s="2518">
        <f ca="1">结果表!H107</f>
        <v>21190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85" zoomScaleNormal="100" zoomScaleSheetLayoutView="85" zoomScalePageLayoutView="80" workbookViewId="0">
      <selection activeCell="F49" sqref="F4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3386</v>
      </c>
      <c r="D1" s="1747"/>
      <c r="E1" s="1747"/>
      <c r="F1" s="1749" t="s">
        <v>1263</v>
      </c>
      <c r="G1" s="1561" t="s">
        <v>3421</v>
      </c>
      <c r="H1" s="1750" t="str">
        <f>IF(G1="现房","——","估价对象范围")</f>
        <v>——</v>
      </c>
      <c r="I1" s="1751" t="s">
        <v>3422</v>
      </c>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3423</v>
      </c>
      <c r="D4" s="1756" t="s">
        <v>3404</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5</v>
      </c>
      <c r="D14" s="3614">
        <v>5</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5" t="s">
        <v>2131</v>
      </c>
      <c r="F18" s="3646"/>
      <c r="G18" s="3646"/>
      <c r="H18" s="3646"/>
      <c r="I18" s="3646"/>
      <c r="K18" s="302" t="s">
        <v>1289</v>
      </c>
      <c r="L18" s="302">
        <f>IF(C1="",'数据-汇总表'!E3,SUMIF(项目类型,C1,'数据-汇总表'!E17:E26)+SUMIF(项目类型,C1,'数据-汇总表'!I17:I26))</f>
        <v>13495.990000000002</v>
      </c>
      <c r="M18" s="302">
        <f>IF(C1="",'数据-汇总表'!E3,SUMIF(项目类型,C1,'数据-汇总表'!E17:E26))</f>
        <v>13443.630000000001</v>
      </c>
    </row>
    <row r="19" spans="1:36" ht="15">
      <c r="A19" s="1761" t="s">
        <v>1290</v>
      </c>
      <c r="B19" s="1762" t="s">
        <v>1291</v>
      </c>
      <c r="C19" s="134">
        <f ca="1">SUMIF(INDIRECT("'"&amp;C4&amp;"'"&amp;"!A:A"),结果表!B19,INDIRECT("'"&amp;C4&amp;"'"&amp;"!B:B"))</f>
        <v>20560</v>
      </c>
      <c r="D19" s="135">
        <f ca="1">SUMIF(INDIRECT("'"&amp;D4&amp;"'"&amp;"!A:A"),结果表!B19,INDIRECT("'"&amp;D4&amp;"'"&amp;"!B:B"))</f>
        <v>21819</v>
      </c>
      <c r="E19" s="1761" t="s">
        <v>1292</v>
      </c>
      <c r="F19" s="1762" t="s">
        <v>1291</v>
      </c>
      <c r="G19" s="136">
        <f ca="1">ROUND(C19*$C$18+D19*$D$18,0)</f>
        <v>21190</v>
      </c>
      <c r="H19" s="1763" t="s">
        <v>1293</v>
      </c>
      <c r="I19" s="129"/>
      <c r="K19" s="302" t="s">
        <v>1294</v>
      </c>
      <c r="L19" s="302">
        <f>IF(C1="",'数据-汇总表'!D3,SUMIF(项目类型,C1,'数据-汇总表'!D17:D26)+SUMIF(项目类型,C1,'数据-汇总表'!H17:H27))</f>
        <v>3138.66</v>
      </c>
      <c r="M19" s="302">
        <f>IF(C1="",'数据-汇总表'!D3,SUMIF(项目类型,C1,'数据-汇总表'!D17:D26))</f>
        <v>3126.48</v>
      </c>
    </row>
    <row r="20" spans="1:36" ht="15">
      <c r="A20" s="1764"/>
      <c r="B20" s="1026" t="s">
        <v>1295</v>
      </c>
      <c r="C20" s="137">
        <f ca="1">SUMIF(INDIRECT("'"&amp;C4&amp;"'"&amp;"!A:A"),结果表!B20,INDIRECT("'"&amp;C4&amp;"'"&amp;"!B:B"))</f>
        <v>15234</v>
      </c>
      <c r="D20" s="138">
        <f ca="1">SUMIF(INDIRECT("'"&amp;D4&amp;"'"&amp;"!A:A"),结果表!B20,INDIRECT("'"&amp;D4&amp;"'"&amp;"!B:B"))</f>
        <v>16230</v>
      </c>
      <c r="E20" s="1764"/>
      <c r="F20" s="1026" t="s">
        <v>1295</v>
      </c>
      <c r="G20" s="139">
        <f ca="1">ROUND(C20*$C$18+D20*$D$18,0)</f>
        <v>15732</v>
      </c>
      <c r="H20" s="808" t="s">
        <v>1296</v>
      </c>
      <c r="I20" s="129"/>
    </row>
    <row r="21" spans="1:36" ht="15" customHeight="1" thickBot="1">
      <c r="A21" s="828"/>
      <c r="B21" s="1765" t="s">
        <v>1297</v>
      </c>
      <c r="C21" s="719">
        <f ca="1">ROUND(C19*10000/L19,0)</f>
        <v>65506</v>
      </c>
      <c r="D21" s="720">
        <f ca="1">ROUND(D19*10000/L19,0)</f>
        <v>69517</v>
      </c>
      <c r="E21" s="828"/>
      <c r="F21" s="1765" t="s">
        <v>1297</v>
      </c>
      <c r="G21" s="140">
        <f ca="1">ROUND(G19*10000/L19,0)</f>
        <v>67513</v>
      </c>
      <c r="H21" s="1766" t="s">
        <v>1296</v>
      </c>
      <c r="I21" s="129"/>
    </row>
    <row r="22" spans="1:36" ht="15" thickBot="1">
      <c r="A22" s="1688" t="s">
        <v>1298</v>
      </c>
      <c r="B22" s="1767"/>
      <c r="C22" s="1768"/>
      <c r="D22" s="721">
        <f ca="1">IF(C19&lt;D19,D19/C19-1,C19/D19-1)</f>
        <v>6.1235408560311289E-2</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21190</v>
      </c>
      <c r="D32" s="1775" t="s">
        <v>3437</v>
      </c>
      <c r="E32" s="129"/>
      <c r="F32" s="129"/>
      <c r="G32" s="129"/>
      <c r="H32" s="129"/>
      <c r="I32" s="129"/>
    </row>
    <row r="33" spans="1:15" ht="15">
      <c r="A33" s="786" t="s">
        <v>1306</v>
      </c>
      <c r="B33" s="1776"/>
      <c r="C33" s="1777" t="s">
        <v>3438</v>
      </c>
      <c r="D33" s="1778" t="s">
        <v>3423</v>
      </c>
      <c r="E33" s="1779" t="s">
        <v>1307</v>
      </c>
      <c r="F33" s="1780" t="str">
        <f>IF(D32="楼面单价","取值（单价）","取值（总价）")</f>
        <v>取值（总价）</v>
      </c>
      <c r="G33" s="129"/>
      <c r="H33" s="129"/>
      <c r="I33" s="129"/>
    </row>
    <row r="34" spans="1:15" ht="15">
      <c r="A34" s="1781"/>
      <c r="B34" s="1782" t="s">
        <v>1308</v>
      </c>
      <c r="C34" s="148">
        <f ca="1">IF(C33="自定义",F34,C32-C35)</f>
        <v>11379</v>
      </c>
      <c r="D34" s="861">
        <f ca="1">IF(C33="自定义",ROUND(C34/C32,3),IF(C33="收益比率",SUMIF(INDIRECT("'"&amp;D33&amp;"'"&amp;"!b:b"),"土地收益比率",INDIRECT("'"&amp;D33&amp;"'"&amp;"!c:c")),SUMIF(INDIRECT("'"&amp;D33&amp;"'"&amp;"!b:b"),"土地成本比率",INDIRECT("'"&amp;D33&amp;"'"&amp;"!c:c"))))</f>
        <v>0.53699999999999992</v>
      </c>
      <c r="E34" s="1783" t="s">
        <v>1309</v>
      </c>
      <c r="F34" s="1330"/>
      <c r="G34" s="129"/>
      <c r="H34" s="129"/>
      <c r="I34" s="129"/>
    </row>
    <row r="35" spans="1:15" ht="15.75" thickBot="1">
      <c r="A35" s="1784"/>
      <c r="B35" s="1785" t="s">
        <v>1310</v>
      </c>
      <c r="C35" s="1170">
        <f ca="1">IF(C33="自定义",F35,ROUND(C32*D35,0))</f>
        <v>9811</v>
      </c>
      <c r="D35" s="1171">
        <f ca="1">IF(C33="自定义",ROUND(C35/C32,3),IF(C33="收益比率",SUMIF(INDIRECT("'"&amp;D33&amp;"'"&amp;"!b:b"),"建筑物收益比率",INDIRECT("'"&amp;D33&amp;"'"&amp;"!c:c")),SUMIF(INDIRECT("'"&amp;D33&amp;"'"&amp;"!b:b"),"建筑物成本比率",INDIRECT("'"&amp;D33&amp;"'"&amp;"!c:c"))))</f>
        <v>0.46300000000000002</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11866</v>
      </c>
      <c r="E45" s="156" t="s">
        <v>1327</v>
      </c>
      <c r="F45" s="157">
        <v>0.56000000000000005</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3">
        <v>1</v>
      </c>
      <c r="K46" s="3556" t="s">
        <v>1331</v>
      </c>
      <c r="L46" s="3556"/>
      <c r="M46" s="3557"/>
      <c r="N46" s="3557"/>
      <c r="O46" s="3557"/>
    </row>
    <row r="47" spans="1:15" ht="12" customHeight="1">
      <c r="A47" s="160" t="s">
        <v>1332</v>
      </c>
      <c r="B47" s="161"/>
      <c r="C47" s="162"/>
      <c r="D47" s="1087" t="s">
        <v>1333</v>
      </c>
      <c r="E47" s="302" t="s">
        <v>1334</v>
      </c>
      <c r="F47" s="163" t="s">
        <v>1335</v>
      </c>
      <c r="G47" s="2546" t="s">
        <v>1336</v>
      </c>
      <c r="H47" s="2547"/>
      <c r="I47" s="159"/>
      <c r="J47" s="2523">
        <v>2</v>
      </c>
      <c r="K47" s="3556" t="s">
        <v>1337</v>
      </c>
      <c r="L47" s="3556"/>
      <c r="M47" s="3558">
        <f>'数据-取费表'!B2</f>
        <v>45227</v>
      </c>
      <c r="N47" s="3558"/>
      <c r="O47" s="3558"/>
    </row>
    <row r="48" spans="1:15" ht="25.5">
      <c r="A48" s="3618" t="s">
        <v>1338</v>
      </c>
      <c r="B48" s="3619"/>
      <c r="C48" s="3619"/>
      <c r="D48" s="2324">
        <f ca="1">IF(H48="情况1",0,IF(H48="情况2",D52,IF(H48="情况3",D53,IF(H48="情况4",D54))))</f>
        <v>633</v>
      </c>
      <c r="E48" s="2334" t="str">
        <f>IF(H48="情况4","(销售额-原购置价)×税（费）率","销售额×税（费）率")</f>
        <v>销售额×税（费）率</v>
      </c>
      <c r="F48" s="2548">
        <f>IF(H48="情况1","免征",'数据-取费表'!B41)</f>
        <v>5.6000000000000001E-2</v>
      </c>
      <c r="G48" s="2549" t="s">
        <v>1339</v>
      </c>
      <c r="H48" s="2550" t="s">
        <v>3512</v>
      </c>
      <c r="I48" s="1806"/>
      <c r="J48" s="2523">
        <v>3</v>
      </c>
      <c r="K48" s="3556" t="s">
        <v>1340</v>
      </c>
      <c r="L48" s="3556"/>
      <c r="M48" s="3559">
        <f ca="1">H101</f>
        <v>21190</v>
      </c>
      <c r="N48" s="3559"/>
      <c r="O48" s="3559"/>
    </row>
    <row r="49" spans="1:35" ht="25.5" customHeight="1">
      <c r="A49" s="2333" t="s">
        <v>1341</v>
      </c>
      <c r="B49" s="3604" t="s">
        <v>1342</v>
      </c>
      <c r="C49" s="3604"/>
      <c r="D49" s="1590">
        <v>0</v>
      </c>
      <c r="E49" s="324" t="s">
        <v>1343</v>
      </c>
      <c r="F49" s="2424" t="s">
        <v>28</v>
      </c>
      <c r="G49" s="3587"/>
      <c r="H49" s="2310" t="s">
        <v>2134</v>
      </c>
      <c r="I49" s="2311"/>
      <c r="J49" s="2523">
        <v>4</v>
      </c>
      <c r="K49" s="3556" t="str">
        <f>IF(项目基本情况!E8="房地产抵押价值","房地产抵押价值","抵押担保权已注销时的房地产抵押价值")</f>
        <v>房地产抵押价值</v>
      </c>
      <c r="L49" s="3556"/>
      <c r="M49" s="3559">
        <f ca="1">IF(项目基本情况!E8="房地产抵押价值",H107,H109)</f>
        <v>21190</v>
      </c>
      <c r="N49" s="3559"/>
      <c r="O49" s="3559"/>
    </row>
    <row r="50" spans="1:35" ht="25.5" customHeight="1">
      <c r="A50" s="2551"/>
      <c r="B50" s="3604" t="s">
        <v>1344</v>
      </c>
      <c r="C50" s="3604"/>
      <c r="D50" s="2552"/>
      <c r="E50" s="332"/>
      <c r="F50" s="2424"/>
      <c r="G50" s="3588"/>
      <c r="H50" s="2312" t="s">
        <v>2135</v>
      </c>
      <c r="I50" s="2311"/>
      <c r="J50" s="3555" t="s">
        <v>1345</v>
      </c>
      <c r="K50" s="3555"/>
      <c r="L50" s="3555"/>
      <c r="M50" s="3555"/>
      <c r="N50" s="3555"/>
      <c r="O50" s="3555"/>
    </row>
    <row r="51" spans="1:35" ht="20.45" customHeight="1">
      <c r="A51" s="2553"/>
      <c r="B51" s="3604" t="s">
        <v>1346</v>
      </c>
      <c r="C51" s="3604"/>
      <c r="D51" s="1087"/>
      <c r="E51" s="327"/>
      <c r="F51" s="2424"/>
      <c r="G51" s="3589"/>
      <c r="H51" s="2312" t="s">
        <v>2136</v>
      </c>
      <c r="I51" s="2311"/>
      <c r="J51" s="2524" t="s">
        <v>1347</v>
      </c>
      <c r="K51" s="3556" t="s">
        <v>1348</v>
      </c>
      <c r="L51" s="3556"/>
      <c r="M51" s="2524" t="s">
        <v>1349</v>
      </c>
      <c r="N51" s="2524" t="s">
        <v>1350</v>
      </c>
      <c r="O51" s="2524" t="s">
        <v>1351</v>
      </c>
    </row>
    <row r="52" spans="1:35" ht="24" customHeight="1">
      <c r="A52" s="2335" t="s">
        <v>1352</v>
      </c>
      <c r="B52" s="3604" t="s">
        <v>1353</v>
      </c>
      <c r="C52" s="3604"/>
      <c r="D52" s="1087">
        <f ca="1">ROUND(D45*'数据-取费表'!B41/(1+'数据-取费表'!C42),0)</f>
        <v>633</v>
      </c>
      <c r="E52" s="2334" t="s">
        <v>1354</v>
      </c>
      <c r="F52" s="2554">
        <f>'数据-取费表'!B41</f>
        <v>5.6000000000000001E-2</v>
      </c>
      <c r="G52" s="2555"/>
      <c r="H52" s="2544"/>
      <c r="I52" s="1807"/>
      <c r="J52" s="2523">
        <v>1</v>
      </c>
      <c r="K52" s="3581" t="s">
        <v>1355</v>
      </c>
      <c r="L52" s="3581"/>
      <c r="M52" s="2525">
        <f ca="1">D48</f>
        <v>633</v>
      </c>
      <c r="N52" s="2523" t="str">
        <f>E48</f>
        <v>销售额×税（费）率</v>
      </c>
      <c r="O52" s="2526">
        <f>F48</f>
        <v>5.6000000000000001E-2</v>
      </c>
    </row>
    <row r="53" spans="1:35" ht="12" customHeight="1">
      <c r="A53" s="2335" t="s">
        <v>1356</v>
      </c>
      <c r="B53" s="3605" t="s">
        <v>2287</v>
      </c>
      <c r="C53" s="3606"/>
      <c r="D53" s="1087">
        <f ca="1">ROUND(D45*'数据-取费表'!B41/(1+'数据-取费表'!C42),0)</f>
        <v>633</v>
      </c>
      <c r="E53" s="2334" t="s">
        <v>1354</v>
      </c>
      <c r="F53" s="2554">
        <f>'数据-取费表'!B41</f>
        <v>5.6000000000000001E-2</v>
      </c>
      <c r="G53" s="2555"/>
      <c r="H53" s="2544"/>
      <c r="I53" s="1807"/>
      <c r="J53" s="2523">
        <v>2</v>
      </c>
      <c r="K53" s="3581" t="s">
        <v>1357</v>
      </c>
      <c r="L53" s="3581"/>
      <c r="M53" s="2525">
        <f t="shared" ref="M53:O54" ca="1" si="0">D55</f>
        <v>6</v>
      </c>
      <c r="N53" s="2523" t="str">
        <f t="shared" si="0"/>
        <v>销售额×税（费）率</v>
      </c>
      <c r="O53" s="2526">
        <f t="shared" si="0"/>
        <v>5.0000000000000001E-4</v>
      </c>
    </row>
    <row r="54" spans="1:35" ht="12" customHeight="1">
      <c r="A54" s="2335" t="s">
        <v>1358</v>
      </c>
      <c r="B54" s="3605" t="s">
        <v>2288</v>
      </c>
      <c r="C54" s="3606"/>
      <c r="D54" s="1087">
        <f ca="1">C68</f>
        <v>633</v>
      </c>
      <c r="E54" s="327" t="s">
        <v>1359</v>
      </c>
      <c r="F54" s="2554">
        <f>'数据-取费表'!B41</f>
        <v>5.6000000000000001E-2</v>
      </c>
      <c r="G54" s="2555"/>
      <c r="H54" s="2556"/>
      <c r="I54" s="1807"/>
      <c r="J54" s="2523">
        <v>3</v>
      </c>
      <c r="K54" s="3581" t="s">
        <v>1360</v>
      </c>
      <c r="L54" s="3581"/>
      <c r="M54" s="2525">
        <f t="shared" ca="1" si="0"/>
        <v>0</v>
      </c>
      <c r="N54" s="2523" t="str">
        <f t="shared" si="0"/>
        <v>增值额×税（费）率</v>
      </c>
      <c r="O54" s="2527" t="str">
        <f t="shared" si="0"/>
        <v>——</v>
      </c>
    </row>
    <row r="55" spans="1:35" ht="24" customHeight="1">
      <c r="A55" s="3641" t="s">
        <v>1361</v>
      </c>
      <c r="B55" s="3619"/>
      <c r="C55" s="3619"/>
      <c r="D55" s="2324">
        <f ca="1">IF(H55="个人住宅",0,ROUND(D45*I55,0))</f>
        <v>6</v>
      </c>
      <c r="E55" s="2334" t="s">
        <v>1362</v>
      </c>
      <c r="F55" s="2554">
        <f>IF(H55="正常",I55,"免征")</f>
        <v>5.0000000000000001E-4</v>
      </c>
      <c r="G55" s="2555"/>
      <c r="H55" s="2550" t="s">
        <v>3445</v>
      </c>
      <c r="I55" s="165">
        <f>'数据-取费表'!B49</f>
        <v>5.0000000000000001E-4</v>
      </c>
      <c r="J55" s="2523" t="str">
        <f>IF(H59="非个人房产","",4)</f>
        <v/>
      </c>
      <c r="K55" s="3581" t="str">
        <f>IF(H59="非个人房产","——","个人所得税")</f>
        <v>——</v>
      </c>
      <c r="L55" s="3581"/>
      <c r="M55" s="2528" t="str">
        <f>D59</f>
        <v>——</v>
      </c>
      <c r="N55" s="2040" t="str">
        <f>E59</f>
        <v>——</v>
      </c>
      <c r="O55" s="2529" t="str">
        <f>F59</f>
        <v>——</v>
      </c>
    </row>
    <row r="56" spans="1:35" ht="24.75">
      <c r="A56" s="3641" t="s">
        <v>1363</v>
      </c>
      <c r="B56" s="3619"/>
      <c r="C56" s="3619"/>
      <c r="D56" s="2324">
        <f ca="1">IF(H56="个人住宅",D57,D58)</f>
        <v>0</v>
      </c>
      <c r="E56" s="2334" t="s">
        <v>1364</v>
      </c>
      <c r="F56" s="2554" t="str">
        <f>IF(H56="正常",F58,"免征")</f>
        <v>——</v>
      </c>
      <c r="G56" s="2557" t="s">
        <v>1365</v>
      </c>
      <c r="H56" s="2558" t="s">
        <v>3445</v>
      </c>
      <c r="I56" s="1808"/>
      <c r="J56" s="2523" t="str">
        <f>IF(项目基本情况!K6="上海银行",IF(J55="",4,J55+1),"")</f>
        <v/>
      </c>
      <c r="K56" s="3562" t="str">
        <f>IF(项目基本情况!K6="上海银行","其他处置费用","")</f>
        <v/>
      </c>
      <c r="L56" s="3563"/>
      <c r="M56" s="2525"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5"/>
      <c r="H57" s="2559"/>
      <c r="I57" s="1808"/>
      <c r="J57" s="3581">
        <f>IF(AND(J55="",J56=""),4,IF(项目基本情况!K6="上海银行",结果表!J56+1,结果表!J55+1))</f>
        <v>4</v>
      </c>
      <c r="K57" s="3581" t="s">
        <v>1367</v>
      </c>
      <c r="L57" s="2530" t="s">
        <v>1368</v>
      </c>
      <c r="M57" s="2531"/>
      <c r="N57" s="2532">
        <f ca="1">SUMIF(M52:M56,"&lt;9e307")</f>
        <v>639</v>
      </c>
      <c r="O57" s="2533"/>
      <c r="P57" s="2690">
        <f ca="1">N57/M49</f>
        <v>3.015573383671543E-2</v>
      </c>
    </row>
    <row r="58" spans="1:35" ht="24.75">
      <c r="A58" s="2335" t="s">
        <v>1352</v>
      </c>
      <c r="B58" s="3605" t="s">
        <v>1369</v>
      </c>
      <c r="C58" s="3604"/>
      <c r="D58" s="2324">
        <f ca="1">IF(H58="转让取得",C81,C97)</f>
        <v>0</v>
      </c>
      <c r="E58" s="2334" t="s">
        <v>1364</v>
      </c>
      <c r="F58" s="302" t="s">
        <v>28</v>
      </c>
      <c r="G58" s="2555"/>
      <c r="H58" s="2558" t="s">
        <v>3513</v>
      </c>
      <c r="I58" s="1808"/>
      <c r="J58" s="3581"/>
      <c r="K58" s="3581"/>
      <c r="L58" s="2530" t="s">
        <v>1370</v>
      </c>
      <c r="M58" s="2534"/>
      <c r="N58" s="2535" t="str">
        <f ca="1">NUMBERSTRING(INT(N57*10000),2)&amp;"元整"</f>
        <v>陆佰叁拾玖万元整</v>
      </c>
      <c r="O58" s="2536"/>
    </row>
    <row r="59" spans="1:35" ht="24.75" thickBot="1">
      <c r="A59" s="3585" t="s">
        <v>1371</v>
      </c>
      <c r="B59" s="3586"/>
      <c r="C59" s="358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3514</v>
      </c>
      <c r="I59" s="2313" t="s">
        <v>2137</v>
      </c>
      <c r="J59" s="3583">
        <f>J57+1</f>
        <v>5</v>
      </c>
      <c r="K59" s="3581" t="s">
        <v>1372</v>
      </c>
      <c r="L59" s="2523" t="s">
        <v>1368</v>
      </c>
      <c r="M59" s="2537"/>
      <c r="N59" s="2538">
        <f ca="1">M49-N57</f>
        <v>20551</v>
      </c>
      <c r="O59" s="2539"/>
    </row>
    <row r="60" spans="1:35" ht="12" customHeight="1">
      <c r="A60" s="1809"/>
      <c r="B60" s="1747"/>
      <c r="C60" s="1747"/>
      <c r="D60" s="1747"/>
      <c r="E60" s="1578"/>
      <c r="F60" s="1808"/>
      <c r="G60" s="1808"/>
      <c r="H60" s="1810"/>
      <c r="I60" s="129"/>
      <c r="J60" s="3584"/>
      <c r="K60" s="3581"/>
      <c r="L60" s="2530" t="s">
        <v>1370</v>
      </c>
      <c r="M60" s="2534"/>
      <c r="N60" s="2535" t="str">
        <f ca="1">NUMBERSTRING(INT(N59*10000),2)&amp;"元整"</f>
        <v>贰亿零伍佰伍拾壹万元整</v>
      </c>
      <c r="O60" s="2536"/>
    </row>
    <row r="61" spans="1:35" ht="13.5" thickBot="1">
      <c r="A61" s="3640" t="s">
        <v>1373</v>
      </c>
      <c r="B61" s="3640"/>
      <c r="C61" s="3640"/>
      <c r="D61" s="3640"/>
      <c r="E61" s="3640"/>
      <c r="F61" s="1808"/>
      <c r="G61" s="1808"/>
      <c r="H61" s="1810"/>
      <c r="I61" s="129"/>
      <c r="J61" s="2523">
        <f>J59+1</f>
        <v>6</v>
      </c>
      <c r="K61" s="3581" t="s">
        <v>1374</v>
      </c>
      <c r="L61" s="3581"/>
      <c r="M61" s="2540"/>
      <c r="N61" s="2541">
        <f ca="1">ROUND(N59*10000/'数据-汇总表'!E3,0)</f>
        <v>15227</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11301</v>
      </c>
      <c r="D63" s="167"/>
      <c r="E63" s="168"/>
      <c r="F63" s="1808"/>
      <c r="G63" s="1808"/>
      <c r="H63" s="1810"/>
      <c r="I63" s="129"/>
      <c r="J63" s="3564" t="s">
        <v>1379</v>
      </c>
      <c r="K63" s="1332" t="s">
        <v>1380</v>
      </c>
      <c r="L63" s="1332">
        <f ca="1">IF(M49&gt;10000,M49*0.5%,IF(AND(M49&gt;1000,M49&lt;=10000),M49*1%,IF(AND(M49&gt;100,M49&lt;=1000),M49*3%,IF(AND(M49&gt;10,M49&lt;=100),M49*5%,M49*8%))))</f>
        <v>105.95</v>
      </c>
      <c r="M63" s="302">
        <f ca="1">ROUND(L63,1)</f>
        <v>106</v>
      </c>
      <c r="N63" s="2543"/>
      <c r="Z63" s="1752"/>
      <c r="AI63" s="1753"/>
    </row>
    <row r="64" spans="1:35" ht="14.25" customHeight="1">
      <c r="A64" s="169" t="s">
        <v>325</v>
      </c>
      <c r="B64" s="170" t="s">
        <v>1381</v>
      </c>
      <c r="C64" s="2565">
        <f ca="1">D45</f>
        <v>11866</v>
      </c>
      <c r="D64" s="170" t="s">
        <v>26</v>
      </c>
      <c r="E64" s="172"/>
      <c r="F64" s="1808"/>
      <c r="G64" s="1808"/>
      <c r="H64" s="1810"/>
      <c r="I64" s="129"/>
      <c r="J64" s="3564"/>
      <c r="K64" s="1332" t="s">
        <v>1382</v>
      </c>
      <c r="L64" s="1332">
        <f ca="1">IF(M49&gt;2000,M49*0.5%,IF(AND(M49&gt;1000,M49&lt;=2000),M49*0.6%,IF(AND(M49&gt;500,M49&lt;=1000),M49*0.7%,IF(AND(M49&gt;200,M49&lt;=500),M49*0.8%,IF(AND(M49&gt;100,M49&lt;=200),M49*0.9%,IF(AND(M49&gt;50,M49&lt;=100),M49*1%,IF(AND(M49&gt;20,M49&lt;=50),M49*1.5%,IF(AND(M49&gt;10,M49&lt;=20),M49*2%,IF(AND(M49&gt;1,M49&lt;=10),M49*2.5%)))))))))</f>
        <v>105.95</v>
      </c>
      <c r="M64" s="302">
        <f t="shared" ref="M64:M65" ca="1" si="1">ROUND(L64,1)</f>
        <v>106</v>
      </c>
      <c r="N64" s="2544" t="s">
        <v>1383</v>
      </c>
      <c r="Z64" s="1752"/>
      <c r="AI64" s="1753"/>
    </row>
    <row r="65" spans="1:35" ht="14.25" customHeight="1">
      <c r="A65" s="169" t="s">
        <v>326</v>
      </c>
      <c r="B65" s="170" t="s">
        <v>1384</v>
      </c>
      <c r="C65" s="2566"/>
      <c r="D65" s="170"/>
      <c r="E65" s="172"/>
      <c r="F65" s="1808"/>
      <c r="G65" s="1808"/>
      <c r="H65" s="1810"/>
      <c r="I65" s="129"/>
      <c r="J65" s="3564"/>
      <c r="K65" s="1332" t="s">
        <v>1385</v>
      </c>
      <c r="L65" s="1332">
        <f ca="1">IF(M49&gt;1000,M49*0.1%,IF(AND(M49&gt;500,M49&lt;=1000),M49*0.5%,IF(AND(M49&gt;50,M49&lt;=500),M49*1%,IF(AND(M49&gt;1,M49&lt;=50),M49*1.5%))))</f>
        <v>21.19</v>
      </c>
      <c r="M65" s="302">
        <f t="shared" ca="1" si="1"/>
        <v>21.2</v>
      </c>
      <c r="N65" s="2544" t="s">
        <v>1383</v>
      </c>
      <c r="Z65" s="1752"/>
      <c r="AI65" s="1753"/>
    </row>
    <row r="66" spans="1:35" ht="14.25" customHeight="1">
      <c r="A66" s="173" t="s">
        <v>327</v>
      </c>
      <c r="B66" s="174" t="s">
        <v>1386</v>
      </c>
      <c r="C66" s="2567"/>
      <c r="D66" s="174" t="s">
        <v>26</v>
      </c>
      <c r="E66" s="1338" t="s">
        <v>671</v>
      </c>
      <c r="F66" s="1808"/>
      <c r="G66" s="1808"/>
      <c r="H66" s="1810"/>
      <c r="I66" s="129"/>
      <c r="J66" s="3564"/>
      <c r="K66" s="1332" t="s">
        <v>1387</v>
      </c>
      <c r="L66" s="1332">
        <f ca="1">M49*0.5%</f>
        <v>105.95</v>
      </c>
      <c r="M66" s="302">
        <f ca="1">IF(L66&gt;0.5,0.5,ROUND(L66,0))</f>
        <v>0.5</v>
      </c>
      <c r="N66" s="2544" t="s">
        <v>1388</v>
      </c>
      <c r="Z66" s="1752"/>
      <c r="AI66" s="1753"/>
    </row>
    <row r="67" spans="1:35" ht="14.25" customHeight="1">
      <c r="A67" s="173" t="s">
        <v>328</v>
      </c>
      <c r="B67" s="174" t="s">
        <v>1389</v>
      </c>
      <c r="C67" s="2568">
        <f ca="1">C63-C66</f>
        <v>11301</v>
      </c>
      <c r="D67" s="170" t="s">
        <v>26</v>
      </c>
      <c r="E67" s="172"/>
      <c r="F67" s="1808"/>
      <c r="G67" s="1808"/>
      <c r="H67" s="1810"/>
      <c r="I67" s="129"/>
      <c r="J67" s="3564"/>
      <c r="K67" s="1332" t="s">
        <v>1390</v>
      </c>
      <c r="L67" s="1332">
        <f ca="1">IF(M49&gt;=10000,(8.25+(M49-10000)*0.01%),IF(AND(M49&gt;=8000,M49&lt;10000),(7.85+(M49-8000)*0.02%),IF(AND(M49&gt;=5000,M49&lt;8000),(6.65+(M49-5000)*0.04%),IF(AND(M49&gt;=2000,M49&lt;5000),(4.25+(PM49-2000)*0.08%),IF(AND(M49&gt;=1000,M49&lt;2000),(2.75+(M49-1000)*0.15%),IF(AND(M49&gt;=100,M49&lt;1000),(0.5+(M49-100)*0.25%),IF(AND(M49&gt;0,M49&lt;100),M49*0.5%)))))))</f>
        <v>9.3689999999999998</v>
      </c>
      <c r="M67" s="302">
        <f ca="1">ROUND(L67*0.9,1)</f>
        <v>8.4</v>
      </c>
      <c r="N67" s="2543"/>
      <c r="Z67" s="1752"/>
      <c r="AI67" s="1753"/>
    </row>
    <row r="68" spans="1:35" ht="14.25" customHeight="1" thickBot="1">
      <c r="A68" s="176" t="s">
        <v>329</v>
      </c>
      <c r="B68" s="177" t="s">
        <v>1391</v>
      </c>
      <c r="C68" s="2569">
        <f ca="1">IF(C67&lt;=0,0,ROUND(C67*D68,0))</f>
        <v>633</v>
      </c>
      <c r="D68" s="2570">
        <f>'数据-取费表'!B41</f>
        <v>5.6000000000000001E-2</v>
      </c>
      <c r="E68" s="178"/>
      <c r="F68" s="1808"/>
      <c r="G68" s="1808"/>
      <c r="H68" s="1810"/>
      <c r="I68" s="129"/>
      <c r="J68" s="3564"/>
      <c r="K68" s="1332" t="s">
        <v>1392</v>
      </c>
      <c r="L68" s="1332">
        <f ca="1">IF(M49&gt;10000,M49*0.5%,IF(AND(M49&gt;5000,M49&lt;=10000),M49*1%,IF(AND(M49&gt;1000,M49&lt;=5000),M49*2%,IF(AND(M49&gt;200,M49&lt;=1000),M49*3%,M49*5%))))</f>
        <v>105.95</v>
      </c>
      <c r="M68" s="302">
        <f ca="1">ROUND(L68,1)</f>
        <v>106</v>
      </c>
      <c r="N68" s="2543"/>
      <c r="Z68" s="1752"/>
      <c r="AI68" s="1753"/>
    </row>
    <row r="69" spans="1:35" s="1772" customFormat="1" ht="16.5" customHeight="1">
      <c r="A69" s="1811"/>
      <c r="B69" s="1812"/>
      <c r="C69" s="1813"/>
      <c r="D69" s="1814"/>
      <c r="E69" s="1815"/>
      <c r="F69" s="1578"/>
      <c r="G69" s="1578"/>
      <c r="H69" s="1577"/>
      <c r="I69" s="1747"/>
      <c r="J69" s="3564"/>
      <c r="K69" s="1332" t="s">
        <v>1393</v>
      </c>
      <c r="L69" s="1332"/>
      <c r="M69" s="302">
        <f ca="1">ROUND(SUM(M63:M68),0)</f>
        <v>348</v>
      </c>
      <c r="N69" s="2545">
        <f ca="1">M69/M49</f>
        <v>1.6422840962718264E-2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11301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68</v>
      </c>
      <c r="D78" s="2577">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11233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165.19117647058823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6716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11301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17071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2679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2600</v>
      </c>
      <c r="D88" s="2577"/>
      <c r="E88" s="193" t="s">
        <v>1413</v>
      </c>
      <c r="F88" s="2327"/>
      <c r="G88" s="194" t="s">
        <v>1414</v>
      </c>
      <c r="H88" s="1824" t="s">
        <v>3515</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79</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6" t="s">
        <v>2129</v>
      </c>
      <c r="H90" s="3567"/>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10400</v>
      </c>
      <c r="D91" s="2577"/>
      <c r="E91" s="3597" t="s">
        <v>1419</v>
      </c>
      <c r="F91" s="3598"/>
      <c r="G91" s="3598"/>
      <c r="H91" s="1825" t="s">
        <v>3516</v>
      </c>
      <c r="I91" s="1826">
        <v>10400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1308</v>
      </c>
      <c r="D92" s="2583">
        <v>0.1</v>
      </c>
      <c r="E92" s="3597" t="s">
        <v>1422</v>
      </c>
      <c r="F92" s="3598"/>
      <c r="G92" s="3598"/>
      <c r="H92" s="3599"/>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68</v>
      </c>
      <c r="D93" s="2577">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2616</v>
      </c>
      <c r="D94" s="2577">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-5770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5" t="str">
        <f>C4</f>
        <v>成本法</v>
      </c>
      <c r="D101" s="2586" t="str">
        <f>D4</f>
        <v>收益法</v>
      </c>
      <c r="E101" s="3560" t="s">
        <v>1431</v>
      </c>
      <c r="F101" s="3561"/>
      <c r="G101" s="1827" t="s">
        <v>1432</v>
      </c>
      <c r="H101" s="2595">
        <f ca="1">H118</f>
        <v>21190</v>
      </c>
      <c r="I101" s="129"/>
    </row>
    <row r="102" spans="1:35" ht="18.75" customHeight="1">
      <c r="A102" s="3592" t="s">
        <v>1433</v>
      </c>
      <c r="B102" s="2584" t="s">
        <v>1432</v>
      </c>
      <c r="C102" s="2585">
        <f ca="1">IF(D32="楼面单价",ROUND(C19,0),C19)</f>
        <v>20560</v>
      </c>
      <c r="D102" s="2586">
        <f ca="1">IF(D32="楼面单价",ROUND(D19,0),D19)</f>
        <v>21819</v>
      </c>
      <c r="E102" s="3560"/>
      <c r="F102" s="3561"/>
      <c r="G102" s="1827" t="s">
        <v>1434</v>
      </c>
      <c r="H102" s="2555">
        <f ca="1">I118</f>
        <v>15762</v>
      </c>
      <c r="I102" s="129"/>
    </row>
    <row r="103" spans="1:35" ht="42.75" customHeight="1">
      <c r="A103" s="3592"/>
      <c r="B103" s="2584" t="s">
        <v>1434</v>
      </c>
      <c r="C103" s="2587">
        <f ca="1">C20</f>
        <v>15234</v>
      </c>
      <c r="D103" s="2588">
        <f ca="1">D20</f>
        <v>16230</v>
      </c>
      <c r="E103" s="3553" t="s">
        <v>1435</v>
      </c>
      <c r="F103" s="3554"/>
      <c r="G103" s="1828" t="s">
        <v>1436</v>
      </c>
      <c r="H103" s="2595">
        <f>IF(D36="正常操作",H104+H105+H106,H105+H106)</f>
        <v>0</v>
      </c>
      <c r="I103" s="129"/>
    </row>
    <row r="104" spans="1:35" ht="18.75" customHeight="1">
      <c r="A104" s="3592" t="s">
        <v>1437</v>
      </c>
      <c r="B104" s="2589" t="s">
        <v>1432</v>
      </c>
      <c r="C104" s="2590">
        <f ca="1">H118</f>
        <v>21190</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15762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3" t="str">
        <f>IF(项目基本情况!E8="已注销","——","3.房地产抵押价值")</f>
        <v>3.房地产抵押价值</v>
      </c>
      <c r="F107" s="3561"/>
      <c r="G107" s="1827" t="s">
        <v>1432</v>
      </c>
      <c r="H107" s="2595">
        <f ca="1">IF(E107="——","——",H101-H103)</f>
        <v>21190</v>
      </c>
      <c r="I107" s="129"/>
    </row>
    <row r="108" spans="1:35" ht="18.75" customHeight="1">
      <c r="A108" s="129"/>
      <c r="B108" s="129"/>
      <c r="C108" s="129"/>
      <c r="D108" s="129"/>
      <c r="E108" s="3593"/>
      <c r="F108" s="3561"/>
      <c r="G108" s="1827" t="s">
        <v>1434</v>
      </c>
      <c r="H108" s="2555">
        <f ca="1">IF(H107=H101,H102,ROUND(H107*10000/'数据-汇总表'!E3,0))</f>
        <v>15762</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8" t="str">
        <f>IF(E109="——","——",H101-H105-H106)</f>
        <v>——</v>
      </c>
      <c r="I109" s="129"/>
    </row>
    <row r="110" spans="1:35" ht="18.75" customHeight="1">
      <c r="A110" s="129"/>
      <c r="B110" s="129"/>
      <c r="C110" s="129"/>
      <c r="D110" s="129"/>
      <c r="E110" s="3593"/>
      <c r="F110" s="3561"/>
      <c r="G110" s="1827" t="s">
        <v>1434</v>
      </c>
      <c r="H110" s="2555"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5" t="str">
        <f>IF(E111="——","——",N59)</f>
        <v>——</v>
      </c>
      <c r="I111" s="129"/>
    </row>
    <row r="112" spans="1:35" ht="18.75" customHeight="1" thickBot="1">
      <c r="A112" s="129"/>
      <c r="B112" s="129"/>
      <c r="C112" s="129"/>
      <c r="D112" s="129"/>
      <c r="E112" s="3595"/>
      <c r="F112" s="3596"/>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13443.630000000001</v>
      </c>
      <c r="C118" s="2329">
        <f>M19</f>
        <v>3126.48</v>
      </c>
      <c r="D118" s="2329">
        <f ca="1">ROUND(IF(D32="总价",C34,E118*B118/10000),0)</f>
        <v>11379</v>
      </c>
      <c r="E118" s="2329">
        <f ca="1">ROUND(IF(C33="自定义",IF(D32="楼面单价",C34,D118*10000/B118),I118-G118),0)</f>
        <v>8464</v>
      </c>
      <c r="F118" s="2329">
        <f ca="1">ROUND(IF(D32="总价",C35,G118*B118/10000),0)</f>
        <v>9811</v>
      </c>
      <c r="G118" s="2329">
        <f ca="1">ROUND(IF(D32="楼面单价",C35,F118*10000/B118),0)</f>
        <v>7298</v>
      </c>
      <c r="H118" s="2329">
        <f ca="1">ROUND(IF(D32="总价",C32,I118*B118/10000),0)</f>
        <v>21190</v>
      </c>
      <c r="I118" s="2329">
        <f ca="1">ROUND(IF(D32="楼面单价",C32,H118*10000/B118),0)</f>
        <v>15762</v>
      </c>
    </row>
    <row r="119" spans="1:27" ht="18.75" customHeight="1">
      <c r="A119" s="3568" t="s">
        <v>1452</v>
      </c>
      <c r="B119" s="3568"/>
      <c r="C119" s="3568"/>
      <c r="D119" s="3574" t="str">
        <f ca="1">NUMBERSTRING(INT(D118*10000),2)&amp;"元整"</f>
        <v>壹亿壹仟叁佰柒拾玖万元整</v>
      </c>
      <c r="E119" s="3575"/>
      <c r="F119" s="3574" t="str">
        <f ca="1">NUMBERSTRING(INT(F118*10000),2)&amp;"元整"</f>
        <v>玖仟捌佰壹拾壹万元整</v>
      </c>
      <c r="G119" s="3575"/>
      <c r="H119" s="3574" t="str">
        <f ca="1">NUMBERSTRING(INT(H118*10000),2)&amp;"元整"</f>
        <v>贰亿壹仟壹佰玖拾万元整</v>
      </c>
      <c r="I119" s="3575"/>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房地产抵押价值</v>
      </c>
      <c r="B122" s="3580"/>
      <c r="C122" s="3580"/>
      <c r="D122" s="3569">
        <f ca="1">H107</f>
        <v>21190</v>
      </c>
      <c r="E122" s="3570"/>
      <c r="F122" s="3570"/>
      <c r="G122" s="3570"/>
      <c r="H122" s="3570"/>
      <c r="I122" s="3571"/>
      <c r="AA122" s="725"/>
    </row>
    <row r="123" spans="1:27" ht="18.75" customHeight="1">
      <c r="A123" s="3568" t="s">
        <v>1452</v>
      </c>
      <c r="B123" s="3568"/>
      <c r="C123" s="3568"/>
      <c r="D123" s="3574" t="str">
        <f ca="1">NUMBERSTRING(INT(D122*10000),2)&amp;"元整"</f>
        <v>贰亿壹仟壹佰玖拾万元整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20560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15234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7679</v>
      </c>
      <c r="D5" s="211" t="s">
        <v>1469</v>
      </c>
      <c r="E5" s="212" t="s">
        <v>1470</v>
      </c>
      <c r="F5" s="212" t="s">
        <v>1471</v>
      </c>
      <c r="G5" s="213"/>
    </row>
    <row r="6" spans="1:9" s="214" customFormat="1" ht="13.5" customHeight="1">
      <c r="A6" s="778" t="s">
        <v>1472</v>
      </c>
      <c r="B6" s="215" t="s">
        <v>1473</v>
      </c>
      <c r="C6" s="216">
        <f>基准地价修正!E37+基准地价修正!E38+基准地价修正!V2+基准地价修正!V3</f>
        <v>7190</v>
      </c>
      <c r="D6" s="217"/>
      <c r="E6" s="218"/>
      <c r="F6" s="218"/>
      <c r="G6" s="219"/>
    </row>
    <row r="7" spans="1:9" s="214" customFormat="1" ht="13.5" customHeight="1">
      <c r="A7" s="778" t="s">
        <v>1474</v>
      </c>
      <c r="B7" s="215" t="s">
        <v>1475</v>
      </c>
      <c r="C7" s="220">
        <f>ROUND(C6*F7,0)</f>
        <v>219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270</v>
      </c>
      <c r="D8" s="222"/>
      <c r="E8" s="220"/>
      <c r="F8" s="221"/>
      <c r="G8" s="1856" t="s">
        <v>3416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3417</v>
      </c>
      <c r="H9" s="1137"/>
      <c r="I9" s="1858" t="s">
        <v>1479</v>
      </c>
    </row>
    <row r="10" spans="1:9" s="214" customFormat="1" ht="13.5" customHeight="1">
      <c r="A10" s="779" t="s">
        <v>356</v>
      </c>
      <c r="B10" s="224" t="s">
        <v>1480</v>
      </c>
      <c r="C10" s="225">
        <f ca="1">ROUND(D10*E10/10000,0)</f>
        <v>270</v>
      </c>
      <c r="D10" s="845">
        <f ca="1">IF(B1="",'数据-汇总表'!E6,IF(INDIRECT("'数据-取费表'!c"&amp;$G$1)="住宅",INDIRECT("'数据-取费表'!s"&amp;$G$1),INDIRECT("'数据-取费表'!k"&amp;$G$1)+INDIRECT("'数据-取费表'!s"&amp;$G$1)))</f>
        <v>13495.99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13495.99</v>
      </c>
      <c r="E19" s="211">
        <f>'数据-取费表'!B31</f>
        <v>200</v>
      </c>
      <c r="F19" s="231"/>
      <c r="G19" s="1856" t="s">
        <v>3418</v>
      </c>
    </row>
    <row r="20" spans="1:7" s="214" customFormat="1" ht="13.5" customHeight="1">
      <c r="A20" s="255" t="s">
        <v>1493</v>
      </c>
      <c r="B20" s="210" t="s">
        <v>1494</v>
      </c>
      <c r="C20" s="232">
        <f ca="1">ROUND((C5+C19)*F20,0)</f>
        <v>230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547</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539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1582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1582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11034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8212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7423</v>
      </c>
      <c r="D34" s="217"/>
      <c r="E34" s="220"/>
      <c r="F34" s="257">
        <f ca="1">IF('数据-取费表'!B24=0,1,IF(B1="",'数据-取费表'!N16,INDIRECT("'数据-取费表'!n"&amp;$G$1)))</f>
        <v>1</v>
      </c>
      <c r="G34" s="219" t="s">
        <v>1526</v>
      </c>
    </row>
    <row r="35" spans="1:7" ht="13.5" customHeight="1">
      <c r="A35" s="780" t="s">
        <v>351</v>
      </c>
      <c r="B35" s="215" t="s">
        <v>1527</v>
      </c>
      <c r="C35" s="220">
        <f ca="1">ROUND(C34*F35,0)</f>
        <v>371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270</v>
      </c>
      <c r="D37" s="217">
        <f ca="1">D19</f>
        <v>13495.99</v>
      </c>
      <c r="E37" s="249">
        <f>'数据-取费表'!B35</f>
        <v>200</v>
      </c>
      <c r="F37" s="259"/>
      <c r="G37" s="261" t="s">
        <v>1532</v>
      </c>
    </row>
    <row r="38" spans="1:7" ht="13.5" customHeight="1">
      <c r="A38" s="780" t="s">
        <v>354</v>
      </c>
      <c r="B38" s="215" t="s">
        <v>1533</v>
      </c>
      <c r="C38" s="220">
        <f ca="1">ROUND(C34*F38,0)</f>
        <v>148</v>
      </c>
      <c r="D38" s="220"/>
      <c r="E38" s="220"/>
      <c r="F38" s="259">
        <f>'数据-取费表'!B36</f>
        <v>0.02</v>
      </c>
      <c r="G38" s="219" t="s">
        <v>1528</v>
      </c>
    </row>
    <row r="39" spans="1:7" s="214" customFormat="1" ht="13.5" customHeight="1">
      <c r="A39" s="255" t="s">
        <v>1534</v>
      </c>
      <c r="B39" s="210" t="s">
        <v>1535</v>
      </c>
      <c r="C39" s="232">
        <f ca="1">ROUND(C33*F20,0)</f>
        <v>246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291</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283</v>
      </c>
      <c r="D42" s="238"/>
      <c r="E42" s="238"/>
      <c r="F42" s="239"/>
      <c r="G42" s="3647" t="s">
        <v>1544</v>
      </c>
    </row>
    <row r="43" spans="1:7" ht="13.5" customHeight="1">
      <c r="A43" s="780" t="s">
        <v>347</v>
      </c>
      <c r="B43" s="215" t="s">
        <v>1545</v>
      </c>
      <c r="C43" s="238">
        <f ca="1">ROUND(IF('数据-取费表'!B22&lt;=1,C39*F22*'数据-取费表'!B21/2,C39*(POWER((1+F22),'数据-取费表'!B21/2)-1)),0)</f>
        <v>8</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1692</v>
      </c>
      <c r="D45" s="235">
        <f ca="1">C47</f>
        <v>6.0000000000000001E-3</v>
      </c>
      <c r="E45" s="236" t="s">
        <v>1539</v>
      </c>
      <c r="F45" s="246">
        <f ca="1">F27</f>
        <v>0.2</v>
      </c>
      <c r="G45" s="247" t="s">
        <v>1548</v>
      </c>
    </row>
    <row r="46" spans="1:7" s="214" customFormat="1" ht="13.5" customHeight="1">
      <c r="A46" s="780" t="s">
        <v>346</v>
      </c>
      <c r="B46" s="248" t="s">
        <v>1549</v>
      </c>
      <c r="C46" s="249">
        <f ca="1">ROUND((C33+C39)*F27,0)</f>
        <v>1692</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11477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9526</v>
      </c>
      <c r="D51" s="232"/>
      <c r="E51" s="232"/>
      <c r="F51" s="264"/>
      <c r="G51" s="234" t="s">
        <v>1560</v>
      </c>
    </row>
    <row r="52" spans="1:7" s="208" customFormat="1" ht="16.5" thickBot="1">
      <c r="A52" s="265" t="s">
        <v>1561</v>
      </c>
      <c r="B52" s="266"/>
      <c r="C52" s="267">
        <f ca="1">C31+C51</f>
        <v>20560</v>
      </c>
      <c r="D52" s="266"/>
      <c r="E52" s="266"/>
      <c r="F52" s="266"/>
      <c r="G52" s="268"/>
    </row>
    <row r="55" spans="1:7" ht="15">
      <c r="B55" s="270" t="s">
        <v>1562</v>
      </c>
      <c r="C55" s="271"/>
    </row>
    <row r="56" spans="1:7">
      <c r="B56" s="273" t="s">
        <v>802</v>
      </c>
      <c r="C56" s="275">
        <f ca="1">1-C57</f>
        <v>0.53699999999999992</v>
      </c>
    </row>
    <row r="57" spans="1:7">
      <c r="B57" s="273" t="s">
        <v>803</v>
      </c>
      <c r="C57" s="274">
        <f ca="1">ROUND(C51/C52,3)</f>
        <v>0.46300000000000002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10303.122600000001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7634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2699198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2699198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2699198</v>
      </c>
      <c r="D10" s="845">
        <f ca="1">IF(B1="",'数据-汇总表'!E6,IF(INDIRECT("'数据-取费表'!c"&amp;$G$1)="住宅",INDIRECT("'数据-取费表'!s"&amp;$G$1),INDIRECT("'数据-取费表'!k"&amp;$G$1)+INDIRECT("'数据-取费表'!s"&amp;$G$1)))</f>
        <v>13495.99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2699198</v>
      </c>
      <c r="D19" s="849">
        <f ca="1">D9+D10</f>
        <v>13495.99</v>
      </c>
      <c r="E19" s="211">
        <f>'数据-取费表'!B31</f>
        <v>200</v>
      </c>
      <c r="F19" s="231"/>
      <c r="G19" s="1856"/>
    </row>
    <row r="20" spans="1:7" s="214" customFormat="1" ht="13.5" customHeight="1">
      <c r="A20" s="255" t="s">
        <v>1574</v>
      </c>
      <c r="B20" s="210" t="s">
        <v>1575</v>
      </c>
      <c r="C20" s="232">
        <f ca="1">ROUND((C5+C19)*F20,0)</f>
        <v>161952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384501</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189457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189457</v>
      </c>
      <c r="D24" s="238"/>
      <c r="E24" s="238"/>
      <c r="F24" s="239"/>
      <c r="G24" s="240" t="s">
        <v>1586</v>
      </c>
    </row>
    <row r="25" spans="1:7" s="214" customFormat="1" ht="24">
      <c r="A25" s="780" t="s">
        <v>1476</v>
      </c>
      <c r="B25" s="215" t="s">
        <v>1587</v>
      </c>
      <c r="C25" s="1128">
        <f ca="1">ROUND(IF('数据-取费表'!B22&lt;=1,C20*F22*'数据-取费表'!B22/2,C20*(POWER((1+F22),'数据-取费表'!B22/2)-1)),0)</f>
        <v>5587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1112070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1112070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7757413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82123099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74227945</v>
      </c>
      <c r="D34" s="217"/>
      <c r="E34" s="220"/>
      <c r="F34" s="257"/>
      <c r="G34" s="219"/>
    </row>
    <row r="35" spans="1:7" ht="13.5" customHeight="1">
      <c r="A35" s="780" t="s">
        <v>351</v>
      </c>
      <c r="B35" s="215" t="s">
        <v>1527</v>
      </c>
      <c r="C35" s="220">
        <f ca="1">ROUND(C34*F35,0)</f>
        <v>3711397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2699198</v>
      </c>
      <c r="D37" s="217">
        <f ca="1">D19</f>
        <v>13495.99</v>
      </c>
      <c r="E37" s="249">
        <f>'数据-取费表'!B35</f>
        <v>200</v>
      </c>
      <c r="F37" s="259"/>
      <c r="G37" s="261"/>
    </row>
    <row r="38" spans="1:7" ht="13.5" customHeight="1">
      <c r="A38" s="780" t="s">
        <v>354</v>
      </c>
      <c r="B38" s="215" t="s">
        <v>1533</v>
      </c>
      <c r="C38" s="220">
        <f ca="1">ROUND(C34*F38,0)</f>
        <v>1484559</v>
      </c>
      <c r="D38" s="220"/>
      <c r="E38" s="220"/>
      <c r="F38" s="259">
        <f>'数据-取费表'!B36</f>
        <v>0.02</v>
      </c>
      <c r="G38" s="219" t="s">
        <v>1528</v>
      </c>
    </row>
    <row r="39" spans="1:7" s="214" customFormat="1" ht="13.5" customHeight="1">
      <c r="A39" s="255" t="s">
        <v>1534</v>
      </c>
      <c r="B39" s="210" t="s">
        <v>1535</v>
      </c>
      <c r="C39" s="232">
        <f ca="1">ROUND(C33*F20,0)</f>
        <v>2463693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2918244</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2833247</v>
      </c>
      <c r="D42" s="238"/>
      <c r="E42" s="238"/>
      <c r="F42" s="239"/>
      <c r="G42" s="3647" t="s">
        <v>1591</v>
      </c>
    </row>
    <row r="43" spans="1:7" ht="13.5" customHeight="1">
      <c r="A43" s="780" t="s">
        <v>347</v>
      </c>
      <c r="B43" s="215" t="s">
        <v>1545</v>
      </c>
      <c r="C43" s="238">
        <f ca="1">ROUND(IF('数据-取费表'!B22&lt;=1,C39*F22*'数据-取费表'!B20/2,C39*(POWER((1+F22),'数据-取费表'!B20/2)-1)),0)</f>
        <v>84997</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16917358</v>
      </c>
      <c r="D45" s="235">
        <f ca="1">C47</f>
        <v>6.0000000000000001E-3</v>
      </c>
      <c r="E45" s="236" t="s">
        <v>1539</v>
      </c>
      <c r="F45" s="246">
        <f ca="1">F27</f>
        <v>0.2</v>
      </c>
      <c r="G45" s="247" t="s">
        <v>1548</v>
      </c>
    </row>
    <row r="46" spans="1:7" s="214" customFormat="1" ht="13.5" customHeight="1">
      <c r="A46" s="780" t="s">
        <v>346</v>
      </c>
      <c r="B46" s="248" t="s">
        <v>1549</v>
      </c>
      <c r="C46" s="249">
        <f ca="1">ROUND((C33+C39)*F27,0)</f>
        <v>16917358</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114787726</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95273813</v>
      </c>
      <c r="D51" s="232"/>
      <c r="E51" s="232"/>
      <c r="F51" s="264"/>
      <c r="G51" s="234" t="s">
        <v>1560</v>
      </c>
    </row>
    <row r="52" spans="1:7" s="208" customFormat="1" ht="16.5" thickBot="1">
      <c r="A52" s="265" t="s">
        <v>1561</v>
      </c>
      <c r="B52" s="266"/>
      <c r="C52" s="267">
        <f ca="1">C31+C51</f>
        <v>103031226</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13495.99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13495.99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270</v>
      </c>
      <c r="D20" s="846">
        <f ca="1">IF(C1="",'数据-汇总表'!E6,IF(INDIRECT("'数据-取费表'!c"&amp;$K$1)="住宅",INDIRECT("'数据-取费表'!s"&amp;$K$1),INDIRECT("'数据-取费表'!k"&amp;$K$1)+INDIRECT("'数据-取费表'!s"&amp;$K$1)))</f>
        <v>13495.99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26.35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21819</v>
      </c>
      <c r="C2" s="1387" t="s">
        <v>805</v>
      </c>
      <c r="D2" s="1387"/>
      <c r="E2" s="1388"/>
      <c r="F2" s="1389"/>
      <c r="G2" s="2706"/>
      <c r="H2" s="2695"/>
      <c r="I2" s="2695"/>
      <c r="J2" s="2695"/>
      <c r="K2" s="2696"/>
      <c r="L2" s="2695"/>
      <c r="M2" s="2695"/>
    </row>
    <row r="3" spans="1:37" ht="18" customHeight="1" thickBot="1">
      <c r="A3" s="1390" t="s">
        <v>806</v>
      </c>
      <c r="B3" s="1391">
        <f ca="1">IF(ISERROR(B2*10000/F43),0,ROUND(B2*10000/F43,0))</f>
        <v>16230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1521</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1519</v>
      </c>
      <c r="D6" s="155" t="s">
        <v>2109</v>
      </c>
      <c r="E6" s="302" t="s">
        <v>696</v>
      </c>
      <c r="F6" s="303">
        <f ca="1">INDIRECT("'数据-取费表'!u"&amp;$G$1)</f>
        <v>3.44</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13443.630000000001</v>
      </c>
      <c r="G7" s="1384"/>
      <c r="H7" s="304"/>
      <c r="I7" s="3653"/>
      <c r="J7" s="306"/>
      <c r="K7" s="307"/>
      <c r="L7" s="302" t="s">
        <v>697</v>
      </c>
      <c r="M7" s="303">
        <f ca="1">F7</f>
        <v>13443.630000000001</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3440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9526</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7423</v>
      </c>
      <c r="D14" s="1345" t="s">
        <v>708</v>
      </c>
      <c r="E14" s="1342"/>
      <c r="F14" s="319"/>
      <c r="G14" s="1384"/>
      <c r="H14" s="982" t="s">
        <v>398</v>
      </c>
      <c r="I14" s="302" t="s">
        <v>709</v>
      </c>
      <c r="J14" s="21">
        <f ca="1">C29</f>
        <v>11477</v>
      </c>
      <c r="K14" s="12"/>
      <c r="L14" s="807"/>
      <c r="M14" s="808"/>
    </row>
    <row r="15" spans="1:37" s="1397" customFormat="1" ht="18" customHeight="1" thickBot="1">
      <c r="A15" s="982" t="s">
        <v>399</v>
      </c>
      <c r="B15" s="302" t="s">
        <v>710</v>
      </c>
      <c r="C15" s="21">
        <f ca="1">ROUND(C14*F15,0)</f>
        <v>371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58</v>
      </c>
      <c r="K16" s="1087" t="s">
        <v>715</v>
      </c>
      <c r="L16" s="1088"/>
      <c r="M16" s="1072"/>
    </row>
    <row r="17" spans="1:37" s="1397" customFormat="1" ht="18" customHeight="1">
      <c r="A17" s="982" t="s">
        <v>681</v>
      </c>
      <c r="B17" s="302" t="s">
        <v>716</v>
      </c>
      <c r="C17" s="21">
        <f ca="1">ROUND(F17*(F43+INDIRECT("'数据-取费表'!S"&amp;$G$1))/10000,0)</f>
        <v>270</v>
      </c>
      <c r="D17" s="302" t="s">
        <v>717</v>
      </c>
      <c r="E17" s="302" t="s">
        <v>718</v>
      </c>
      <c r="F17" s="23">
        <f>'数据-取费表'!B35</f>
        <v>200</v>
      </c>
      <c r="G17" s="1396"/>
      <c r="H17" s="982" t="s">
        <v>398</v>
      </c>
      <c r="I17" s="302" t="s">
        <v>719</v>
      </c>
      <c r="J17" s="2316">
        <f ca="1">ROUND(IF(AND(项目基本情况!B11="自然人",项目基本情况!B10="北京市"),J6*M17/(1+'数据-取费表'!C42),J18+J19+J20),2)</f>
        <v>0.94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8212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246</v>
      </c>
      <c r="D20" s="323" t="s">
        <v>729</v>
      </c>
      <c r="E20" s="302" t="s">
        <v>712</v>
      </c>
      <c r="F20" s="322">
        <f>'数据-取费表'!B37</f>
        <v>0.03</v>
      </c>
      <c r="G20" s="1396"/>
      <c r="H20" s="982" t="s">
        <v>680</v>
      </c>
      <c r="I20" s="155" t="s">
        <v>730</v>
      </c>
      <c r="J20" s="22">
        <f ca="1">ROUND(M20*M21/10000,2)</f>
        <v>0.94</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3138.66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57.39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-58</v>
      </c>
      <c r="K25" s="1095" t="s">
        <v>753</v>
      </c>
      <c r="L25" s="1096"/>
      <c r="M25" s="1097"/>
    </row>
    <row r="26" spans="1:37">
      <c r="A26" s="982" t="s">
        <v>397</v>
      </c>
      <c r="B26" s="302" t="s">
        <v>754</v>
      </c>
      <c r="C26" s="21">
        <f ca="1">ROUND((C19+C20)*F26,0)</f>
        <v>1692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11477</v>
      </c>
      <c r="D29" s="1092"/>
      <c r="E29" s="1090"/>
      <c r="F29" s="1093"/>
      <c r="G29" s="1396"/>
      <c r="H29" s="334" t="s">
        <v>396</v>
      </c>
      <c r="I29" s="335" t="s">
        <v>768</v>
      </c>
      <c r="J29" s="336">
        <f ca="1">ROUND(J26/(1+F40)^F41,0)</f>
        <v>0</v>
      </c>
      <c r="K29" s="337" t="s">
        <v>769</v>
      </c>
      <c r="L29" s="338"/>
      <c r="M29" s="339">
        <f ca="1">INDIRECT("'数据-取费表'!k"&amp;$G$1)</f>
        <v>13443.630000000001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255.55</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81.010000000000005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173.6</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0.94</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3138.66</v>
      </c>
      <c r="G35" s="1384"/>
      <c r="H35" s="2697"/>
      <c r="I35" s="1398"/>
      <c r="J35" s="1399"/>
      <c r="K35" s="2701"/>
      <c r="L35" s="2700"/>
      <c r="M35" s="2700"/>
    </row>
    <row r="36" spans="1:18" ht="18" customHeight="1">
      <c r="A36" s="1102" t="s">
        <v>402</v>
      </c>
      <c r="B36" s="302" t="s">
        <v>738</v>
      </c>
      <c r="C36" s="21">
        <f ca="1">ROUND(C29*F36,2)</f>
        <v>57.39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9.5299999999999994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7.61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1191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21136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15722</v>
      </c>
      <c r="D43" s="337" t="s">
        <v>777</v>
      </c>
      <c r="E43" s="338" t="s">
        <v>778</v>
      </c>
      <c r="F43" s="339">
        <f ca="1">INDIRECT("'数据-取费表'!k"&amp;$G$1)</f>
        <v>13443.630000000001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-22071</v>
      </c>
      <c r="D46" s="1406" t="str">
        <f>C2</f>
        <v>万元</v>
      </c>
      <c r="E46" s="1400"/>
      <c r="F46" s="1400"/>
      <c r="I46" s="1407" t="s">
        <v>810</v>
      </c>
      <c r="J46" s="1408"/>
      <c r="K46" s="1409"/>
      <c r="L46" s="1410">
        <f ca="1">IF(M47="住宅",0,IF(L48&gt;J51,L60,J60))</f>
        <v>683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3419</v>
      </c>
      <c r="K47" s="1416" t="s">
        <v>816</v>
      </c>
      <c r="L47" s="1417">
        <f ca="1">INDIRECT("'数据-取费表'!d"&amp;$G$1)</f>
        <v>0</v>
      </c>
      <c r="M47" s="1380" t="str">
        <f>IF(ISNUMBER(FIND("住宅",C1)),"住宅","非住宅")</f>
        <v>非住宅</v>
      </c>
      <c r="O47" s="1418" t="s">
        <v>403</v>
      </c>
      <c r="P47" s="1419" t="s">
        <v>817</v>
      </c>
      <c r="Q47" s="1420">
        <f ca="1">C40+J29</f>
        <v>21136</v>
      </c>
      <c r="R47" s="1420" t="s">
        <v>818</v>
      </c>
    </row>
    <row r="48" spans="1:18" s="1384" customFormat="1" ht="28.5" thickBot="1">
      <c r="A48" s="1110" t="s">
        <v>438</v>
      </c>
      <c r="B48" s="300" t="s">
        <v>692</v>
      </c>
      <c r="C48" s="1359">
        <f ca="1">C49+C53+C55</f>
        <v>0</v>
      </c>
      <c r="D48" s="1112"/>
      <c r="E48" s="1113"/>
      <c r="F48" s="962"/>
      <c r="G48" s="722"/>
      <c r="H48" s="723"/>
      <c r="I48" s="1421" t="s">
        <v>819</v>
      </c>
      <c r="J48" s="1422" t="s">
        <v>3420</v>
      </c>
      <c r="K48" s="1423" t="s">
        <v>820</v>
      </c>
      <c r="L48" s="1424">
        <f ca="1">INDIRECT("'数据-取费表'!f"&amp;$G$1)</f>
        <v>26.35</v>
      </c>
      <c r="O48" s="1418" t="s">
        <v>404</v>
      </c>
      <c r="P48" s="1419" t="s">
        <v>821</v>
      </c>
      <c r="Q48" s="1420">
        <f ca="1">J60</f>
        <v>683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11477</v>
      </c>
      <c r="R49" s="1420" t="s">
        <v>818</v>
      </c>
    </row>
    <row r="50" spans="1:18" s="1384" customFormat="1" ht="13.5" thickBot="1">
      <c r="A50" s="976"/>
      <c r="B50" s="979"/>
      <c r="C50" s="1118"/>
      <c r="D50" s="953"/>
      <c r="E50" s="1056" t="s">
        <v>697</v>
      </c>
      <c r="F50" s="1057">
        <f ca="1">F7</f>
        <v>13443.630000000001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9569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26.35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26.35</v>
      </c>
      <c r="K53" s="3650" t="s">
        <v>837</v>
      </c>
      <c r="L53" s="3651"/>
      <c r="O53" s="1418" t="s">
        <v>409</v>
      </c>
      <c r="P53" s="1419" t="s">
        <v>838</v>
      </c>
      <c r="Q53" s="1420">
        <f ca="1">Q47+Q48</f>
        <v>21819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0.39400000000000002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9526</v>
      </c>
      <c r="D56" s="1447"/>
      <c r="E56" s="1448"/>
      <c r="F56" s="1440"/>
      <c r="I56" s="1449" t="s">
        <v>842</v>
      </c>
      <c r="J56" s="1450" t="s">
        <v>3400</v>
      </c>
      <c r="K56" s="1421" t="s">
        <v>843</v>
      </c>
      <c r="L56" s="1424" t="str">
        <f ca="1">IF(L48&lt;J51,"——",L48-J53)</f>
        <v>——</v>
      </c>
      <c r="O56" s="1418" t="s">
        <v>403</v>
      </c>
      <c r="P56" s="1419" t="s">
        <v>817</v>
      </c>
      <c r="Q56" s="1420">
        <f ca="1">C40+J29</f>
        <v>21136</v>
      </c>
      <c r="R56" s="1420" t="s">
        <v>818</v>
      </c>
    </row>
    <row r="57" spans="1:18" s="1384" customFormat="1" ht="24.75" thickBot="1">
      <c r="A57" s="1451"/>
      <c r="B57" s="950" t="s">
        <v>767</v>
      </c>
      <c r="C57" s="238">
        <f ca="1">C29</f>
        <v>11477</v>
      </c>
      <c r="D57" s="1452"/>
      <c r="E57" s="1453"/>
      <c r="F57" s="1454"/>
      <c r="I57" s="1455" t="s">
        <v>844</v>
      </c>
      <c r="J57" s="1456">
        <f ca="1">IF(OR(M47="住宅",J51&lt;L48,J56="是"),"——",J51-L48)</f>
        <v>23.65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4591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0.94</v>
      </c>
      <c r="D62" s="965" t="s">
        <v>786</v>
      </c>
      <c r="E62" s="950" t="s">
        <v>787</v>
      </c>
      <c r="F62" s="325">
        <f t="shared" si="0"/>
        <v>3</v>
      </c>
      <c r="I62" s="1462" t="s">
        <v>858</v>
      </c>
      <c r="J62" s="1463" t="s">
        <v>859</v>
      </c>
      <c r="K62" s="1463" t="s">
        <v>860</v>
      </c>
      <c r="L62" s="1463" t="s">
        <v>861</v>
      </c>
      <c r="M62" s="1464" t="s">
        <v>862</v>
      </c>
      <c r="O62" s="1418" t="s">
        <v>409</v>
      </c>
      <c r="P62" s="1419" t="s">
        <v>863</v>
      </c>
      <c r="Q62" s="1420">
        <f ca="1">Q56+Q57</f>
        <v>21136</v>
      </c>
      <c r="R62" s="1420" t="s">
        <v>410</v>
      </c>
    </row>
    <row r="63" spans="1:18" s="1384" customFormat="1" ht="13.5" thickBot="1">
      <c r="A63" s="326"/>
      <c r="B63" s="956"/>
      <c r="C63" s="26"/>
      <c r="D63" s="966"/>
      <c r="E63" s="950" t="s">
        <v>788</v>
      </c>
      <c r="F63" s="303">
        <f t="shared" ca="1" si="0"/>
        <v>3138.66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57.39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9.5299999999999994</v>
      </c>
      <c r="D65" s="964" t="s">
        <v>743</v>
      </c>
      <c r="E65" s="950" t="s">
        <v>744</v>
      </c>
      <c r="F65" s="330">
        <f t="shared" ca="1" si="0"/>
        <v>1E-3</v>
      </c>
      <c r="I65" s="1462" t="s">
        <v>867</v>
      </c>
      <c r="J65" s="1463">
        <v>40</v>
      </c>
      <c r="K65" s="1463">
        <v>30</v>
      </c>
      <c r="L65" s="1463">
        <v>50</v>
      </c>
      <c r="M65" s="1465">
        <v>0.02</v>
      </c>
      <c r="O65" s="1418" t="s">
        <v>403</v>
      </c>
      <c r="P65" s="1419" t="s">
        <v>868</v>
      </c>
      <c r="Q65" s="1420">
        <f ca="1">C40+J29</f>
        <v>21136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-68</v>
      </c>
      <c r="D67" s="963" t="s">
        <v>753</v>
      </c>
      <c r="E67" s="968"/>
      <c r="F67" s="969"/>
      <c r="O67" s="1428" t="s">
        <v>405</v>
      </c>
      <c r="P67" s="1419" t="s">
        <v>850</v>
      </c>
      <c r="Q67" s="1466">
        <f ca="1">L51</f>
        <v>9569</v>
      </c>
      <c r="R67" s="1420" t="s">
        <v>870</v>
      </c>
    </row>
    <row r="68" spans="1:18" s="1384" customFormat="1" ht="16.5" thickBot="1">
      <c r="A68" s="947" t="s">
        <v>395</v>
      </c>
      <c r="B68" s="948" t="s">
        <v>774</v>
      </c>
      <c r="C68" s="301">
        <f ca="1">ROUND(C67*(1-((1+F70)/(1+F68))^F69)/(F68-F70),0)</f>
        <v>-935</v>
      </c>
      <c r="D68" s="965" t="s">
        <v>758</v>
      </c>
      <c r="E68" s="950" t="s">
        <v>759</v>
      </c>
      <c r="F68" s="312">
        <f ca="1">F40</f>
        <v>5.5E-2</v>
      </c>
      <c r="O68" s="1428" t="s">
        <v>406</v>
      </c>
      <c r="P68" s="1467" t="s">
        <v>871</v>
      </c>
      <c r="Q68" s="1420">
        <f ca="1">ROUND(Q69-Q70*Q71,0)</f>
        <v>524</v>
      </c>
      <c r="R68" s="1420" t="s">
        <v>414</v>
      </c>
    </row>
    <row r="69" spans="1:18" s="1384" customFormat="1" ht="13.5" thickBot="1">
      <c r="A69" s="951"/>
      <c r="B69" s="952"/>
      <c r="C69" s="306"/>
      <c r="D69" s="970" t="s">
        <v>762</v>
      </c>
      <c r="E69" s="950" t="s">
        <v>763</v>
      </c>
      <c r="F69" s="333">
        <f ca="1">F41</f>
        <v>26.35</v>
      </c>
      <c r="O69" s="1428" t="s">
        <v>411</v>
      </c>
      <c r="P69" s="1467" t="s">
        <v>872</v>
      </c>
      <c r="Q69" s="1420">
        <f ca="1">C39</f>
        <v>1191</v>
      </c>
      <c r="R69" s="1420" t="s">
        <v>818</v>
      </c>
    </row>
    <row r="70" spans="1:18" s="1384" customFormat="1" ht="13.5" thickBot="1">
      <c r="A70" s="954"/>
      <c r="B70" s="955"/>
      <c r="C70" s="310"/>
      <c r="D70" s="966"/>
      <c r="E70" s="950" t="s">
        <v>766</v>
      </c>
      <c r="F70" s="1054"/>
      <c r="O70" s="1428" t="s">
        <v>412</v>
      </c>
      <c r="P70" s="1467" t="s">
        <v>873</v>
      </c>
      <c r="Q70" s="1420">
        <f ca="1">C13</f>
        <v>9526</v>
      </c>
      <c r="R70" s="1420" t="s">
        <v>818</v>
      </c>
    </row>
    <row r="71" spans="1:18" s="1384" customFormat="1" ht="13.5" thickBot="1">
      <c r="A71" s="971" t="s">
        <v>396</v>
      </c>
      <c r="B71" s="972" t="s">
        <v>776</v>
      </c>
      <c r="C71" s="336">
        <f ca="1">ROUND(C68*10000/F71,0)</f>
        <v>-695</v>
      </c>
      <c r="D71" s="973" t="s">
        <v>777</v>
      </c>
      <c r="E71" s="974" t="s">
        <v>778</v>
      </c>
      <c r="F71" s="339">
        <f ca="1">F43</f>
        <v>13443.630000000001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667</v>
      </c>
      <c r="D75" s="1384"/>
      <c r="E75" s="1384"/>
      <c r="F75" s="1384"/>
      <c r="K75" s="1402"/>
      <c r="L75" s="1384"/>
      <c r="O75" s="1418" t="s">
        <v>409</v>
      </c>
      <c r="P75" s="1419" t="s">
        <v>838</v>
      </c>
      <c r="Q75" s="1420">
        <f ca="1">Q65+Q66</f>
        <v>21136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0.43999999999999995</v>
      </c>
    </row>
    <row r="80" spans="1:18">
      <c r="B80" s="340" t="s">
        <v>800</v>
      </c>
      <c r="C80" s="274">
        <f ca="1">ROUND(C75/C39,3)</f>
        <v>0.56000000000000005</v>
      </c>
    </row>
    <row r="81" spans="2:3">
      <c r="B81" s="270" t="s">
        <v>801</v>
      </c>
      <c r="C81" s="238"/>
    </row>
    <row r="82" spans="2:3">
      <c r="B82" s="273" t="s">
        <v>802</v>
      </c>
      <c r="C82" s="275">
        <f ca="1">1-C83</f>
        <v>0.54899999999999993</v>
      </c>
    </row>
    <row r="83" spans="2:3">
      <c r="B83" s="273" t="s">
        <v>803</v>
      </c>
      <c r="C83" s="274">
        <f ca="1">ROUND(C13/C40,3)</f>
        <v>0.45100000000000001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0</v>
      </c>
      <c r="D6" s="155" t="s">
        <v>2106</v>
      </c>
      <c r="E6" s="302" t="s">
        <v>696</v>
      </c>
      <c r="F6" s="303">
        <f ca="1">INDIRECT("'数据-取费表'!u"&amp;$G$1)</f>
        <v>0</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9" t="s">
        <v>2333</v>
      </c>
      <c r="B6" s="3660"/>
      <c r="C6" s="3661"/>
      <c r="D6" s="2870"/>
      <c r="E6" s="2871"/>
      <c r="F6" s="2872"/>
      <c r="G6" s="2873"/>
      <c r="H6" s="2848"/>
      <c r="I6" s="2849"/>
      <c r="J6" s="3662">
        <v>1</v>
      </c>
      <c r="K6" s="366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2"/>
      <c r="K7" s="3664"/>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62"/>
      <c r="K8" s="3664"/>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62"/>
      <c r="K9" s="3664"/>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62"/>
      <c r="K10" s="3664"/>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62"/>
      <c r="K11" s="3664"/>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8" t="s">
        <v>2362</v>
      </c>
      <c r="C12" s="3669"/>
      <c r="D12" s="2897">
        <f>ROUND(D13*1.2%*(1-30%),0)</f>
        <v>0</v>
      </c>
      <c r="E12" s="2898">
        <v>1.2E-2</v>
      </c>
      <c r="F12" s="2891" t="s">
        <v>2363</v>
      </c>
      <c r="G12" s="2892"/>
      <c r="H12" s="2848"/>
      <c r="I12" s="2849"/>
      <c r="J12" s="3662"/>
      <c r="K12" s="3664"/>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2"/>
      <c r="K13" s="3664"/>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8" t="s">
        <v>2368</v>
      </c>
      <c r="C14" s="3669"/>
      <c r="D14" s="2897">
        <f>ROUND(E14*B5/10000,0)</f>
        <v>0</v>
      </c>
      <c r="E14" s="2886"/>
      <c r="F14" s="2891" t="s">
        <v>2369</v>
      </c>
      <c r="G14" s="2892"/>
      <c r="H14" s="2848"/>
      <c r="I14" s="2849"/>
      <c r="J14" s="3662"/>
      <c r="K14" s="366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8" t="s">
        <v>2372</v>
      </c>
      <c r="C15" s="3669"/>
      <c r="D15" s="2897">
        <f>ROUND(D6*E15,0)</f>
        <v>0</v>
      </c>
      <c r="E15" s="2898">
        <v>5.5E-2</v>
      </c>
      <c r="F15" s="2891" t="s">
        <v>2373</v>
      </c>
      <c r="G15" s="2873"/>
      <c r="H15" s="2848"/>
      <c r="I15" s="2849"/>
      <c r="J15" s="3662">
        <v>2</v>
      </c>
      <c r="K15" s="366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8" t="s">
        <v>2381</v>
      </c>
      <c r="C16" s="3669"/>
      <c r="D16" s="2908">
        <f>D6*E16</f>
        <v>0</v>
      </c>
      <c r="E16" s="2909"/>
      <c r="F16" s="2894" t="s">
        <v>2382</v>
      </c>
      <c r="G16" s="2873"/>
      <c r="H16" s="2848"/>
      <c r="I16" s="2849"/>
      <c r="J16" s="3662"/>
      <c r="K16" s="3664"/>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0" t="s">
        <v>2384</v>
      </c>
      <c r="C17" s="3671"/>
      <c r="D17" s="2911">
        <f>ROUND(D6*E17,0)</f>
        <v>0</v>
      </c>
      <c r="E17" s="2912"/>
      <c r="F17" s="2913" t="s">
        <v>2385</v>
      </c>
      <c r="G17" s="2873"/>
      <c r="H17" s="2848"/>
      <c r="I17" s="2849"/>
      <c r="J17" s="3662"/>
      <c r="K17" s="3664"/>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2"/>
      <c r="K18" s="3664"/>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2"/>
      <c r="K19" s="366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2"/>
      <c r="K21" s="3664"/>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2"/>
      <c r="K22" s="3664"/>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2"/>
      <c r="K23" s="3664"/>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2"/>
      <c r="K24" s="366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2">
        <v>1</v>
      </c>
      <c r="K36" s="3663"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2"/>
      <c r="K40" s="3665"/>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21819</v>
      </c>
      <c r="C2" s="1872" t="s">
        <v>1651</v>
      </c>
      <c r="D2" s="1873" t="s">
        <v>1652</v>
      </c>
      <c r="E2" s="2607">
        <f>SUM(E6:E13)</f>
        <v>13495.990000000002</v>
      </c>
      <c r="F2" s="2707"/>
      <c r="G2" s="1489"/>
      <c r="H2" s="1489"/>
      <c r="I2" s="1489"/>
      <c r="J2" s="1489"/>
      <c r="K2" s="1489"/>
      <c r="L2" s="1489"/>
      <c r="M2" s="1489"/>
      <c r="N2" s="1489"/>
      <c r="O2" s="1489"/>
      <c r="P2" s="1489"/>
      <c r="Q2" s="1489"/>
      <c r="R2" s="1489"/>
      <c r="S2" s="1489"/>
    </row>
    <row r="3" spans="1:22" ht="15.75">
      <c r="A3" s="1870" t="s">
        <v>686</v>
      </c>
      <c r="B3" s="2601">
        <f ca="1">ROUND(B2*10000/E2,0)</f>
        <v>16167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4" t="s">
        <v>1654</v>
      </c>
      <c r="C5" s="367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21819</v>
      </c>
      <c r="C6" s="1872" t="s">
        <v>1651</v>
      </c>
      <c r="D6" s="2709"/>
      <c r="E6" s="2606">
        <f>IF(OR(A6=0,F6="否"),0,'数据-取费表'!K6+'数据-取费表'!S6)</f>
        <v>13495.990000000002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13495.99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5"/>
      <c r="M4" s="2716"/>
      <c r="N4" s="2716"/>
      <c r="O4" s="2716"/>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90"/>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3"/>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1"/>
      <c r="Q16" s="1352"/>
      <c r="R16" s="705"/>
      <c r="S16" s="706"/>
      <c r="T16" s="705"/>
      <c r="U16" s="706"/>
      <c r="V16" s="705"/>
      <c r="W16" s="706"/>
      <c r="X16" s="1355"/>
      <c r="Y16" s="3714"/>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1"/>
      <c r="Q18" s="1352"/>
      <c r="R18" s="705"/>
      <c r="S18" s="706"/>
      <c r="T18" s="705"/>
      <c r="U18" s="706"/>
      <c r="V18" s="705"/>
      <c r="W18" s="706"/>
      <c r="X18" s="1355"/>
      <c r="Y18" s="3714"/>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1"/>
      <c r="Q20" s="1352"/>
      <c r="R20" s="705"/>
      <c r="S20" s="706"/>
      <c r="T20" s="705"/>
      <c r="U20" s="706"/>
      <c r="V20" s="705"/>
      <c r="W20" s="706"/>
      <c r="X20" s="1355"/>
      <c r="Y20" s="3714"/>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1"/>
      <c r="Q22" s="1352"/>
      <c r="R22" s="705"/>
      <c r="S22" s="706"/>
      <c r="T22" s="705"/>
      <c r="U22" s="706"/>
      <c r="V22" s="705"/>
      <c r="W22" s="706"/>
      <c r="X22" s="1355"/>
      <c r="Y22" s="3714"/>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3386</v>
      </c>
      <c r="E1" s="3426" t="s">
        <v>3443</v>
      </c>
      <c r="F1" s="1879" t="s">
        <v>3444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8.9</v>
      </c>
      <c r="C3" s="354" t="s">
        <v>1768</v>
      </c>
      <c r="D3" s="353">
        <f>IF(D1="",'数据-汇总表'!E3,SUMIF('数据-汇总表'!$C19:$C33,D1,'数据-汇总表'!$E19:$E33))</f>
        <v>13443.630000000001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687" t="s">
        <v>1673</v>
      </c>
      <c r="D5" s="3688"/>
      <c r="E5" s="3722" t="str">
        <f>Sheet1!F22</f>
        <v>林肯公园C区底商</v>
      </c>
      <c r="F5" s="3686"/>
      <c r="G5" s="3723" t="str">
        <f>Sheet1!F23</f>
        <v>林肯公园C区底商</v>
      </c>
      <c r="H5" s="3688"/>
      <c r="I5" s="3723" t="str">
        <f>Sheet1!F24</f>
        <v>林肯公园B区底商</v>
      </c>
      <c r="J5" s="3688"/>
      <c r="K5" s="559"/>
      <c r="L5" s="2715"/>
      <c r="M5" s="2716"/>
      <c r="N5" s="2716"/>
      <c r="O5" s="2716"/>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45227</v>
      </c>
      <c r="D7" s="365">
        <v>100</v>
      </c>
      <c r="E7" s="366">
        <f>C7</f>
        <v>45227</v>
      </c>
      <c r="F7" s="367">
        <f>SUMIF(58:58,YEAR(E7)&amp;"-"&amp;MONTH(E7),59:59)</f>
        <v>100</v>
      </c>
      <c r="G7" s="366">
        <f>C7</f>
        <v>45227</v>
      </c>
      <c r="H7" s="365">
        <f>SUMIF(58:58,YEAR(G7)&amp;"-"&amp;MONTH(G7),59:59)</f>
        <v>100</v>
      </c>
      <c r="I7" s="366">
        <f>C7</f>
        <v>45227</v>
      </c>
      <c r="J7" s="365">
        <f>SUMIF(58:58,YEAR(I7)&amp;"-"&amp;MONTH(I7),59:59)</f>
        <v>100</v>
      </c>
      <c r="K7" s="560"/>
      <c r="L7" s="2717"/>
      <c r="M7" s="2718"/>
      <c r="N7" s="2718"/>
      <c r="O7" s="2718"/>
      <c r="P7" s="3679" t="s">
        <v>1680</v>
      </c>
      <c r="Q7" s="3707"/>
      <c r="R7" s="701" t="s">
        <v>14</v>
      </c>
      <c r="S7" s="702">
        <f t="shared" ref="S7:S15" si="0">F7</f>
        <v>100</v>
      </c>
      <c r="T7" s="701" t="s">
        <v>14</v>
      </c>
      <c r="U7" s="702">
        <f t="shared" ref="U7:U15" si="1">H7</f>
        <v>100</v>
      </c>
      <c r="V7" s="701" t="s">
        <v>14</v>
      </c>
      <c r="W7" s="702">
        <f t="shared" ref="W7:W15" si="2">J7</f>
        <v>100</v>
      </c>
      <c r="X7" s="703"/>
      <c r="Y7" s="3679" t="s">
        <v>1680</v>
      </c>
      <c r="Z7" s="3680"/>
      <c r="AA7" s="704">
        <f>D7/F7</f>
        <v>1</v>
      </c>
      <c r="AB7" s="704">
        <f>D7/H7</f>
        <v>1</v>
      </c>
      <c r="AC7" s="704">
        <f>D7/J7</f>
        <v>1</v>
      </c>
    </row>
    <row r="8" spans="1:29" s="108" customFormat="1" ht="15.75" thickBot="1">
      <c r="A8" s="362" t="s">
        <v>1681</v>
      </c>
      <c r="B8" s="363"/>
      <c r="C8" s="368" t="s">
        <v>3445</v>
      </c>
      <c r="D8" s="365">
        <v>100</v>
      </c>
      <c r="E8" s="368" t="s">
        <v>3510</v>
      </c>
      <c r="F8" s="367">
        <f>SUMIF(61:61,E8,62:62)-SUMIF(61:61,C8,62:62)+100</f>
        <v>104</v>
      </c>
      <c r="G8" s="368" t="s">
        <v>3510</v>
      </c>
      <c r="H8" s="365">
        <f>SUMIF(61:61,G8,62:62)-SUMIF(61:61,C8,62:62)+100</f>
        <v>104</v>
      </c>
      <c r="I8" s="368" t="s">
        <v>3510</v>
      </c>
      <c r="J8" s="365">
        <f>SUMIF(61:61,I8,62:62)-SUMIF(61:61,C8,62:62)+100</f>
        <v>104</v>
      </c>
      <c r="K8" s="560"/>
      <c r="L8" s="2717"/>
      <c r="M8" s="2718"/>
      <c r="N8" s="2718"/>
      <c r="O8" s="2718"/>
      <c r="P8" s="3679" t="s">
        <v>1683</v>
      </c>
      <c r="Q8" s="3680"/>
      <c r="R8" s="701" t="s">
        <v>14</v>
      </c>
      <c r="S8" s="702">
        <f t="shared" si="0"/>
        <v>104</v>
      </c>
      <c r="T8" s="701" t="s">
        <v>14</v>
      </c>
      <c r="U8" s="702">
        <f t="shared" si="1"/>
        <v>104</v>
      </c>
      <c r="V8" s="701" t="s">
        <v>14</v>
      </c>
      <c r="W8" s="702">
        <f t="shared" si="2"/>
        <v>104</v>
      </c>
      <c r="X8" s="703"/>
      <c r="Y8" s="3679" t="s">
        <v>1683</v>
      </c>
      <c r="Z8" s="3680"/>
      <c r="AA8" s="704">
        <f t="shared" ref="AA8:AA46" si="3">D8/F8</f>
        <v>0.96153846153846156</v>
      </c>
      <c r="AB8" s="704">
        <f t="shared" ref="AB8:AB46" si="4">D8/H8</f>
        <v>0.96153846153846156</v>
      </c>
      <c r="AC8" s="704">
        <f t="shared" ref="AC8:AC46" si="5">D8/J8</f>
        <v>0.96153846153846156</v>
      </c>
    </row>
    <row r="9" spans="1:29" s="108" customFormat="1">
      <c r="A9" s="369" t="s">
        <v>1684</v>
      </c>
      <c r="B9" s="63" t="s">
        <v>1685</v>
      </c>
      <c r="C9" s="3453" t="s">
        <v>3446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t="s">
        <v>3414</v>
      </c>
      <c r="D16" s="399"/>
      <c r="E16" s="398" t="s">
        <v>3414</v>
      </c>
      <c r="F16" s="400"/>
      <c r="G16" s="398" t="s">
        <v>3414</v>
      </c>
      <c r="H16" s="401"/>
      <c r="I16" s="398" t="s">
        <v>3414</v>
      </c>
      <c r="J16" s="399"/>
      <c r="K16" s="564"/>
      <c r="L16" s="2722"/>
      <c r="M16" s="2716"/>
      <c r="N16" s="2716"/>
      <c r="O16" s="2716"/>
      <c r="P16" s="3721"/>
      <c r="Q16" s="1352"/>
      <c r="R16" s="705"/>
      <c r="S16" s="706"/>
      <c r="T16" s="705"/>
      <c r="U16" s="706"/>
      <c r="V16" s="705"/>
      <c r="W16" s="706"/>
      <c r="X16" s="1355"/>
      <c r="Y16" s="3714"/>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398" t="s">
        <v>3414</v>
      </c>
      <c r="D18" s="401"/>
      <c r="E18" s="398" t="s">
        <v>3414</v>
      </c>
      <c r="F18" s="404"/>
      <c r="G18" s="398" t="s">
        <v>3414</v>
      </c>
      <c r="H18" s="399"/>
      <c r="I18" s="398" t="s">
        <v>3414</v>
      </c>
      <c r="J18" s="399"/>
      <c r="K18" s="564"/>
      <c r="L18" s="2722"/>
      <c r="M18" s="2716"/>
      <c r="N18" s="2716"/>
      <c r="O18" s="2716"/>
      <c r="P18" s="3721"/>
      <c r="Q18" s="1352"/>
      <c r="R18" s="705"/>
      <c r="S18" s="706"/>
      <c r="T18" s="705"/>
      <c r="U18" s="706"/>
      <c r="V18" s="705"/>
      <c r="W18" s="706"/>
      <c r="X18" s="1355"/>
      <c r="Y18" s="3714"/>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v>3</v>
      </c>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t="s">
        <v>3414</v>
      </c>
      <c r="D20" s="399"/>
      <c r="E20" s="398" t="s">
        <v>3414</v>
      </c>
      <c r="F20" s="400"/>
      <c r="G20" s="398" t="s">
        <v>3414</v>
      </c>
      <c r="H20" s="399"/>
      <c r="I20" s="398" t="s">
        <v>3414</v>
      </c>
      <c r="J20" s="399"/>
      <c r="K20" s="564"/>
      <c r="L20" s="2722"/>
      <c r="M20" s="2716"/>
      <c r="N20" s="2716"/>
      <c r="O20" s="2716"/>
      <c r="P20" s="3721"/>
      <c r="Q20" s="1352"/>
      <c r="R20" s="705"/>
      <c r="S20" s="706"/>
      <c r="T20" s="705"/>
      <c r="U20" s="706"/>
      <c r="V20" s="705"/>
      <c r="W20" s="706"/>
      <c r="X20" s="1355"/>
      <c r="Y20" s="3714"/>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v>3</v>
      </c>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t="s">
        <v>3475</v>
      </c>
      <c r="D22" s="399"/>
      <c r="E22" s="1901" t="s">
        <v>3475</v>
      </c>
      <c r="F22" s="400"/>
      <c r="G22" s="1901" t="s">
        <v>3475</v>
      </c>
      <c r="H22" s="399"/>
      <c r="I22" s="1901" t="s">
        <v>3475</v>
      </c>
      <c r="J22" s="399"/>
      <c r="K22" s="1130"/>
      <c r="L22" s="2722"/>
      <c r="M22" s="2716"/>
      <c r="N22" s="2716"/>
      <c r="O22" s="2716"/>
      <c r="P22" s="3721"/>
      <c r="Q22" s="1352"/>
      <c r="R22" s="705"/>
      <c r="S22" s="706"/>
      <c r="T22" s="705"/>
      <c r="U22" s="706"/>
      <c r="V22" s="705"/>
      <c r="W22" s="706"/>
      <c r="X22" s="1355"/>
      <c r="Y22" s="3714"/>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v>3</v>
      </c>
      <c r="L23" s="2722"/>
      <c r="M23" s="2716"/>
      <c r="N23" s="2716"/>
      <c r="O23" s="2716"/>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t="s">
        <v>3414</v>
      </c>
      <c r="D24" s="399"/>
      <c r="E24" s="398" t="s">
        <v>3414</v>
      </c>
      <c r="F24" s="400"/>
      <c r="G24" s="398" t="s">
        <v>3414</v>
      </c>
      <c r="H24" s="399"/>
      <c r="I24" s="398" t="s">
        <v>3414</v>
      </c>
      <c r="J24" s="399"/>
      <c r="K24" s="564"/>
      <c r="L24" s="2722"/>
      <c r="M24" s="2716"/>
      <c r="N24" s="2716"/>
      <c r="O24" s="2716"/>
      <c r="P24" s="3721"/>
      <c r="Q24" s="1352"/>
      <c r="R24" s="705"/>
      <c r="S24" s="706"/>
      <c r="T24" s="705"/>
      <c r="U24" s="706"/>
      <c r="V24" s="705"/>
      <c r="W24" s="706"/>
      <c r="X24" s="1355"/>
      <c r="Y24" s="3714"/>
      <c r="Z24" s="1356"/>
      <c r="AA24" s="1353">
        <v>1</v>
      </c>
      <c r="AB24" s="1353">
        <v>1</v>
      </c>
      <c r="AC24" s="1353">
        <v>1</v>
      </c>
    </row>
    <row r="25" spans="1:29" ht="15">
      <c r="A25" s="379"/>
      <c r="B25" s="375" t="s">
        <v>1780</v>
      </c>
      <c r="C25" s="565" t="s">
        <v>3476</v>
      </c>
      <c r="D25" s="386">
        <v>100</v>
      </c>
      <c r="E25" s="565" t="s">
        <v>3476</v>
      </c>
      <c r="F25" s="412">
        <f>SUMIF(86:86,E25,87:87)-SUMIF(86:86,C25,87:87)+100</f>
        <v>100</v>
      </c>
      <c r="G25" s="565" t="s">
        <v>3476</v>
      </c>
      <c r="H25" s="386">
        <f>SUMIF(86:86,G25,87:87)-SUMIF(86:86,C25,87:87)+100</f>
        <v>100</v>
      </c>
      <c r="I25" s="565" t="s">
        <v>3476</v>
      </c>
      <c r="J25" s="386">
        <f>SUMIF(86:86,I25,87:87)-SUMIF(86:86,C25,87:87)+100</f>
        <v>100</v>
      </c>
      <c r="K25" s="561">
        <v>2</v>
      </c>
      <c r="L25" s="2722"/>
      <c r="M25" s="2716"/>
      <c r="N25" s="2716"/>
      <c r="O25" s="2716"/>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459" t="s">
        <v>3518</v>
      </c>
      <c r="D26" s="386">
        <v>100</v>
      </c>
      <c r="E26" s="3459" t="s">
        <v>3518</v>
      </c>
      <c r="F26" s="412">
        <f>SUMIF(88:88,E26,89:89)-SUMIF(88:88,C26,89:89)+100</f>
        <v>100</v>
      </c>
      <c r="G26" s="3459" t="s">
        <v>3518</v>
      </c>
      <c r="H26" s="386">
        <f>SUMIF(88:88,G26,89:89)-SUMIF(88:88,C26,89:89)+100</f>
        <v>100</v>
      </c>
      <c r="I26" s="3459" t="s">
        <v>3518</v>
      </c>
      <c r="J26" s="386">
        <f>SUMIF(88:88,I26,89:89)-SUMIF(88:88,C26,89:89)+100</f>
        <v>100</v>
      </c>
      <c r="K26" s="562"/>
      <c r="L26" s="2722"/>
      <c r="M26" s="2716"/>
      <c r="N26" s="2716"/>
      <c r="O26" s="2716"/>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t="s">
        <v>3477</v>
      </c>
      <c r="D27" s="413">
        <v>100</v>
      </c>
      <c r="E27" s="1956" t="s">
        <v>3477</v>
      </c>
      <c r="F27" s="415">
        <f>SUMIF(90:90,E27,91:91)-SUMIF(90:90,C27,91:91)+100</f>
        <v>100</v>
      </c>
      <c r="G27" s="1956" t="s">
        <v>3477</v>
      </c>
      <c r="H27" s="413">
        <f>SUMIF(90:90,G27,91:91)-SUMIF(90:90,C27,91:91)+100</f>
        <v>100</v>
      </c>
      <c r="I27" s="1956" t="s">
        <v>3477</v>
      </c>
      <c r="J27" s="413">
        <f>SUMIF(90:90,I27,91:91)-SUMIF(90:90,C27,91:91)+100</f>
        <v>100</v>
      </c>
      <c r="K27" s="561">
        <v>2</v>
      </c>
      <c r="L27" s="2717"/>
      <c r="M27" s="2718"/>
      <c r="N27" s="2718"/>
      <c r="O27" s="2718"/>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75" thickBot="1">
      <c r="A28" s="379"/>
      <c r="B28" s="375" t="s">
        <v>1783</v>
      </c>
      <c r="C28" s="565" t="s">
        <v>3469</v>
      </c>
      <c r="D28" s="386">
        <v>100</v>
      </c>
      <c r="E28" s="565" t="s">
        <v>3469</v>
      </c>
      <c r="F28" s="412">
        <f>SUMIF(92:92,E28,93:93)-SUMIF(92:92,C28,93:93)+100</f>
        <v>100</v>
      </c>
      <c r="G28" s="565" t="s">
        <v>3469</v>
      </c>
      <c r="H28" s="386">
        <f>SUMIF(92:92,G28,93:93)-SUMIF(92:92,C28,93:93)+100</f>
        <v>100</v>
      </c>
      <c r="I28" s="565" t="s">
        <v>3496</v>
      </c>
      <c r="J28" s="386">
        <f>SUMIF(92:92,I28,93:93)-SUMIF(92:92,C28,93:93)+100</f>
        <v>80</v>
      </c>
      <c r="K28" s="562"/>
      <c r="L28" s="2722"/>
      <c r="M28" s="2716"/>
      <c r="N28" s="2716"/>
      <c r="O28" s="2716"/>
      <c r="P28" s="3721"/>
      <c r="Q28" s="1352" t="str">
        <f t="shared" si="11"/>
        <v>楼层</v>
      </c>
      <c r="R28" s="705" t="s">
        <v>14</v>
      </c>
      <c r="S28" s="706">
        <f t="shared" ref="S28:S46" si="12">F28</f>
        <v>100</v>
      </c>
      <c r="T28" s="705" t="s">
        <v>14</v>
      </c>
      <c r="U28" s="706">
        <f t="shared" ref="U28:U46" si="13">H28</f>
        <v>100</v>
      </c>
      <c r="V28" s="705" t="s">
        <v>14</v>
      </c>
      <c r="W28" s="706">
        <f t="shared" ref="W28:W46" si="14">J28</f>
        <v>80</v>
      </c>
      <c r="X28" s="1355"/>
      <c r="Y28" s="3714"/>
      <c r="Z28" s="1356" t="str">
        <f t="shared" ref="Z28:Z46" si="15">Q28</f>
        <v>楼层</v>
      </c>
      <c r="AA28" s="1353">
        <f t="shared" si="3"/>
        <v>1</v>
      </c>
      <c r="AB28" s="1353">
        <f t="shared" si="4"/>
        <v>1</v>
      </c>
      <c r="AC28" s="1353">
        <f t="shared" si="5"/>
        <v>1.25</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t="s">
        <v>3470</v>
      </c>
      <c r="D32" s="418">
        <v>100</v>
      </c>
      <c r="E32" s="1910" t="s">
        <v>3471</v>
      </c>
      <c r="F32" s="412">
        <f>SUMIF(100:100,E32,101:101)-SUMIF(100:100,C32,101:101)+100</f>
        <v>98</v>
      </c>
      <c r="G32" s="1910" t="s">
        <v>3471</v>
      </c>
      <c r="H32" s="386">
        <f>SUMIF(100:100,G32,101:101)-SUMIF(100:100,C32,101:101)+100</f>
        <v>98</v>
      </c>
      <c r="I32" s="1910" t="s">
        <v>3471</v>
      </c>
      <c r="J32" s="418">
        <f>SUMIF(100:100,I32,101:101)-SUMIF(100:100,C32,101:101)+100</f>
        <v>98</v>
      </c>
      <c r="K32" s="561">
        <v>2</v>
      </c>
      <c r="L32" s="2722"/>
      <c r="M32" s="2716"/>
      <c r="N32" s="2716"/>
      <c r="O32" s="2716"/>
      <c r="P32" s="3715" t="s">
        <v>1696</v>
      </c>
      <c r="Q32" s="1352" t="str">
        <f t="shared" si="11"/>
        <v>商业类型</v>
      </c>
      <c r="R32" s="705" t="s">
        <v>14</v>
      </c>
      <c r="S32" s="706">
        <f t="shared" si="12"/>
        <v>98</v>
      </c>
      <c r="T32" s="705" t="s">
        <v>14</v>
      </c>
      <c r="U32" s="706">
        <f t="shared" si="13"/>
        <v>98</v>
      </c>
      <c r="V32" s="705" t="s">
        <v>14</v>
      </c>
      <c r="W32" s="706">
        <f t="shared" si="14"/>
        <v>98</v>
      </c>
      <c r="X32" s="1355"/>
      <c r="Y32" s="3718" t="s">
        <v>1696</v>
      </c>
      <c r="Z32" s="1356" t="str">
        <f t="shared" si="15"/>
        <v>商业类型</v>
      </c>
      <c r="AA32" s="1353">
        <f t="shared" si="3"/>
        <v>1.0204081632653061</v>
      </c>
      <c r="AB32" s="1353">
        <f t="shared" si="4"/>
        <v>1.0204081632653061</v>
      </c>
      <c r="AC32" s="1353">
        <f t="shared" si="5"/>
        <v>1.0204081632653061</v>
      </c>
    </row>
    <row r="33" spans="1:29" s="422" customFormat="1" ht="15">
      <c r="A33" s="419"/>
      <c r="B33" s="375" t="s">
        <v>1697</v>
      </c>
      <c r="C33" s="420">
        <f>Sheet1!I4</f>
        <v>548.14</v>
      </c>
      <c r="D33" s="127">
        <v>100</v>
      </c>
      <c r="E33" s="381">
        <f>Sheet1!I22</f>
        <v>175</v>
      </c>
      <c r="F33" s="376">
        <f>LOOKUP(E33,103:103,104:104)-LOOKUP(C33,103:103,104:104)+100</f>
        <v>102</v>
      </c>
      <c r="G33" s="380">
        <f>Sheet1!I23</f>
        <v>215</v>
      </c>
      <c r="H33" s="127">
        <f>LOOKUP(G33,103:103,104:104)-LOOKUP(C33,103:103,104:104)+100</f>
        <v>101</v>
      </c>
      <c r="I33" s="380">
        <f>Sheet1!I24</f>
        <v>110</v>
      </c>
      <c r="J33" s="127">
        <f>LOOKUP(I33,103:103,104:104)-LOOKUP(C33,103:103,104:104)+100</f>
        <v>102</v>
      </c>
      <c r="K33" s="562"/>
      <c r="L33" s="2721"/>
      <c r="M33" s="2723"/>
      <c r="N33" s="2723"/>
      <c r="O33" s="2723"/>
      <c r="P33" s="3716"/>
      <c r="Q33" s="707" t="str">
        <f t="shared" si="11"/>
        <v>项目建筑规模</v>
      </c>
      <c r="R33" s="708" t="s">
        <v>14</v>
      </c>
      <c r="S33" s="709">
        <f t="shared" si="12"/>
        <v>102</v>
      </c>
      <c r="T33" s="708" t="s">
        <v>14</v>
      </c>
      <c r="U33" s="709">
        <f t="shared" si="13"/>
        <v>101</v>
      </c>
      <c r="V33" s="708" t="s">
        <v>14</v>
      </c>
      <c r="W33" s="709">
        <f t="shared" si="14"/>
        <v>102</v>
      </c>
      <c r="X33" s="710"/>
      <c r="Y33" s="3718"/>
      <c r="Z33" s="711" t="str">
        <f t="shared" si="15"/>
        <v>项目建筑规模</v>
      </c>
      <c r="AA33" s="1353">
        <f t="shared" si="3"/>
        <v>0.98039215686274506</v>
      </c>
      <c r="AB33" s="1353">
        <f t="shared" si="4"/>
        <v>0.99009900990099009</v>
      </c>
      <c r="AC33" s="1353">
        <f t="shared" si="5"/>
        <v>0.98039215686274506</v>
      </c>
    </row>
    <row r="34" spans="1:29" ht="15">
      <c r="A34" s="423"/>
      <c r="B34" s="375" t="s">
        <v>1698</v>
      </c>
      <c r="C34" s="1912" t="s">
        <v>3419</v>
      </c>
      <c r="D34" s="386">
        <v>100</v>
      </c>
      <c r="E34" s="1912" t="s">
        <v>3419</v>
      </c>
      <c r="F34" s="412">
        <f>SUMIF(105:105,E34,106:106)-SUMIF(105:105,C34,106:106)+100</f>
        <v>100</v>
      </c>
      <c r="G34" s="1912" t="s">
        <v>3419</v>
      </c>
      <c r="H34" s="386">
        <f>SUMIF(105:105,G34,106:106)-SUMIF(105:105,C34,106:106)+100</f>
        <v>100</v>
      </c>
      <c r="I34" s="1912" t="s">
        <v>3419</v>
      </c>
      <c r="J34" s="386">
        <f>SUMIF(105:105,I34,106:106)-SUMIF(105:105,C34,106:106)+100</f>
        <v>100</v>
      </c>
      <c r="K34" s="561">
        <v>1</v>
      </c>
      <c r="L34" s="2722"/>
      <c r="M34" s="2716"/>
      <c r="N34" s="2716"/>
      <c r="O34" s="2716"/>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t="s">
        <v>3478</v>
      </c>
      <c r="D35" s="386">
        <v>100</v>
      </c>
      <c r="E35" s="1906" t="s">
        <v>3478</v>
      </c>
      <c r="F35" s="412">
        <f>SUMIF(107:107,E35,108:108)-SUMIF(107:107,C35,108:108)+100</f>
        <v>100</v>
      </c>
      <c r="G35" s="1906" t="s">
        <v>3478</v>
      </c>
      <c r="H35" s="386">
        <f>SUMIF(107:107,G35,108:108)-SUMIF(107:107,C35,108:108)+100</f>
        <v>100</v>
      </c>
      <c r="I35" s="1906" t="s">
        <v>3478</v>
      </c>
      <c r="J35" s="386">
        <f>SUMIF(107:107,I35,108:108)-SUMIF(107:107,C35,108:108)+100</f>
        <v>100</v>
      </c>
      <c r="K35" s="561">
        <v>1</v>
      </c>
      <c r="L35" s="2722"/>
      <c r="M35" s="2716"/>
      <c r="N35" s="2716"/>
      <c r="O35" s="2716"/>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2"/>
      <c r="M36" s="2716"/>
      <c r="N36" s="2716"/>
      <c r="O36" s="2716"/>
      <c r="P36" s="3716"/>
      <c r="Q36" s="1352" t="str">
        <f t="shared" si="11"/>
        <v>成新度</v>
      </c>
      <c r="R36" s="705" t="s">
        <v>14</v>
      </c>
      <c r="S36" s="706">
        <f t="shared" si="12"/>
        <v>100</v>
      </c>
      <c r="T36" s="705" t="s">
        <v>14</v>
      </c>
      <c r="U36" s="706">
        <f t="shared" si="13"/>
        <v>100</v>
      </c>
      <c r="V36" s="705" t="s">
        <v>14</v>
      </c>
      <c r="W36" s="706">
        <f t="shared" si="14"/>
        <v>100</v>
      </c>
      <c r="X36" s="1355"/>
      <c r="Y36" s="3718"/>
      <c r="Z36" s="1356" t="str">
        <f t="shared" si="15"/>
        <v>成新度</v>
      </c>
      <c r="AA36" s="1353">
        <f t="shared" si="3"/>
        <v>1</v>
      </c>
      <c r="AB36" s="1353">
        <f t="shared" si="4"/>
        <v>1</v>
      </c>
      <c r="AC36" s="1353">
        <f t="shared" si="5"/>
        <v>1</v>
      </c>
    </row>
    <row r="37" spans="1:29" s="108" customFormat="1" ht="15">
      <c r="A37" s="424"/>
      <c r="B37" s="375" t="s">
        <v>1787</v>
      </c>
      <c r="C37" s="1906" t="s">
        <v>3479</v>
      </c>
      <c r="D37" s="127">
        <v>100</v>
      </c>
      <c r="E37" s="1906" t="s">
        <v>3479</v>
      </c>
      <c r="F37" s="412">
        <f>SUMIF(112:112,E37,113:113)-SUMIF(112:112,C37,113:113)+100</f>
        <v>100</v>
      </c>
      <c r="G37" s="1906" t="s">
        <v>3479</v>
      </c>
      <c r="H37" s="386">
        <f>SUMIF(112:112,G37,113:113)-SUMIF(112:112,C37,113:113)+100</f>
        <v>100</v>
      </c>
      <c r="I37" s="1906" t="s">
        <v>3479</v>
      </c>
      <c r="J37" s="386">
        <f>SUMIF(112:112,I37,113:113)-SUMIF(112:112,C37,113:113)+100</f>
        <v>100</v>
      </c>
      <c r="K37" s="561">
        <v>1</v>
      </c>
      <c r="L37" s="2717"/>
      <c r="M37" s="2718"/>
      <c r="N37" s="2718"/>
      <c r="O37" s="2718"/>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t="s">
        <v>3480</v>
      </c>
      <c r="D38" s="386">
        <v>100</v>
      </c>
      <c r="E38" s="1906" t="s">
        <v>3480</v>
      </c>
      <c r="F38" s="412">
        <f>SUMIF(114:114,E38,115:115)-SUMIF(114:114,C38,115:115)+100</f>
        <v>100</v>
      </c>
      <c r="G38" s="1906" t="s">
        <v>3480</v>
      </c>
      <c r="H38" s="386">
        <f>SUMIF(114:114,G38,115:115)-SUMIF(114:114,C38,115:115)+100</f>
        <v>100</v>
      </c>
      <c r="I38" s="1906" t="s">
        <v>3480</v>
      </c>
      <c r="J38" s="386">
        <f>SUMIF(114:114,I38,115:115)-SUMIF(114:114,C38,115:115)+100</f>
        <v>100</v>
      </c>
      <c r="K38" s="561">
        <v>1</v>
      </c>
      <c r="L38" s="2722"/>
      <c r="M38" s="2716"/>
      <c r="N38" s="2716"/>
      <c r="O38" s="2716"/>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t="s">
        <v>3525</v>
      </c>
      <c r="D39" s="386">
        <v>100</v>
      </c>
      <c r="E39" s="1906" t="s">
        <v>3481</v>
      </c>
      <c r="F39" s="412">
        <f>SUMIF(116:116,E39,117:117)-SUMIF(116:116,C39,117:117)+100</f>
        <v>90</v>
      </c>
      <c r="G39" s="1906" t="s">
        <v>3481</v>
      </c>
      <c r="H39" s="386">
        <f>SUMIF(116:116,G39,117:117)-SUMIF(116:116,C39,117:117)+100</f>
        <v>90</v>
      </c>
      <c r="I39" s="1906" t="s">
        <v>3481</v>
      </c>
      <c r="J39" s="386">
        <f>SUMIF(116:116,I39,117:117)-SUMIF(116:116,C39,117:117)+100</f>
        <v>90</v>
      </c>
      <c r="K39" s="561">
        <v>10</v>
      </c>
      <c r="L39" s="2722"/>
      <c r="M39" s="2716"/>
      <c r="N39" s="2716"/>
      <c r="O39" s="2716"/>
      <c r="P39" s="3716"/>
      <c r="Q39" s="1352" t="str">
        <f t="shared" si="11"/>
        <v>层高</v>
      </c>
      <c r="R39" s="705" t="s">
        <v>14</v>
      </c>
      <c r="S39" s="706">
        <f t="shared" si="12"/>
        <v>90</v>
      </c>
      <c r="T39" s="705" t="s">
        <v>14</v>
      </c>
      <c r="U39" s="706">
        <f t="shared" si="13"/>
        <v>90</v>
      </c>
      <c r="V39" s="705" t="s">
        <v>14</v>
      </c>
      <c r="W39" s="706">
        <f t="shared" si="14"/>
        <v>90</v>
      </c>
      <c r="X39" s="1355"/>
      <c r="Y39" s="3718"/>
      <c r="Z39" s="1356" t="str">
        <f t="shared" si="15"/>
        <v>层高</v>
      </c>
      <c r="AA39" s="1353">
        <f t="shared" si="3"/>
        <v>1.1111111111111112</v>
      </c>
      <c r="AB39" s="1353">
        <f t="shared" si="4"/>
        <v>1.1111111111111112</v>
      </c>
      <c r="AC39" s="1353">
        <f t="shared" si="5"/>
        <v>1.1111111111111112</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t="s">
        <v>3483</v>
      </c>
      <c r="D41" s="386">
        <v>100</v>
      </c>
      <c r="E41" s="565" t="s">
        <v>3483</v>
      </c>
      <c r="F41" s="412">
        <f>SUMIF(120:120,E41,121:121)-SUMIF(120:120,C41,121:121)+100</f>
        <v>100</v>
      </c>
      <c r="G41" s="565" t="s">
        <v>3483</v>
      </c>
      <c r="H41" s="386">
        <f>SUMIF(120:120,G41,121:121)-SUMIF(120:120,C41,121:121)+100</f>
        <v>100</v>
      </c>
      <c r="I41" s="565" t="s">
        <v>3483</v>
      </c>
      <c r="J41" s="386">
        <f>SUMIF(120:120,I41,121:121)-SUMIF(120:120,C41,121:121)+100</f>
        <v>100</v>
      </c>
      <c r="K41" s="561">
        <v>1</v>
      </c>
      <c r="L41" s="2721"/>
      <c r="M41" s="2723"/>
      <c r="N41" s="2723"/>
      <c r="O41" s="2723"/>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t="s">
        <v>3482</v>
      </c>
      <c r="D42" s="386">
        <v>100</v>
      </c>
      <c r="E42" s="1906" t="s">
        <v>3499</v>
      </c>
      <c r="F42" s="412">
        <f>SUMIF(122:122,E42,123:123)-SUMIF(122:122,C42,123:123)+100</f>
        <v>110</v>
      </c>
      <c r="G42" s="1906" t="s">
        <v>3499</v>
      </c>
      <c r="H42" s="386">
        <f>SUMIF(122:122,G42,123:123)-SUMIF(122:122,C42,123:123)+100</f>
        <v>110</v>
      </c>
      <c r="I42" s="1906" t="s">
        <v>3499</v>
      </c>
      <c r="J42" s="386">
        <f>SUMIF(122:122,I42,123:123)-SUMIF(122:122,C42,123:123)+100</f>
        <v>110</v>
      </c>
      <c r="K42" s="561">
        <v>5</v>
      </c>
      <c r="L42" s="2722"/>
      <c r="M42" s="2716"/>
      <c r="N42" s="2716"/>
      <c r="O42" s="2716"/>
      <c r="P42" s="3716"/>
      <c r="Q42" s="1352" t="str">
        <f t="shared" si="11"/>
        <v>内部装修</v>
      </c>
      <c r="R42" s="705" t="s">
        <v>14</v>
      </c>
      <c r="S42" s="706">
        <f t="shared" si="12"/>
        <v>110</v>
      </c>
      <c r="T42" s="705" t="s">
        <v>14</v>
      </c>
      <c r="U42" s="706">
        <f t="shared" si="13"/>
        <v>110</v>
      </c>
      <c r="V42" s="705" t="s">
        <v>14</v>
      </c>
      <c r="W42" s="706">
        <f t="shared" si="14"/>
        <v>110</v>
      </c>
      <c r="X42" s="1355"/>
      <c r="Y42" s="3718"/>
      <c r="Z42" s="1356" t="str">
        <f t="shared" si="15"/>
        <v>内部装修</v>
      </c>
      <c r="AA42" s="1353">
        <f t="shared" si="3"/>
        <v>0.90909090909090906</v>
      </c>
      <c r="AB42" s="1353">
        <f t="shared" si="4"/>
        <v>0.90909090909090906</v>
      </c>
      <c r="AC42" s="1353">
        <f t="shared" si="5"/>
        <v>0.90909090909090906</v>
      </c>
    </row>
    <row r="43" spans="1:29" ht="15">
      <c r="A43" s="423"/>
      <c r="B43" s="375" t="s">
        <v>1707</v>
      </c>
      <c r="C43" s="1906" t="s">
        <v>3414</v>
      </c>
      <c r="D43" s="386">
        <v>100</v>
      </c>
      <c r="E43" s="1906" t="s">
        <v>3414</v>
      </c>
      <c r="F43" s="412">
        <f>SUMIF(124:124,E43,125:125)-SUMIF(124:124,C43,125:125)+100</f>
        <v>100</v>
      </c>
      <c r="G43" s="1906" t="s">
        <v>3414</v>
      </c>
      <c r="H43" s="386">
        <f>SUMIF(124:124,G43,125:125)-SUMIF(124:124,C43,125:125)+100</f>
        <v>100</v>
      </c>
      <c r="I43" s="1906" t="s">
        <v>3414</v>
      </c>
      <c r="J43" s="386">
        <f>SUMIF(124:124,I43,125:125)-SUMIF(124:124,C43,125:125)+100</f>
        <v>100</v>
      </c>
      <c r="K43" s="561">
        <v>1</v>
      </c>
      <c r="L43" s="2722"/>
      <c r="M43" s="2716"/>
      <c r="N43" s="2716"/>
      <c r="O43" s="2716"/>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3457" t="s">
        <v>3517</v>
      </c>
      <c r="C44" s="3458" t="s">
        <v>3501</v>
      </c>
      <c r="D44" s="127">
        <v>100</v>
      </c>
      <c r="E44" s="3459" t="s">
        <v>3503</v>
      </c>
      <c r="F44" s="376">
        <f>SUMIF(126:126,E44,127:127)-SUMIF(126:126,C44,127:127)+100</f>
        <v>100</v>
      </c>
      <c r="G44" s="3459" t="s">
        <v>3505</v>
      </c>
      <c r="H44" s="127">
        <f>SUMIF(126:126,G44,127:127)-SUMIF(126:126,C44,127:127)+100</f>
        <v>100</v>
      </c>
      <c r="I44" s="3459" t="s">
        <v>3504</v>
      </c>
      <c r="J44" s="127">
        <f>SUMIF(126:126,I44,127:127)-SUMIF(126:126,C44,127:127)+100</f>
        <v>105</v>
      </c>
      <c r="K44" s="562"/>
      <c r="L44" s="2717"/>
      <c r="M44" s="2718"/>
      <c r="N44" s="2718"/>
      <c r="O44" s="2718"/>
      <c r="P44" s="3716"/>
      <c r="Q44" s="1343" t="str">
        <f t="shared" si="11"/>
        <v>其他利用状况</v>
      </c>
      <c r="R44" s="701" t="s">
        <v>14</v>
      </c>
      <c r="S44" s="702">
        <f t="shared" si="12"/>
        <v>100</v>
      </c>
      <c r="T44" s="701" t="s">
        <v>14</v>
      </c>
      <c r="U44" s="702">
        <f t="shared" si="13"/>
        <v>100</v>
      </c>
      <c r="V44" s="701" t="s">
        <v>14</v>
      </c>
      <c r="W44" s="702">
        <f t="shared" si="14"/>
        <v>105</v>
      </c>
      <c r="X44" s="703"/>
      <c r="Y44" s="3718"/>
      <c r="Z44" s="52" t="str">
        <f t="shared" si="15"/>
        <v>其他利用状况</v>
      </c>
      <c r="AA44" s="704">
        <f t="shared" si="3"/>
        <v>1</v>
      </c>
      <c r="AB44" s="704">
        <f t="shared" si="4"/>
        <v>1</v>
      </c>
      <c r="AC44" s="704">
        <f t="shared" si="5"/>
        <v>0.95238095238095233</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f>Sheet1!M22</f>
        <v>8.61</v>
      </c>
      <c r="F47" s="1157"/>
      <c r="G47" s="1158">
        <f>Sheet1!M23</f>
        <v>9.17</v>
      </c>
      <c r="H47" s="1159"/>
      <c r="I47" s="1156">
        <f>Sheet1!M24</f>
        <v>7.97</v>
      </c>
      <c r="J47" s="1159"/>
      <c r="K47" s="714"/>
      <c r="L47" s="2724"/>
      <c r="M47" s="2725"/>
      <c r="N47" s="2716"/>
      <c r="O47" s="2725"/>
      <c r="P47" s="3711" t="str">
        <f>A47</f>
        <v>成交单价（元/平方米）</v>
      </c>
      <c r="Q47" s="3711"/>
      <c r="R47" s="3706">
        <f>E47</f>
        <v>8.61</v>
      </c>
      <c r="S47" s="3706"/>
      <c r="T47" s="3706">
        <f>G47</f>
        <v>9.17</v>
      </c>
      <c r="U47" s="3706"/>
      <c r="V47" s="3706">
        <f>I47</f>
        <v>7.97</v>
      </c>
      <c r="W47" s="3706"/>
      <c r="X47" s="690"/>
      <c r="Y47" s="712"/>
      <c r="Z47" s="690"/>
      <c r="AA47" s="690"/>
      <c r="AB47" s="690"/>
      <c r="AC47" s="690"/>
    </row>
    <row r="48" spans="1:29" ht="15.75" thickBot="1">
      <c r="A48" s="437" t="s">
        <v>1793</v>
      </c>
      <c r="B48" s="438"/>
      <c r="C48" s="1160">
        <f>R49</f>
        <v>8.9</v>
      </c>
      <c r="D48" s="2317" t="s">
        <v>2138</v>
      </c>
      <c r="E48" s="1161">
        <f>R48</f>
        <v>8.4</v>
      </c>
      <c r="F48" s="2318"/>
      <c r="G48" s="1160">
        <f>T48</f>
        <v>9</v>
      </c>
      <c r="H48" s="2318"/>
      <c r="I48" s="1161">
        <f>V48</f>
        <v>9.1999999999999993</v>
      </c>
      <c r="J48" s="2318"/>
      <c r="K48" s="2320">
        <f>F48+H48+J48</f>
        <v>0</v>
      </c>
      <c r="L48" s="2724"/>
      <c r="M48" s="2725"/>
      <c r="N48" s="2716"/>
      <c r="O48" s="2725"/>
      <c r="P48" s="3711" t="str">
        <f>A48</f>
        <v>比较价值（元/平方米）</v>
      </c>
      <c r="Q48" s="3711"/>
      <c r="R48" s="3712">
        <f>IF(F1="售价",ROUND(PRODUCT(R47,AA7:AA46),0),ROUND(PRODUCT(R47,AA7:AA46),1))</f>
        <v>8.4</v>
      </c>
      <c r="S48" s="3712"/>
      <c r="T48" s="3712">
        <f>IF(F1="售价",ROUND(PRODUCT(T47,AB7:AB46),0),ROUND(PRODUCT(T47,AB7:AB46),1))</f>
        <v>9</v>
      </c>
      <c r="U48" s="3712"/>
      <c r="V48" s="3712">
        <f>IF(F1="售价",ROUND(PRODUCT(V47,AC7:AC46),0),ROUND(PRODUCT(V47,AC7:AC46),1))</f>
        <v>9.1999999999999993</v>
      </c>
      <c r="W48" s="3712"/>
      <c r="X48" s="690"/>
      <c r="Y48" s="690"/>
      <c r="Z48" s="690"/>
      <c r="AA48" s="690"/>
      <c r="AB48" s="690"/>
      <c r="AC48" s="690"/>
    </row>
    <row r="49" spans="1:29" ht="15.75" thickBot="1">
      <c r="A49" s="441" t="s">
        <v>1794</v>
      </c>
      <c r="B49" s="442"/>
      <c r="C49" s="1163">
        <f>R49</f>
        <v>8.9</v>
      </c>
      <c r="D49" s="1163"/>
      <c r="E49" s="1163"/>
      <c r="F49" s="1163"/>
      <c r="G49" s="1163"/>
      <c r="H49" s="1163"/>
      <c r="I49" s="1163"/>
      <c r="J49" s="1163"/>
      <c r="K49" s="715"/>
      <c r="L49" s="2724"/>
      <c r="M49" s="2725"/>
      <c r="N49" s="2716"/>
      <c r="O49" s="2725"/>
      <c r="P49" s="3708" t="str">
        <f>A49</f>
        <v>估价对象XX用房的比较价值（楼面单价，元/平方米）</v>
      </c>
      <c r="Q49" s="3709"/>
      <c r="R49" s="3710">
        <f>IF(F1="售价",ROUND(IF(D48="简单平均",AVERAGE(R48:V48),R48*F48+T48*H48+V48*J48),0),ROUND(IF(D48="简单平均",AVERAGE(R48:V48),R48*F48+T48*H48+V48*J48),1))</f>
        <v>8.9</v>
      </c>
      <c r="S49" s="3710"/>
      <c r="T49" s="3710"/>
      <c r="U49" s="3710"/>
      <c r="V49" s="3710"/>
      <c r="W49" s="371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2.4999999999999911E-2</v>
      </c>
      <c r="F52" s="449" t="str">
        <f>IF(OR(E52&gt;=0.3,E52&lt;=-0.3),"超过30%","")</f>
        <v/>
      </c>
      <c r="G52" s="448">
        <f>IF(G47&lt;G48,G48/G47-1,G47/G48-1)</f>
        <v>1.8888888888888955E-2</v>
      </c>
      <c r="H52" s="449" t="str">
        <f>IF(OR(G52&gt;=0.3,G52&lt;=-0.3),"超过30%","")</f>
        <v/>
      </c>
      <c r="I52" s="448">
        <f>IF(I47&lt;I48,I48/I47-1,I47/I48-1)</f>
        <v>0.15432873274780423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7.1428571428571397E-2</v>
      </c>
      <c r="F53" s="449" t="str">
        <f>IF(OR(E53&gt;=0.2,E53&lt;=-0.2),"超过20%","")</f>
        <v/>
      </c>
      <c r="G53" s="448">
        <f>IF(G48&lt;I48,I48/G48-1,G48/I48-1)</f>
        <v>2.2222222222222143E-2</v>
      </c>
      <c r="H53" s="449" t="str">
        <f>IF(OR(G53&gt;=0.2,G53&lt;=-0.2),"超过20%","")</f>
        <v/>
      </c>
      <c r="I53" s="448">
        <f>IF(I48&lt;E48,E48/I48-1,I48/E48-1)</f>
        <v>9.5238095238095122E-2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6.5040650406504197E-2</v>
      </c>
      <c r="F54" s="449" t="str">
        <f>IF(OR(E54&gt;=0.3,E54&lt;=-0.3),"超过30%","")</f>
        <v/>
      </c>
      <c r="G54" s="448">
        <f>IF(G47&lt;I47,I47/G47-1,G47/I47-1)</f>
        <v>0.15056461731493109</v>
      </c>
      <c r="H54" s="449" t="str">
        <f>IF(OR(G54&gt;=0.3,G54&lt;=-0.3),"超过30%","")</f>
        <v/>
      </c>
      <c r="I54" s="448">
        <f>IF(I47&lt;E47,E47/I47-1,I47/E47-1)</f>
        <v>8.0301129234629842E-2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62" t="s">
        <v>3511</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104</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v>5</v>
      </c>
      <c r="I68" s="498">
        <v>6</v>
      </c>
      <c r="J68" s="498">
        <v>7</v>
      </c>
      <c r="K68" s="498">
        <v>8</v>
      </c>
      <c r="L68" s="498">
        <v>9</v>
      </c>
      <c r="M68" s="498">
        <v>10</v>
      </c>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97</v>
      </c>
      <c r="E79" s="493">
        <f>D79-$K17</f>
        <v>94</v>
      </c>
      <c r="F79" s="493">
        <f>E79-$K17</f>
        <v>91</v>
      </c>
      <c r="G79" s="493">
        <f>F79-$K17</f>
        <v>88</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97</v>
      </c>
      <c r="E81" s="493">
        <f>D81-$K19</f>
        <v>94</v>
      </c>
      <c r="F81" s="493">
        <f>E81-$K19</f>
        <v>91</v>
      </c>
      <c r="G81" s="493">
        <f>F81-$K19</f>
        <v>88</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97</v>
      </c>
      <c r="E83" s="493">
        <f t="shared" ref="E83:G83" si="19">D83-$K21</f>
        <v>94</v>
      </c>
      <c r="F83" s="493">
        <f t="shared" si="19"/>
        <v>91</v>
      </c>
      <c r="G83" s="493">
        <f t="shared" si="19"/>
        <v>88</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97</v>
      </c>
      <c r="E85" s="493">
        <f>D85-$K23</f>
        <v>94</v>
      </c>
      <c r="F85" s="493">
        <f>E85-$K23</f>
        <v>91</v>
      </c>
      <c r="G85" s="493">
        <f>F85-$K23</f>
        <v>88</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4" t="s">
        <v>3447</v>
      </c>
      <c r="D86" s="3454" t="s">
        <v>3448</v>
      </c>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4"/>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4" t="s">
        <v>3449</v>
      </c>
      <c r="D90" s="3454" t="s">
        <v>3450</v>
      </c>
      <c r="E90" s="3454" t="s">
        <v>3451</v>
      </c>
      <c r="F90" s="3454" t="s">
        <v>3452</v>
      </c>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3454" t="s">
        <v>3453</v>
      </c>
      <c r="D92" s="3454" t="s">
        <v>3454</v>
      </c>
      <c r="E92" s="3454" t="s">
        <v>3455</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f>ROUND((C93+D93)/2,0)</f>
        <v>90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5" t="s">
        <v>3456</v>
      </c>
      <c r="D100" s="3455" t="s">
        <v>3457</v>
      </c>
      <c r="E100" s="3455" t="s">
        <v>3458</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500</v>
      </c>
      <c r="G103" s="544">
        <v>800</v>
      </c>
      <c r="H103" s="544">
        <v>1000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509">
        <v>98</v>
      </c>
      <c r="F104" s="485">
        <v>97</v>
      </c>
      <c r="G104" s="509">
        <v>96</v>
      </c>
      <c r="H104" s="485">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4" t="s">
        <v>3459</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4" t="s">
        <v>3460</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4">
        <f t="shared" si="25"/>
        <v>90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4" t="s">
        <v>3461</v>
      </c>
      <c r="D112" s="3454" t="s">
        <v>3462</v>
      </c>
      <c r="E112" s="3454" t="s">
        <v>3463</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4" t="s">
        <v>3464</v>
      </c>
      <c r="D114" s="3454" t="s">
        <v>3465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4" t="s">
        <v>3526</v>
      </c>
      <c r="D116" s="3454" t="s">
        <v>3500</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3456" t="s">
        <v>3484</v>
      </c>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4" t="s">
        <v>3466</v>
      </c>
      <c r="D122" s="3454" t="s">
        <v>3467</v>
      </c>
      <c r="E122" s="3454" t="s">
        <v>3468</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95</v>
      </c>
      <c r="E123" s="493">
        <f t="shared" si="30"/>
        <v>90</v>
      </c>
      <c r="F123" s="493">
        <f t="shared" si="30"/>
        <v>85</v>
      </c>
      <c r="G123" s="493">
        <f t="shared" si="30"/>
        <v>80</v>
      </c>
      <c r="H123" s="493">
        <f t="shared" si="30"/>
        <v>75</v>
      </c>
      <c r="I123" s="493">
        <f t="shared" si="30"/>
        <v>70</v>
      </c>
      <c r="J123" s="493">
        <f t="shared" si="30"/>
        <v>65</v>
      </c>
      <c r="K123" s="493">
        <f t="shared" si="30"/>
        <v>60</v>
      </c>
      <c r="L123" s="493">
        <f t="shared" si="30"/>
        <v>55</v>
      </c>
      <c r="M123" s="494">
        <f t="shared" si="30"/>
        <v>50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其他利用状况</v>
      </c>
      <c r="C126" s="3454" t="s">
        <v>3503</v>
      </c>
      <c r="D126" s="3454" t="s">
        <v>3502</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105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13495.99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730" t="s">
        <v>1775</v>
      </c>
      <c r="Q4" s="3731"/>
      <c r="R4" s="3725" t="s">
        <v>1771</v>
      </c>
      <c r="S4" s="3726"/>
      <c r="T4" s="3725" t="s">
        <v>1772</v>
      </c>
      <c r="U4" s="3726"/>
      <c r="V4" s="3734" t="s">
        <v>1773</v>
      </c>
      <c r="W4" s="3734"/>
      <c r="X4" s="1958"/>
      <c r="Y4" s="3725" t="s">
        <v>1775</v>
      </c>
      <c r="Z4" s="3726"/>
      <c r="AA4" s="3724" t="s">
        <v>1771</v>
      </c>
      <c r="AB4" s="3724" t="s">
        <v>1772</v>
      </c>
      <c r="AC4" s="3727" t="s">
        <v>1773</v>
      </c>
    </row>
    <row r="5" spans="1:29" ht="15">
      <c r="A5" s="358"/>
      <c r="B5" s="359"/>
      <c r="C5" s="3687" t="s">
        <v>1673</v>
      </c>
      <c r="D5" s="3688"/>
      <c r="E5" s="3685" t="s">
        <v>1674</v>
      </c>
      <c r="F5" s="3686"/>
      <c r="G5" s="3687" t="s">
        <v>1675</v>
      </c>
      <c r="H5" s="3688"/>
      <c r="I5" s="3687" t="s">
        <v>1676</v>
      </c>
      <c r="J5" s="3688"/>
      <c r="K5" s="559"/>
      <c r="L5" s="2715"/>
      <c r="M5" s="2716"/>
      <c r="N5" s="2716"/>
      <c r="O5" s="2716"/>
      <c r="P5" s="3732"/>
      <c r="Q5" s="3701"/>
      <c r="R5" s="3683"/>
      <c r="S5" s="3684"/>
      <c r="T5" s="3683"/>
      <c r="U5" s="3684"/>
      <c r="V5" s="3706"/>
      <c r="W5" s="3706"/>
      <c r="X5" s="1355"/>
      <c r="Y5" s="3683"/>
      <c r="Z5" s="3684"/>
      <c r="AA5" s="3677"/>
      <c r="AB5" s="3677"/>
      <c r="AC5" s="3728"/>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33"/>
      <c r="Q6" s="3703"/>
      <c r="R6" s="3683"/>
      <c r="S6" s="3684"/>
      <c r="T6" s="3704"/>
      <c r="U6" s="3705"/>
      <c r="V6" s="3706"/>
      <c r="W6" s="3706"/>
      <c r="X6" s="1355"/>
      <c r="Y6" s="3704"/>
      <c r="Z6" s="3705"/>
      <c r="AA6" s="3678"/>
      <c r="AB6" s="3678"/>
      <c r="AC6" s="3729"/>
    </row>
    <row r="7" spans="1:29" s="108" customFormat="1" ht="15.75" thickBot="1">
      <c r="A7" s="362" t="s">
        <v>1679</v>
      </c>
      <c r="B7" s="363"/>
      <c r="C7" s="364">
        <f>'数据-取费表'!B2</f>
        <v>45227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5"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5"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1"/>
      <c r="Q16" s="1352"/>
      <c r="R16" s="705"/>
      <c r="S16" s="706"/>
      <c r="T16" s="705"/>
      <c r="U16" s="706"/>
      <c r="V16" s="705"/>
      <c r="W16" s="706"/>
      <c r="X16" s="1355"/>
      <c r="Y16" s="3714"/>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1"/>
      <c r="Q18" s="1352"/>
      <c r="R18" s="705"/>
      <c r="S18" s="706"/>
      <c r="T18" s="705"/>
      <c r="U18" s="706"/>
      <c r="V18" s="705"/>
      <c r="W18" s="706"/>
      <c r="X18" s="1355"/>
      <c r="Y18" s="3714"/>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1"/>
      <c r="Q20" s="1352"/>
      <c r="R20" s="705"/>
      <c r="S20" s="706"/>
      <c r="T20" s="705"/>
      <c r="U20" s="706"/>
      <c r="V20" s="705"/>
      <c r="W20" s="706"/>
      <c r="X20" s="1355"/>
      <c r="Y20" s="3714"/>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1"/>
      <c r="Q22" s="1352"/>
      <c r="R22" s="705"/>
      <c r="S22" s="706"/>
      <c r="T22" s="705"/>
      <c r="U22" s="706"/>
      <c r="V22" s="705"/>
      <c r="W22" s="706"/>
      <c r="X22" s="1355"/>
      <c r="Y22" s="3714"/>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13495.99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估价对象为北京市房地产，为所有。根据《国有土地使用证》[]，估价对象（分摊）出让国有建设用地使用权面积为3138.66平方米，建筑面积为13495.99平方米。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估价对象为北京市房地产,属开发建设的，该项目尚在开发建设中。根据《国有土地使用证》[]，估价对象（分摊）出让国有建设用地使用权面积为3138.66平方米，规划建筑面积为13495.99平方米。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4"/>
      <c r="Q15" s="1352"/>
      <c r="R15" s="705"/>
      <c r="S15" s="706"/>
      <c r="T15" s="705"/>
      <c r="U15" s="706"/>
      <c r="V15" s="705"/>
      <c r="W15" s="706"/>
      <c r="X15" s="1355"/>
      <c r="Y15" s="3714"/>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4"/>
      <c r="Q17" s="1352"/>
      <c r="R17" s="705"/>
      <c r="S17" s="706"/>
      <c r="T17" s="705"/>
      <c r="U17" s="706"/>
      <c r="V17" s="705"/>
      <c r="W17" s="706"/>
      <c r="X17" s="1355"/>
      <c r="Y17" s="3714"/>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4"/>
      <c r="Q19" s="1352"/>
      <c r="R19" s="705"/>
      <c r="S19" s="706"/>
      <c r="T19" s="705"/>
      <c r="U19" s="706"/>
      <c r="V19" s="705"/>
      <c r="W19" s="706"/>
      <c r="X19" s="1355"/>
      <c r="Y19" s="3714"/>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8" t="str">
        <f>A39</f>
        <v>估价对象XX用房的比较价值（楼面单价，元/平方米）</v>
      </c>
      <c r="Q39" s="3709"/>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4"/>
      <c r="Q15" s="1352"/>
      <c r="R15" s="705"/>
      <c r="S15" s="706"/>
      <c r="T15" s="705"/>
      <c r="U15" s="706"/>
      <c r="V15" s="705"/>
      <c r="W15" s="706"/>
      <c r="X15" s="1355"/>
      <c r="Y15" s="3714"/>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4"/>
      <c r="Q17" s="1352"/>
      <c r="R17" s="705"/>
      <c r="S17" s="706"/>
      <c r="T17" s="705"/>
      <c r="U17" s="706"/>
      <c r="V17" s="705"/>
      <c r="W17" s="706"/>
      <c r="X17" s="1355"/>
      <c r="Y17" s="3714"/>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4"/>
      <c r="Q19" s="1352"/>
      <c r="R19" s="705"/>
      <c r="S19" s="706"/>
      <c r="T19" s="705"/>
      <c r="U19" s="706"/>
      <c r="V19" s="705"/>
      <c r="W19" s="706"/>
      <c r="X19" s="1355"/>
      <c r="Y19" s="3714"/>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8" t="str">
        <f>A37</f>
        <v>估价对象XX用房的比较价值（楼面单价，元/平方米）</v>
      </c>
      <c r="Q37" s="3709"/>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5"/>
      <c r="M6" s="2716"/>
      <c r="N6" s="2716"/>
      <c r="O6" s="2716"/>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45227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1"/>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1"/>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4"/>
      <c r="Q20" s="1352"/>
      <c r="R20" s="705"/>
      <c r="S20" s="706"/>
      <c r="T20" s="705"/>
      <c r="U20" s="706"/>
      <c r="V20" s="705"/>
      <c r="W20" s="706"/>
      <c r="X20" s="1355"/>
      <c r="Y20" s="3714"/>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4"/>
      <c r="Q24" s="1352"/>
      <c r="R24" s="705"/>
      <c r="S24" s="706"/>
      <c r="T24" s="705"/>
      <c r="U24" s="706"/>
      <c r="V24" s="705"/>
      <c r="W24" s="706"/>
      <c r="X24" s="1355"/>
      <c r="Y24" s="3714"/>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4"/>
      <c r="Q26" s="1352"/>
      <c r="R26" s="705"/>
      <c r="S26" s="706"/>
      <c r="T26" s="705"/>
      <c r="U26" s="706"/>
      <c r="V26" s="705"/>
      <c r="W26" s="706"/>
      <c r="X26" s="1355"/>
      <c r="Y26" s="3714"/>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4"/>
      <c r="Q28" s="1343"/>
      <c r="R28" s="701"/>
      <c r="S28" s="702"/>
      <c r="T28" s="701"/>
      <c r="U28" s="702"/>
      <c r="V28" s="701"/>
      <c r="W28" s="702"/>
      <c r="X28" s="703"/>
      <c r="Y28" s="3714"/>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9"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8"/>
      <c r="Q38" s="1352" t="str">
        <f>B38</f>
        <v>宗地面积</v>
      </c>
      <c r="R38" s="705" t="s">
        <v>14</v>
      </c>
      <c r="S38" s="706" t="e">
        <f t="shared" si="10"/>
        <v>#N/A</v>
      </c>
      <c r="T38" s="705" t="s">
        <v>14</v>
      </c>
      <c r="U38" s="706" t="e">
        <f t="shared" si="11"/>
        <v>#N/A</v>
      </c>
      <c r="V38" s="705" t="s">
        <v>14</v>
      </c>
      <c r="W38" s="706" t="e">
        <f t="shared" si="12"/>
        <v>#N/A</v>
      </c>
      <c r="X38" s="1355"/>
      <c r="Y38" s="371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1" t="str">
        <f>A46</f>
        <v>成交单价</v>
      </c>
      <c r="Q46" s="3711"/>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1" t="str">
        <f>A47</f>
        <v>比较价值（元/平方米）</v>
      </c>
      <c r="Q47" s="3711"/>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8" t="str">
        <f>A48</f>
        <v>估价对象XX用房的比较价值（楼面单价，元/平方米）</v>
      </c>
      <c r="Q48" s="3709"/>
      <c r="R48" s="3742" t="e">
        <f>ROUND(IF(D47="简单平均",AVERAGE(R47:W47),R47*F47+T47*H47+V47*J47),0)</f>
        <v>#DIV/0!</v>
      </c>
      <c r="S48" s="3742"/>
      <c r="T48" s="3742"/>
      <c r="U48" s="3742"/>
      <c r="V48" s="3742"/>
      <c r="W48" s="374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4" t="s">
        <v>1887</v>
      </c>
      <c r="H55" s="374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1263.8800000000001</v>
      </c>
      <c r="F56" s="886" t="e">
        <f t="shared" ref="F56:F64" si="15">ROUND(B56*E56/10000,0)</f>
        <v>#DIV/0!</v>
      </c>
      <c r="G56" s="3693"/>
      <c r="H56" s="371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1263.8800000000001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5"/>
      <c r="M4" s="2716"/>
      <c r="N4" s="2716"/>
      <c r="O4" s="2716"/>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5"/>
      <c r="M5" s="2716"/>
      <c r="N5" s="2716"/>
      <c r="O5" s="2716"/>
      <c r="P5" s="3700"/>
      <c r="Q5" s="3701"/>
      <c r="R5" s="3683"/>
      <c r="S5" s="3684"/>
      <c r="T5" s="3683"/>
      <c r="U5" s="3684"/>
      <c r="V5" s="3706"/>
      <c r="W5" s="3706"/>
      <c r="X5" s="1355"/>
      <c r="Y5" s="3683"/>
      <c r="Z5" s="3684"/>
      <c r="AA5" s="3677"/>
      <c r="AB5" s="3677"/>
      <c r="AC5" s="3677"/>
    </row>
    <row r="6" spans="1:29" ht="15.75" thickBot="1">
      <c r="A6" s="360"/>
      <c r="B6" s="361"/>
      <c r="C6" s="3744" t="s">
        <v>1919</v>
      </c>
      <c r="D6" s="3745"/>
      <c r="E6" s="3746" t="s">
        <v>1919</v>
      </c>
      <c r="F6" s="3747"/>
      <c r="G6" s="3744" t="s">
        <v>1919</v>
      </c>
      <c r="H6" s="3745"/>
      <c r="I6" s="3744" t="s">
        <v>1919</v>
      </c>
      <c r="J6" s="3745"/>
      <c r="K6" s="559" t="s">
        <v>1678</v>
      </c>
      <c r="L6" s="2715"/>
      <c r="M6" s="2716"/>
      <c r="N6" s="2716"/>
      <c r="O6" s="2716"/>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45227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1"/>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9"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1" t="str">
        <f>A42</f>
        <v>比较价值（元/平方米）</v>
      </c>
      <c r="Q42" s="3711"/>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8" t="str">
        <f>A43</f>
        <v>估价对象XX用房的比较价值（楼面单价，元/平方米）</v>
      </c>
      <c r="Q43" s="3709"/>
      <c r="R43" s="3742" t="e">
        <f>ROUND(IF(D42="简单平均",AVERAGE(R42:W42),R42*F42+T42*H42+V42*J42),0)</f>
        <v>#DIV/0!</v>
      </c>
      <c r="S43" s="3742"/>
      <c r="T43" s="3742"/>
      <c r="U43" s="3742"/>
      <c r="V43" s="3742"/>
      <c r="W43" s="374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4" t="s">
        <v>1887</v>
      </c>
      <c r="H50" s="374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1263.8800000000001</v>
      </c>
      <c r="F51" s="639" t="e">
        <f t="shared" ref="F51:F60" si="15">ROUND(B51*E51/10000,0)</f>
        <v>#DIV/0!</v>
      </c>
      <c r="G51" s="3693"/>
      <c r="H51" s="371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3138.66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U451" sqref="U45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7190</v>
      </c>
      <c r="C2" s="2145" t="s">
        <v>2074</v>
      </c>
      <c r="D2" s="2145" t="s">
        <v>2075</v>
      </c>
      <c r="E2" s="2612">
        <f ca="1">SUMIF(E6:E13,"&lt;&gt;#ref!",E6:E13)</f>
        <v>13491.06</v>
      </c>
      <c r="F2" s="2793"/>
      <c r="G2" s="2793"/>
      <c r="H2" s="2793"/>
      <c r="I2" s="2793"/>
      <c r="J2" s="2793"/>
      <c r="K2" s="2793"/>
      <c r="L2" s="2793"/>
      <c r="M2" s="2793"/>
      <c r="N2" s="2793"/>
      <c r="O2" s="2793"/>
      <c r="P2" s="2793"/>
    </row>
    <row r="3" spans="1:16" ht="15.75">
      <c r="A3" s="2145" t="s">
        <v>2076</v>
      </c>
      <c r="B3" s="2602">
        <f ca="1">ROUND(B2*10000/E2,0)</f>
        <v>5329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7190</v>
      </c>
      <c r="C6" s="2145" t="s">
        <v>2074</v>
      </c>
      <c r="D6" s="2793"/>
      <c r="E6" s="2612">
        <f ca="1">SUMIF(INDIRECT("'"&amp;A6&amp;"'"&amp;"!C:C"),"建筑面积",INDIRECT("'"&amp;A6&amp;"'"&amp;"!D:D"))</f>
        <v>13491.06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3" zoomScale="85" zoomScaleNormal="80" zoomScaleSheetLayoutView="85" workbookViewId="0">
      <selection activeCell="E56" sqref="E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13491.06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7190</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15794</v>
      </c>
      <c r="U2" s="1213">
        <f>Sheet1!I4</f>
        <v>548.14</v>
      </c>
      <c r="V2" s="3361">
        <f>ROUND(T2*U2/10000,0)</f>
        <v>866</v>
      </c>
      <c r="W2" s="1216"/>
      <c r="X2" s="1216"/>
      <c r="Y2" s="1216"/>
      <c r="Z2" s="1216"/>
      <c r="AA2" s="1216"/>
      <c r="AB2" s="1216"/>
      <c r="AC2" s="1217"/>
      <c r="AD2" s="1218"/>
      <c r="AE2" s="1218"/>
      <c r="AF2" s="1218"/>
      <c r="AG2" s="1218"/>
      <c r="AH2" s="1218"/>
      <c r="AI2" s="1218"/>
      <c r="AJ2" s="1219"/>
    </row>
    <row r="3" spans="1:36" ht="15.75">
      <c r="A3" s="203" t="s">
        <v>1940</v>
      </c>
      <c r="B3" s="204">
        <f>ROUND(B2*10000/D1,0)</f>
        <v>5329</v>
      </c>
      <c r="C3" s="1999" t="s">
        <v>1941</v>
      </c>
      <c r="D3" s="2000" t="s">
        <v>1942</v>
      </c>
      <c r="E3" s="3420" t="s">
        <v>2439</v>
      </c>
      <c r="F3" s="2004" t="s">
        <v>3405</v>
      </c>
      <c r="G3" s="752">
        <f>IF(F3="宗地容积率",'数据-汇总表'!I4,IF(F3="估价对象容积率",'数据-汇总表'!I6,'数据-汇总表'!I7))</f>
        <v>0</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12449</v>
      </c>
      <c r="U3" s="1213">
        <f>Sheet1!I5</f>
        <v>720.67</v>
      </c>
      <c r="V3" s="3361">
        <f t="shared" ref="V3:V16" si="1">ROUND(T3*U3/10000,0)</f>
        <v>897</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10521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11060</v>
      </c>
      <c r="D5" s="1339">
        <f>ROUND(C6*C17+C20,0)</f>
        <v>11060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9279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11060</v>
      </c>
      <c r="D6" s="2017"/>
      <c r="E6" s="2018"/>
      <c r="F6" s="2018"/>
      <c r="G6" s="2019"/>
      <c r="H6" s="2019"/>
      <c r="I6" s="2019"/>
      <c r="J6" s="2020"/>
      <c r="K6" s="1384"/>
      <c r="L6" s="2003" t="s">
        <v>1951</v>
      </c>
      <c r="M6" s="864">
        <f>SUMPRODUCT((区片价!B127:B189=I2)*(区片价!C3:G3=E2)*(区片价!C127:G189))</f>
        <v>11060</v>
      </c>
      <c r="N6" s="866">
        <f>SUMPRODUCT((因素修正幅度!B127:B189=I2)*(因素修正幅度!C3:G3=E2)*(因素修正幅度!C127:G189))</f>
        <v>0.126</v>
      </c>
      <c r="O6" s="1119"/>
      <c r="P6" s="1119"/>
      <c r="Q6" s="1119"/>
      <c r="R6" s="1212">
        <v>5</v>
      </c>
      <c r="S6" s="3361">
        <f>ROUND(SUMPRODUCT((B106:B110=R6)*(C105:N105=G2)*(C106:N110)),4)</f>
        <v>0.84799999999999998</v>
      </c>
      <c r="T6" s="3361">
        <f t="shared" si="0"/>
        <v>8918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0</v>
      </c>
      <c r="AA7" s="1216"/>
      <c r="AB7" s="1216"/>
      <c r="AC7" s="1217"/>
      <c r="AD7" s="1218"/>
      <c r="AE7" s="1218"/>
      <c r="AF7" s="1218"/>
      <c r="AG7" s="1218"/>
      <c r="AH7" s="1218"/>
      <c r="AI7" s="1218"/>
      <c r="AJ7" s="1219"/>
    </row>
    <row r="8" spans="1:36" ht="25.5">
      <c r="A8" s="3299"/>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0"/>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v>1</v>
      </c>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5" t="s">
        <v>3256</v>
      </c>
      <c r="B20" s="167" t="s">
        <v>1994</v>
      </c>
      <c r="C20" s="3325">
        <f>ROUND(IF(F21="与级别开发程度一致",0,(G21-E21)/C21),0)</f>
        <v>0</v>
      </c>
      <c r="D20" s="3341" t="s">
        <v>1998</v>
      </c>
      <c r="E20" s="3342"/>
      <c r="F20" s="3771" t="s">
        <v>1995</v>
      </c>
      <c r="G20" s="377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45227</v>
      </c>
      <c r="H23" s="3343" t="s">
        <v>3257</v>
      </c>
      <c r="I23" s="3344" t="str">
        <f>IF(H23="季度增幅（自定义）",SUMIF(N25:N28,E2,O25:O28),"")</f>
        <v/>
      </c>
      <c r="J23" s="3446" t="s">
        <v>3439</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0.85670000000000002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26.35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3415</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7190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1357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12449</v>
      </c>
      <c r="D33" s="2098">
        <f>'数据-汇总表'!F27</f>
        <v>1263.8800000000001</v>
      </c>
      <c r="E33" s="773">
        <f>ROUND(C33*D33/10000,0)</f>
        <v>1573</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f>ROUND(D5*C22*C23*C24*C28*F37,0)</f>
        <v>6310</v>
      </c>
      <c r="D37" s="2098">
        <f>Sheet1!I6</f>
        <v>4973.1099999999997</v>
      </c>
      <c r="E37" s="171">
        <f>ROUND(C37*D37/10000,0)</f>
        <v>3138</v>
      </c>
      <c r="F37" s="171">
        <f>SUMIF(修正!A57:A68,G2,修正!B57:B68)</f>
        <v>0.6</v>
      </c>
      <c r="G37" s="171">
        <f>ROUND(IF(E2="工业",C37*$M$42,C37*$M$41),0)</f>
        <v>1578</v>
      </c>
      <c r="H37" s="171">
        <f>D37</f>
        <v>4973.1099999999997</v>
      </c>
      <c r="I37" s="171">
        <f>ROUND(G37*H37/10000,0)</f>
        <v>785</v>
      </c>
      <c r="J37" s="3012"/>
      <c r="K37" s="3359" t="s">
        <v>3267</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f>ROUND(D5*C22*C23*C24*C28*F38,0)</f>
        <v>3155</v>
      </c>
      <c r="D38" s="2098">
        <f>Sheet1!I9</f>
        <v>7254.07</v>
      </c>
      <c r="E38" s="171">
        <f t="shared" ref="E38:E42" si="4">ROUND(C38*D38/10000,0)</f>
        <v>2289</v>
      </c>
      <c r="F38" s="171">
        <f>SUMIF(修正!A57:A68,G2,修正!C57:C68)</f>
        <v>0.3</v>
      </c>
      <c r="G38" s="171">
        <f>ROUND(IF(E2="工业",C38*$M$42,C38*$M$41),0)</f>
        <v>789</v>
      </c>
      <c r="H38" s="171">
        <f t="shared" ref="H38:H42" si="5">D38</f>
        <v>7254.07</v>
      </c>
      <c r="I38" s="171">
        <f t="shared" ref="I38:I42" si="6">ROUND(G38*H38/10000,0)</f>
        <v>572</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0"/>
      <c r="B39" s="2041" t="s">
        <v>3260</v>
      </c>
      <c r="C39" s="175">
        <f>ROUND(D5*C22*C23*C24*C28*F39,0)</f>
        <v>2629</v>
      </c>
      <c r="D39" s="2098"/>
      <c r="E39" s="171">
        <f t="shared" si="4"/>
        <v>0</v>
      </c>
      <c r="F39" s="171">
        <f>SUMIF(修正!A57:A68,G2,修正!D57:D68)</f>
        <v>0.25</v>
      </c>
      <c r="G39" s="171">
        <f>ROUND(IF(E2="工业",C39*$M$42,C39*$M$41),0)</f>
        <v>657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2629</v>
      </c>
      <c r="D40" s="2098"/>
      <c r="E40" s="171">
        <f t="shared" si="4"/>
        <v>0</v>
      </c>
      <c r="F40" s="175">
        <f>SUMIF(修正!A57:A68,G2,修正!E57:E68)</f>
        <v>0.25</v>
      </c>
      <c r="G40" s="171">
        <f>ROUND(IF(E2="工业",C40*$M$42,C40*$M$41),0)</f>
        <v>657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2492</v>
      </c>
      <c r="D41" s="2098"/>
      <c r="E41" s="171">
        <f t="shared" si="4"/>
        <v>0</v>
      </c>
      <c r="F41" s="175">
        <f>SUMIF(修正!A57:A68,G2,修正!F57:F68)</f>
        <v>0.25</v>
      </c>
      <c r="G41" s="171">
        <f>ROUND(IF(E2="工业",C41*$M$42,C41*$M$41),0)</f>
        <v>623</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1495</v>
      </c>
      <c r="D42" s="2103"/>
      <c r="E42" s="187">
        <f t="shared" si="4"/>
        <v>0</v>
      </c>
      <c r="F42" s="767">
        <f>SUMIF(修正!A57:A68,G2,修正!G57:G68)</f>
        <v>0.15</v>
      </c>
      <c r="G42" s="187">
        <f>ROUND(IF(E2="工业",C42*$M$42,C42*$M$41),0)</f>
        <v>374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0.81189999999999996</v>
      </c>
      <c r="D44" s="171" t="s">
        <v>1999</v>
      </c>
      <c r="E44" s="2153">
        <f>G24</f>
        <v>5.5E-2</v>
      </c>
      <c r="F44" s="171" t="s">
        <v>2008</v>
      </c>
      <c r="G44" s="183">
        <f>项目基本情况!D15</f>
        <v>26.35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t="s">
        <v>3414</v>
      </c>
      <c r="D50" s="1065">
        <f t="shared" ref="D50:D58" si="7">SUMIF($J$49:$N$49,C50,J50:N50)</f>
        <v>1.89E-2</v>
      </c>
      <c r="E50" s="744">
        <f>ROUND(SUM(D50:D58),4)</f>
        <v>6.7599999999999993E-2</v>
      </c>
      <c r="F50" s="1814">
        <f>IF(E2="商业",SUMIF(L1:L12,G2,N1:N12),"——")</f>
        <v>0.126</v>
      </c>
      <c r="G50" s="1063">
        <f>H50</f>
        <v>1.89E-2</v>
      </c>
      <c r="H50" s="1066">
        <f t="shared" ref="H50:H58" si="8">IFERROR(ROUNDDOWN($F$50*I50/2,4),"——")</f>
        <v>1.89E-2</v>
      </c>
      <c r="I50" s="3367">
        <v>0.3</v>
      </c>
      <c r="J50" s="1064">
        <f t="shared" ref="J50:J58" si="9">K50+$G50</f>
        <v>3.78E-2</v>
      </c>
      <c r="K50" s="1064">
        <f t="shared" ref="K50:K58" si="10">$L50+$G50</f>
        <v>1.89E-2</v>
      </c>
      <c r="L50" s="1064">
        <v>0</v>
      </c>
      <c r="M50" s="1064">
        <f t="shared" ref="M50:N58" si="11">L50-$G50</f>
        <v>-1.89E-2</v>
      </c>
      <c r="N50" s="1064">
        <f t="shared" si="11"/>
        <v>-3.78E-2</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t="s">
        <v>3414</v>
      </c>
      <c r="D51" s="1065">
        <f t="shared" si="7"/>
        <v>1.38E-2</v>
      </c>
      <c r="E51" s="745"/>
      <c r="F51" s="1814"/>
      <c r="G51" s="1063">
        <f t="shared" ref="G51:G58" si="12">H51</f>
        <v>1.38E-2</v>
      </c>
      <c r="H51" s="1066">
        <f t="shared" si="8"/>
        <v>1.38E-2</v>
      </c>
      <c r="I51" s="3367">
        <v>0.22</v>
      </c>
      <c r="J51" s="1064">
        <f t="shared" si="9"/>
        <v>2.76E-2</v>
      </c>
      <c r="K51" s="1064">
        <f t="shared" si="10"/>
        <v>1.38E-2</v>
      </c>
      <c r="L51" s="1064">
        <v>0</v>
      </c>
      <c r="M51" s="1064">
        <f t="shared" si="11"/>
        <v>-1.38E-2</v>
      </c>
      <c r="N51" s="1064">
        <f t="shared" si="11"/>
        <v>-2.76E-2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3414</v>
      </c>
      <c r="D52" s="1065">
        <f t="shared" si="7"/>
        <v>7.4999999999999997E-3</v>
      </c>
      <c r="E52" s="745"/>
      <c r="F52" s="1814"/>
      <c r="G52" s="1063">
        <f t="shared" si="12"/>
        <v>7.4999999999999997E-3</v>
      </c>
      <c r="H52" s="1066">
        <f t="shared" si="8"/>
        <v>7.4999999999999997E-3</v>
      </c>
      <c r="I52" s="3367">
        <v>0.12</v>
      </c>
      <c r="J52" s="1064">
        <f t="shared" si="9"/>
        <v>1.4999999999999999E-2</v>
      </c>
      <c r="K52" s="1064">
        <f t="shared" si="10"/>
        <v>7.4999999999999997E-3</v>
      </c>
      <c r="L52" s="1064">
        <v>0</v>
      </c>
      <c r="M52" s="1064">
        <f t="shared" si="11"/>
        <v>-7.4999999999999997E-3</v>
      </c>
      <c r="N52" s="1064">
        <f t="shared" si="11"/>
        <v>-1.4999999999999999E-2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3414</v>
      </c>
      <c r="D53" s="1065">
        <f t="shared" si="7"/>
        <v>3.0999999999999999E-3</v>
      </c>
      <c r="E53" s="745"/>
      <c r="F53" s="1814"/>
      <c r="G53" s="1063">
        <f t="shared" si="12"/>
        <v>3.0999999999999999E-3</v>
      </c>
      <c r="H53" s="1066">
        <f t="shared" si="8"/>
        <v>3.0999999999999999E-3</v>
      </c>
      <c r="I53" s="3367">
        <v>0.05</v>
      </c>
      <c r="J53" s="1064">
        <f t="shared" si="9"/>
        <v>6.1999999999999998E-3</v>
      </c>
      <c r="K53" s="1064">
        <f t="shared" si="10"/>
        <v>3.0999999999999999E-3</v>
      </c>
      <c r="L53" s="1064">
        <v>0</v>
      </c>
      <c r="M53" s="1064">
        <f t="shared" si="11"/>
        <v>-3.0999999999999999E-3</v>
      </c>
      <c r="N53" s="1064">
        <f t="shared" si="11"/>
        <v>-6.1999999999999998E-3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3414</v>
      </c>
      <c r="D54" s="1065">
        <f t="shared" si="7"/>
        <v>5.0000000000000001E-3</v>
      </c>
      <c r="E54" s="745"/>
      <c r="F54" s="1814"/>
      <c r="G54" s="1063">
        <f t="shared" si="12"/>
        <v>5.0000000000000001E-3</v>
      </c>
      <c r="H54" s="1066">
        <f t="shared" si="8"/>
        <v>5.0000000000000001E-3</v>
      </c>
      <c r="I54" s="3367">
        <v>0.08</v>
      </c>
      <c r="J54" s="1064">
        <f t="shared" si="9"/>
        <v>0.01</v>
      </c>
      <c r="K54" s="1064">
        <f t="shared" si="10"/>
        <v>5.0000000000000001E-3</v>
      </c>
      <c r="L54" s="1064">
        <v>0</v>
      </c>
      <c r="M54" s="1064">
        <f t="shared" si="11"/>
        <v>-5.0000000000000001E-3</v>
      </c>
      <c r="N54" s="1064">
        <f t="shared" si="11"/>
        <v>-0.01</v>
      </c>
      <c r="AA54" s="1120"/>
      <c r="AB54" s="1120"/>
      <c r="AC54" s="1120"/>
      <c r="AD54" s="1120"/>
      <c r="AE54" s="1120"/>
      <c r="AF54" s="1120"/>
      <c r="AG54" s="1120"/>
      <c r="AH54" s="1120"/>
      <c r="AI54" s="1120"/>
      <c r="AJ54" s="1120"/>
      <c r="AK54" s="1120"/>
    </row>
    <row r="55" spans="1:37" s="1119" customFormat="1" ht="24">
      <c r="A55" s="2130" t="s">
        <v>2057</v>
      </c>
      <c r="B55" s="2136" t="s">
        <v>2058</v>
      </c>
      <c r="C55" s="2044" t="s">
        <v>3414</v>
      </c>
      <c r="D55" s="1065">
        <f t="shared" si="7"/>
        <v>3.0999999999999999E-3</v>
      </c>
      <c r="E55" s="745"/>
      <c r="F55" s="1814"/>
      <c r="G55" s="1063">
        <f t="shared" si="12"/>
        <v>3.0999999999999999E-3</v>
      </c>
      <c r="H55" s="1066">
        <f t="shared" si="8"/>
        <v>3.0999999999999999E-3</v>
      </c>
      <c r="I55" s="3367">
        <v>0.05</v>
      </c>
      <c r="J55" s="1064">
        <f t="shared" si="9"/>
        <v>6.1999999999999998E-3</v>
      </c>
      <c r="K55" s="1064">
        <f t="shared" si="10"/>
        <v>3.0999999999999999E-3</v>
      </c>
      <c r="L55" s="1064">
        <v>0</v>
      </c>
      <c r="M55" s="1064">
        <f t="shared" si="11"/>
        <v>-3.0999999999999999E-3</v>
      </c>
      <c r="N55" s="1064">
        <f t="shared" si="11"/>
        <v>-6.1999999999999998E-3</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t="s">
        <v>3414</v>
      </c>
      <c r="D56" s="1065">
        <f t="shared" si="7"/>
        <v>3.0999999999999999E-3</v>
      </c>
      <c r="E56" s="745"/>
      <c r="F56" s="1814"/>
      <c r="G56" s="1063">
        <f t="shared" si="12"/>
        <v>3.0999999999999999E-3</v>
      </c>
      <c r="H56" s="1066">
        <f t="shared" si="8"/>
        <v>3.0999999999999999E-3</v>
      </c>
      <c r="I56" s="3367">
        <v>0.05</v>
      </c>
      <c r="J56" s="1064">
        <f t="shared" si="9"/>
        <v>6.1999999999999998E-3</v>
      </c>
      <c r="K56" s="1064">
        <f t="shared" si="10"/>
        <v>3.0999999999999999E-3</v>
      </c>
      <c r="L56" s="1064">
        <v>0</v>
      </c>
      <c r="M56" s="1064">
        <f t="shared" si="11"/>
        <v>-3.0999999999999999E-3</v>
      </c>
      <c r="N56" s="1064">
        <f t="shared" si="11"/>
        <v>-6.1999999999999998E-3</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t="s">
        <v>3527</v>
      </c>
      <c r="D57" s="1065">
        <f t="shared" si="7"/>
        <v>0.01</v>
      </c>
      <c r="E57" s="745"/>
      <c r="F57" s="1814"/>
      <c r="G57" s="1063">
        <f t="shared" si="12"/>
        <v>5.0000000000000001E-3</v>
      </c>
      <c r="H57" s="1066">
        <f t="shared" si="8"/>
        <v>5.0000000000000001E-3</v>
      </c>
      <c r="I57" s="3367">
        <v>0.08</v>
      </c>
      <c r="J57" s="1064">
        <f t="shared" si="9"/>
        <v>0.01</v>
      </c>
      <c r="K57" s="1064">
        <f t="shared" si="10"/>
        <v>5.0000000000000001E-3</v>
      </c>
      <c r="L57" s="1064">
        <v>0</v>
      </c>
      <c r="M57" s="1064">
        <f t="shared" si="11"/>
        <v>-5.0000000000000001E-3</v>
      </c>
      <c r="N57" s="1064">
        <f t="shared" si="11"/>
        <v>-0.01</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t="s">
        <v>3414</v>
      </c>
      <c r="D58" s="1065">
        <f t="shared" si="7"/>
        <v>3.0999999999999999E-3</v>
      </c>
      <c r="E58" s="746"/>
      <c r="F58" s="1814"/>
      <c r="G58" s="1063">
        <f t="shared" si="12"/>
        <v>3.0999999999999999E-3</v>
      </c>
      <c r="H58" s="1066">
        <f t="shared" si="8"/>
        <v>3.0999999999999999E-3</v>
      </c>
      <c r="I58" s="3368">
        <v>0.05</v>
      </c>
      <c r="J58" s="1064">
        <f t="shared" si="9"/>
        <v>6.1999999999999998E-3</v>
      </c>
      <c r="K58" s="1064">
        <f t="shared" si="10"/>
        <v>3.0999999999999999E-3</v>
      </c>
      <c r="L58" s="1064">
        <v>0</v>
      </c>
      <c r="M58" s="1064">
        <f t="shared" si="11"/>
        <v>-3.0999999999999999E-3</v>
      </c>
      <c r="N58" s="1064">
        <f t="shared" si="11"/>
        <v>-6.1999999999999998E-3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2059</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2060</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2061</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3274</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3278</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3279</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3280</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7" t="s">
        <v>3295</v>
      </c>
      <c r="B103" s="3767"/>
      <c r="C103" s="3767"/>
      <c r="D103" s="3767"/>
      <c r="E103" s="3767"/>
      <c r="F103" s="3767"/>
      <c r="G103" s="3767"/>
      <c r="H103" s="3767"/>
      <c r="I103" s="3767"/>
      <c r="J103" s="3767"/>
      <c r="K103" s="3390"/>
      <c r="L103" s="3390"/>
      <c r="M103" s="3390"/>
      <c r="N103" s="3390"/>
    </row>
    <row r="104" spans="1:14">
      <c r="A104" s="3768" t="s">
        <v>3296</v>
      </c>
      <c r="B104" s="3768" t="s">
        <v>3297</v>
      </c>
      <c r="C104" s="3391" t="s">
        <v>3298</v>
      </c>
      <c r="D104" s="3392"/>
      <c r="E104" s="3392"/>
      <c r="F104" s="3392"/>
      <c r="G104" s="3392"/>
      <c r="H104" s="3392"/>
      <c r="I104" s="3392"/>
      <c r="J104" s="3393"/>
      <c r="K104" s="3394"/>
      <c r="L104" s="3394"/>
      <c r="M104" s="3394"/>
      <c r="N104" s="3394"/>
    </row>
    <row r="105" spans="1:14">
      <c r="A105" s="3768"/>
      <c r="B105" s="3768"/>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4"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5"/>
      <c r="B111" s="3395" t="s">
        <v>3269</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6"/>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7" t="s">
        <v>3312</v>
      </c>
      <c r="B113" s="3757"/>
      <c r="C113" s="3757"/>
      <c r="D113" s="3757"/>
      <c r="E113" s="3757"/>
      <c r="F113" s="3757"/>
      <c r="G113" s="3757"/>
      <c r="H113" s="3757"/>
      <c r="I113" s="3757"/>
      <c r="J113" s="375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0.94899999999999995</v>
      </c>
      <c r="E116" s="2000" t="s">
        <v>3315</v>
      </c>
      <c r="F116" s="3402" t="str">
        <f>E2</f>
        <v>商业</v>
      </c>
      <c r="G116" s="2000" t="s">
        <v>3316</v>
      </c>
      <c r="H116" s="3402" t="str">
        <f>G2</f>
        <v>六级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3330</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3331</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0" t="s">
        <v>2607</v>
      </c>
      <c r="B20" s="3773" t="s">
        <v>2628</v>
      </c>
      <c r="C20" s="3103" t="s">
        <v>2439</v>
      </c>
      <c r="D20" s="3104"/>
      <c r="E20" s="3105">
        <v>1</v>
      </c>
      <c r="F20" s="3106" t="s">
        <v>2440</v>
      </c>
      <c r="G20" s="3106"/>
    </row>
    <row r="21" spans="1:13" ht="19.5" customHeight="1">
      <c r="A21" s="3781"/>
      <c r="B21" s="3774"/>
      <c r="C21" s="3107" t="s">
        <v>2441</v>
      </c>
      <c r="D21" s="3108"/>
      <c r="E21" s="3109">
        <v>1</v>
      </c>
      <c r="F21" s="3106" t="s">
        <v>2442</v>
      </c>
      <c r="G21" s="3106"/>
    </row>
    <row r="22" spans="1:13" ht="19.5" customHeight="1">
      <c r="A22" s="3781"/>
      <c r="B22" s="3774"/>
      <c r="C22" s="3107" t="s">
        <v>2443</v>
      </c>
      <c r="D22" s="3108"/>
      <c r="E22" s="3109">
        <v>0.9</v>
      </c>
      <c r="F22" s="3106" t="s">
        <v>2444</v>
      </c>
      <c r="G22" s="3106"/>
    </row>
    <row r="23" spans="1:13" ht="19.5" customHeight="1">
      <c r="A23" s="3781"/>
      <c r="B23" s="3774"/>
      <c r="C23" s="3107" t="s">
        <v>2445</v>
      </c>
      <c r="D23" s="3108"/>
      <c r="E23" s="3109">
        <v>0.9</v>
      </c>
      <c r="F23" s="3106" t="s">
        <v>2446</v>
      </c>
      <c r="G23" s="3106"/>
    </row>
    <row r="24" spans="1:13" ht="19.5" customHeight="1">
      <c r="A24" s="3781"/>
      <c r="B24" s="3774"/>
      <c r="C24" s="3107" t="s">
        <v>2447</v>
      </c>
      <c r="D24" s="3108"/>
      <c r="E24" s="3109">
        <v>0.8</v>
      </c>
      <c r="F24" s="3106" t="s">
        <v>2448</v>
      </c>
      <c r="G24" s="3106"/>
    </row>
    <row r="25" spans="1:13" ht="19.5" customHeight="1" thickBot="1">
      <c r="A25" s="3782"/>
      <c r="B25" s="377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6" t="s">
        <v>2631</v>
      </c>
      <c r="B27" s="3773" t="s">
        <v>2612</v>
      </c>
      <c r="C27" s="3103" t="s">
        <v>2452</v>
      </c>
      <c r="D27" s="3104"/>
      <c r="E27" s="3105">
        <v>1</v>
      </c>
      <c r="F27" s="3106" t="s">
        <v>2453</v>
      </c>
      <c r="G27" s="3106"/>
    </row>
    <row r="28" spans="1:13" ht="19.5" customHeight="1">
      <c r="A28" s="3777"/>
      <c r="B28" s="3774"/>
      <c r="C28" s="3107" t="s">
        <v>2454</v>
      </c>
      <c r="D28" s="3108"/>
      <c r="E28" s="3109">
        <v>1</v>
      </c>
      <c r="F28" s="3106" t="s">
        <v>2455</v>
      </c>
      <c r="G28" s="3106"/>
    </row>
    <row r="29" spans="1:13" ht="19.5" customHeight="1">
      <c r="A29" s="3777"/>
      <c r="B29" s="3774"/>
      <c r="C29" s="3107" t="s">
        <v>2456</v>
      </c>
      <c r="D29" s="3108"/>
      <c r="E29" s="3109">
        <v>0.8</v>
      </c>
      <c r="F29" s="3106" t="s">
        <v>2457</v>
      </c>
      <c r="G29" s="3106"/>
    </row>
    <row r="30" spans="1:13" ht="19.5" customHeight="1">
      <c r="A30" s="3777"/>
      <c r="B30" s="3774"/>
      <c r="C30" s="3107" t="s">
        <v>2458</v>
      </c>
      <c r="D30" s="3108"/>
      <c r="E30" s="3109">
        <v>0.8</v>
      </c>
      <c r="F30" s="3106" t="s">
        <v>2459</v>
      </c>
      <c r="G30" s="3106"/>
    </row>
    <row r="31" spans="1:13" ht="19.5" customHeight="1">
      <c r="A31" s="3777"/>
      <c r="B31" s="3774"/>
      <c r="C31" s="3107" t="s">
        <v>2460</v>
      </c>
      <c r="D31" s="3108"/>
      <c r="E31" s="3109">
        <v>0.8</v>
      </c>
      <c r="F31" s="3106" t="s">
        <v>2461</v>
      </c>
      <c r="G31" s="3106"/>
    </row>
    <row r="32" spans="1:13" ht="19.5" customHeight="1">
      <c r="A32" s="3777"/>
      <c r="B32" s="3774"/>
      <c r="C32" s="3107" t="s">
        <v>2462</v>
      </c>
      <c r="D32" s="3108"/>
      <c r="E32" s="3109">
        <v>0.7</v>
      </c>
      <c r="F32" s="3106" t="s">
        <v>2463</v>
      </c>
      <c r="G32" s="3106"/>
    </row>
    <row r="33" spans="1:7" ht="19.5" customHeight="1">
      <c r="A33" s="3777"/>
      <c r="B33" s="3774"/>
      <c r="C33" s="3107" t="s">
        <v>2464</v>
      </c>
      <c r="D33" s="3108"/>
      <c r="E33" s="3109">
        <v>0.8</v>
      </c>
      <c r="F33" s="3106" t="s">
        <v>2465</v>
      </c>
      <c r="G33" s="3106"/>
    </row>
    <row r="34" spans="1:7" ht="19.5" customHeight="1">
      <c r="A34" s="3777"/>
      <c r="B34" s="3774"/>
      <c r="C34" s="3107" t="s">
        <v>2466</v>
      </c>
      <c r="D34" s="3108"/>
      <c r="E34" s="3109">
        <v>0.6</v>
      </c>
      <c r="F34" s="3106" t="s">
        <v>2467</v>
      </c>
      <c r="G34" s="3106"/>
    </row>
    <row r="35" spans="1:7" ht="19.5" customHeight="1">
      <c r="A35" s="3777"/>
      <c r="B35" s="3774"/>
      <c r="C35" s="3107" t="s">
        <v>2468</v>
      </c>
      <c r="D35" s="3108"/>
      <c r="E35" s="3109">
        <v>0.2</v>
      </c>
      <c r="F35" s="3106" t="s">
        <v>2469</v>
      </c>
      <c r="G35" s="3106"/>
    </row>
    <row r="36" spans="1:7" ht="19.5" customHeight="1">
      <c r="A36" s="3777"/>
      <c r="B36" s="3774"/>
      <c r="C36" s="3107" t="s">
        <v>2470</v>
      </c>
      <c r="D36" s="3108"/>
      <c r="E36" s="3109">
        <v>0.2</v>
      </c>
      <c r="F36" s="3106" t="s">
        <v>2471</v>
      </c>
      <c r="G36" s="3106"/>
    </row>
    <row r="37" spans="1:7" ht="19.5" customHeight="1">
      <c r="A37" s="3777"/>
      <c r="B37" s="3779" t="s">
        <v>2632</v>
      </c>
      <c r="C37" s="3107" t="s">
        <v>2472</v>
      </c>
      <c r="D37" s="3108"/>
      <c r="E37" s="3109">
        <v>0.6</v>
      </c>
      <c r="F37" s="3106" t="s">
        <v>2473</v>
      </c>
      <c r="G37" s="3106"/>
    </row>
    <row r="38" spans="1:7" ht="19.5" customHeight="1">
      <c r="A38" s="3777"/>
      <c r="B38" s="3774"/>
      <c r="C38" s="3107" t="s">
        <v>2474</v>
      </c>
      <c r="D38" s="3108"/>
      <c r="E38" s="3109">
        <v>0.6</v>
      </c>
      <c r="F38" s="3106" t="s">
        <v>2475</v>
      </c>
      <c r="G38" s="3106"/>
    </row>
    <row r="39" spans="1:7" ht="19.5" customHeight="1" thickBot="1">
      <c r="A39" s="3778"/>
      <c r="B39" s="377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0" t="s">
        <v>2610</v>
      </c>
      <c r="B41" s="3773" t="s">
        <v>2634</v>
      </c>
      <c r="C41" s="3103" t="s">
        <v>2479</v>
      </c>
      <c r="D41" s="3104"/>
      <c r="E41" s="3105">
        <v>1</v>
      </c>
      <c r="F41" s="3106" t="s">
        <v>2480</v>
      </c>
      <c r="G41" s="3106"/>
    </row>
    <row r="42" spans="1:7" ht="19.5" customHeight="1">
      <c r="A42" s="3781"/>
      <c r="B42" s="3774"/>
      <c r="C42" s="3107" t="s">
        <v>2481</v>
      </c>
      <c r="D42" s="3108"/>
      <c r="E42" s="3109">
        <v>1</v>
      </c>
      <c r="F42" s="3106" t="s">
        <v>2482</v>
      </c>
      <c r="G42" s="3106"/>
    </row>
    <row r="43" spans="1:7" ht="19.5" customHeight="1">
      <c r="A43" s="3781"/>
      <c r="B43" s="3783"/>
      <c r="C43" s="3107" t="s">
        <v>2483</v>
      </c>
      <c r="D43" s="3108"/>
      <c r="E43" s="3109">
        <v>1.5</v>
      </c>
      <c r="F43" s="3106" t="s">
        <v>2484</v>
      </c>
      <c r="G43" s="3106"/>
    </row>
    <row r="44" spans="1:7" ht="19.5" customHeight="1">
      <c r="A44" s="3781"/>
      <c r="B44" s="3118" t="s">
        <v>2635</v>
      </c>
      <c r="C44" s="3107" t="s">
        <v>2636</v>
      </c>
      <c r="D44" s="3108"/>
      <c r="E44" s="3109">
        <v>2</v>
      </c>
      <c r="F44" s="3106" t="s">
        <v>2485</v>
      </c>
      <c r="G44" s="3106"/>
    </row>
    <row r="45" spans="1:7" ht="19.5" customHeight="1">
      <c r="A45" s="3781"/>
      <c r="B45" s="3779" t="s">
        <v>2637</v>
      </c>
      <c r="C45" s="3107" t="s">
        <v>2486</v>
      </c>
      <c r="D45" s="3108"/>
      <c r="E45" s="3109">
        <v>1</v>
      </c>
      <c r="F45" s="3106" t="s">
        <v>2487</v>
      </c>
      <c r="G45" s="3106"/>
    </row>
    <row r="46" spans="1:7" ht="19.5" customHeight="1">
      <c r="A46" s="3781"/>
      <c r="B46" s="3774"/>
      <c r="C46" s="3107" t="s">
        <v>2488</v>
      </c>
      <c r="D46" s="3108"/>
      <c r="E46" s="3109">
        <v>1</v>
      </c>
      <c r="F46" s="3106" t="s">
        <v>2489</v>
      </c>
      <c r="G46" s="3106"/>
    </row>
    <row r="47" spans="1:7" ht="19.5" customHeight="1">
      <c r="A47" s="3781"/>
      <c r="B47" s="3774"/>
      <c r="C47" s="3107" t="s">
        <v>2490</v>
      </c>
      <c r="D47" s="3108"/>
      <c r="E47" s="3109">
        <v>1</v>
      </c>
      <c r="F47" s="3106" t="s">
        <v>2491</v>
      </c>
      <c r="G47" s="3106"/>
    </row>
    <row r="48" spans="1:7" ht="19.5" customHeight="1">
      <c r="A48" s="3781"/>
      <c r="B48" s="3774"/>
      <c r="C48" s="3107" t="s">
        <v>2492</v>
      </c>
      <c r="D48" s="3108"/>
      <c r="E48" s="3109">
        <v>1</v>
      </c>
      <c r="F48" s="3106" t="s">
        <v>2493</v>
      </c>
      <c r="G48" s="3106"/>
    </row>
    <row r="49" spans="1:7" ht="19.5" customHeight="1">
      <c r="A49" s="3781"/>
      <c r="B49" s="3774"/>
      <c r="C49" s="3107" t="s">
        <v>2494</v>
      </c>
      <c r="D49" s="3108"/>
      <c r="E49" s="3109">
        <v>1</v>
      </c>
      <c r="F49" s="3106" t="s">
        <v>2495</v>
      </c>
      <c r="G49" s="3106"/>
    </row>
    <row r="50" spans="1:7" ht="19.5" customHeight="1">
      <c r="A50" s="3781"/>
      <c r="B50" s="3774"/>
      <c r="C50" s="3107" t="s">
        <v>2496</v>
      </c>
      <c r="D50" s="3108"/>
      <c r="E50" s="3109">
        <v>1</v>
      </c>
      <c r="F50" s="3106" t="s">
        <v>2497</v>
      </c>
      <c r="G50" s="3106"/>
    </row>
    <row r="51" spans="1:7" ht="19.5" customHeight="1" thickBot="1">
      <c r="A51" s="3782"/>
      <c r="B51" s="377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9" t="s">
        <v>2651</v>
      </c>
      <c r="C73" s="3092" t="s">
        <v>2652</v>
      </c>
      <c r="D73" s="3092" t="s">
        <v>2653</v>
      </c>
      <c r="E73" s="3118">
        <v>0.2</v>
      </c>
      <c r="F73" s="3118">
        <v>25</v>
      </c>
    </row>
    <row r="74" spans="1:7" ht="24">
      <c r="A74" s="3118">
        <v>2</v>
      </c>
      <c r="B74" s="3774"/>
      <c r="C74" s="3092" t="s">
        <v>2654</v>
      </c>
      <c r="D74" s="3092" t="s">
        <v>2655</v>
      </c>
      <c r="E74" s="3118">
        <v>0.2</v>
      </c>
      <c r="F74" s="3118">
        <v>25</v>
      </c>
    </row>
    <row r="75" spans="1:7" ht="24">
      <c r="A75" s="3118">
        <v>3</v>
      </c>
      <c r="B75" s="3774"/>
      <c r="C75" s="3092" t="s">
        <v>2656</v>
      </c>
      <c r="D75" s="3092" t="s">
        <v>2657</v>
      </c>
      <c r="E75" s="3118">
        <v>0.2</v>
      </c>
      <c r="F75" s="3118">
        <v>25</v>
      </c>
    </row>
    <row r="76" spans="1:7" ht="13.5">
      <c r="A76" s="3118">
        <v>4</v>
      </c>
      <c r="B76" s="3774"/>
      <c r="C76" s="3092" t="s">
        <v>2658</v>
      </c>
      <c r="D76" s="3092" t="s">
        <v>2659</v>
      </c>
      <c r="E76" s="3118">
        <v>0.15</v>
      </c>
      <c r="F76" s="3118">
        <v>20</v>
      </c>
    </row>
    <row r="77" spans="1:7" ht="24">
      <c r="A77" s="3118">
        <v>5</v>
      </c>
      <c r="B77" s="3774"/>
      <c r="C77" s="3092" t="s">
        <v>2660</v>
      </c>
      <c r="D77" s="3092" t="s">
        <v>2661</v>
      </c>
      <c r="E77" s="3118">
        <v>0.15</v>
      </c>
      <c r="F77" s="3118">
        <v>20</v>
      </c>
    </row>
    <row r="78" spans="1:7" ht="24">
      <c r="A78" s="3118">
        <v>6</v>
      </c>
      <c r="B78" s="3774"/>
      <c r="C78" s="3092" t="s">
        <v>2662</v>
      </c>
      <c r="D78" s="3092" t="s">
        <v>2663</v>
      </c>
      <c r="E78" s="3118">
        <v>0.15</v>
      </c>
      <c r="F78" s="3118">
        <v>20</v>
      </c>
    </row>
    <row r="79" spans="1:7" ht="24">
      <c r="A79" s="3118">
        <v>7</v>
      </c>
      <c r="B79" s="3774"/>
      <c r="C79" s="3092" t="s">
        <v>2664</v>
      </c>
      <c r="D79" s="3092" t="s">
        <v>2665</v>
      </c>
      <c r="E79" s="3118">
        <v>0.15</v>
      </c>
      <c r="F79" s="3118">
        <v>20</v>
      </c>
    </row>
    <row r="80" spans="1:7" ht="24">
      <c r="A80" s="3118">
        <v>8</v>
      </c>
      <c r="B80" s="3774"/>
      <c r="C80" s="3092" t="s">
        <v>2666</v>
      </c>
      <c r="D80" s="3092" t="s">
        <v>2667</v>
      </c>
      <c r="E80" s="3118">
        <v>0.1</v>
      </c>
      <c r="F80" s="3118">
        <v>15</v>
      </c>
    </row>
    <row r="81" spans="1:6" ht="24">
      <c r="A81" s="3118">
        <v>9</v>
      </c>
      <c r="B81" s="3774"/>
      <c r="C81" s="3092" t="s">
        <v>2668</v>
      </c>
      <c r="D81" s="3092" t="s">
        <v>2669</v>
      </c>
      <c r="E81" s="3118">
        <v>0.1</v>
      </c>
      <c r="F81" s="3118">
        <v>15</v>
      </c>
    </row>
    <row r="82" spans="1:6" ht="24">
      <c r="A82" s="3118">
        <v>10</v>
      </c>
      <c r="B82" s="3774"/>
      <c r="C82" s="3092" t="s">
        <v>2670</v>
      </c>
      <c r="D82" s="3092" t="s">
        <v>2671</v>
      </c>
      <c r="E82" s="3118">
        <v>0.1</v>
      </c>
      <c r="F82" s="3118">
        <v>15</v>
      </c>
    </row>
    <row r="83" spans="1:6" ht="24">
      <c r="A83" s="3118">
        <v>11</v>
      </c>
      <c r="B83" s="3774"/>
      <c r="C83" s="3092" t="s">
        <v>2672</v>
      </c>
      <c r="D83" s="3092" t="s">
        <v>2673</v>
      </c>
      <c r="E83" s="3118">
        <v>0.1</v>
      </c>
      <c r="F83" s="3118">
        <v>15</v>
      </c>
    </row>
    <row r="84" spans="1:6" ht="24">
      <c r="A84" s="3118">
        <v>12</v>
      </c>
      <c r="B84" s="3774"/>
      <c r="C84" s="3092" t="s">
        <v>2674</v>
      </c>
      <c r="D84" s="3092" t="s">
        <v>2675</v>
      </c>
      <c r="E84" s="3118">
        <v>0.1</v>
      </c>
      <c r="F84" s="3118">
        <v>15</v>
      </c>
    </row>
    <row r="85" spans="1:6" ht="13.5">
      <c r="A85" s="3118">
        <v>13</v>
      </c>
      <c r="B85" s="3774"/>
      <c r="C85" s="3092" t="s">
        <v>2676</v>
      </c>
      <c r="D85" s="3092" t="s">
        <v>2677</v>
      </c>
      <c r="E85" s="3118">
        <v>0.1</v>
      </c>
      <c r="F85" s="3118">
        <v>15</v>
      </c>
    </row>
    <row r="86" spans="1:6" ht="13.5">
      <c r="A86" s="3118">
        <v>14</v>
      </c>
      <c r="B86" s="3774"/>
      <c r="C86" s="3092" t="s">
        <v>2678</v>
      </c>
      <c r="D86" s="3092" t="s">
        <v>2679</v>
      </c>
      <c r="E86" s="3118">
        <v>0.1</v>
      </c>
      <c r="F86" s="3118">
        <v>15</v>
      </c>
    </row>
    <row r="87" spans="1:6" ht="13.5">
      <c r="A87" s="3118">
        <v>15</v>
      </c>
      <c r="B87" s="3774"/>
      <c r="C87" s="3092" t="s">
        <v>2680</v>
      </c>
      <c r="D87" s="3092" t="s">
        <v>2681</v>
      </c>
      <c r="E87" s="3118">
        <v>0.1</v>
      </c>
      <c r="F87" s="3118">
        <v>15</v>
      </c>
    </row>
    <row r="88" spans="1:6" ht="24">
      <c r="A88" s="3118">
        <v>16</v>
      </c>
      <c r="B88" s="3774"/>
      <c r="C88" s="3092" t="s">
        <v>2682</v>
      </c>
      <c r="D88" s="3092" t="s">
        <v>2683</v>
      </c>
      <c r="E88" s="3118">
        <v>0.1</v>
      </c>
      <c r="F88" s="3118">
        <v>15</v>
      </c>
    </row>
    <row r="89" spans="1:6" ht="24">
      <c r="A89" s="3118">
        <v>17</v>
      </c>
      <c r="B89" s="3783"/>
      <c r="C89" s="3092" t="s">
        <v>2684</v>
      </c>
      <c r="D89" s="3092" t="s">
        <v>2685</v>
      </c>
      <c r="E89" s="3118">
        <v>0.1</v>
      </c>
      <c r="F89" s="3118">
        <v>15</v>
      </c>
    </row>
    <row r="90" spans="1:6" ht="13.5">
      <c r="A90" s="3118">
        <v>18</v>
      </c>
      <c r="B90" s="3779" t="s">
        <v>2686</v>
      </c>
      <c r="C90" s="3092" t="s">
        <v>2687</v>
      </c>
      <c r="D90" s="3092" t="s">
        <v>2688</v>
      </c>
      <c r="E90" s="3118">
        <v>0.2</v>
      </c>
      <c r="F90" s="3118">
        <v>25</v>
      </c>
    </row>
    <row r="91" spans="1:6" ht="24">
      <c r="A91" s="3118">
        <v>19</v>
      </c>
      <c r="B91" s="3774"/>
      <c r="C91" s="3092" t="s">
        <v>2689</v>
      </c>
      <c r="D91" s="3092" t="s">
        <v>2690</v>
      </c>
      <c r="E91" s="3118">
        <v>0.2</v>
      </c>
      <c r="F91" s="3118">
        <v>25</v>
      </c>
    </row>
    <row r="92" spans="1:6" ht="13.5">
      <c r="A92" s="3118">
        <v>20</v>
      </c>
      <c r="B92" s="3774"/>
      <c r="C92" s="3092" t="s">
        <v>2691</v>
      </c>
      <c r="D92" s="3092" t="s">
        <v>2692</v>
      </c>
      <c r="E92" s="3118">
        <v>0.15</v>
      </c>
      <c r="F92" s="3118">
        <v>20</v>
      </c>
    </row>
    <row r="93" spans="1:6" ht="13.5">
      <c r="A93" s="3118">
        <v>21</v>
      </c>
      <c r="B93" s="3774"/>
      <c r="C93" s="3092" t="s">
        <v>2693</v>
      </c>
      <c r="D93" s="3092" t="s">
        <v>2694</v>
      </c>
      <c r="E93" s="3118">
        <v>0.15</v>
      </c>
      <c r="F93" s="3118">
        <v>20</v>
      </c>
    </row>
    <row r="94" spans="1:6" ht="13.5">
      <c r="A94" s="3118">
        <v>22</v>
      </c>
      <c r="B94" s="3774"/>
      <c r="C94" s="3092" t="s">
        <v>2695</v>
      </c>
      <c r="D94" s="3092" t="s">
        <v>2696</v>
      </c>
      <c r="E94" s="3118">
        <v>0.15</v>
      </c>
      <c r="F94" s="3118">
        <v>20</v>
      </c>
    </row>
    <row r="95" spans="1:6" ht="36">
      <c r="A95" s="3118">
        <v>23</v>
      </c>
      <c r="B95" s="3774"/>
      <c r="C95" s="3092" t="s">
        <v>2697</v>
      </c>
      <c r="D95" s="3092" t="s">
        <v>2698</v>
      </c>
      <c r="E95" s="3118">
        <v>0.15</v>
      </c>
      <c r="F95" s="3118">
        <v>20</v>
      </c>
    </row>
    <row r="96" spans="1:6" ht="13.5">
      <c r="A96" s="3118">
        <v>24</v>
      </c>
      <c r="B96" s="3774"/>
      <c r="C96" s="3092" t="s">
        <v>2699</v>
      </c>
      <c r="D96" s="3092" t="s">
        <v>2700</v>
      </c>
      <c r="E96" s="3118">
        <v>0.1</v>
      </c>
      <c r="F96" s="3118">
        <v>15</v>
      </c>
    </row>
    <row r="97" spans="1:6" ht="13.5">
      <c r="A97" s="3118">
        <v>25</v>
      </c>
      <c r="B97" s="3774"/>
      <c r="C97" s="3092" t="s">
        <v>2701</v>
      </c>
      <c r="D97" s="3092" t="s">
        <v>2702</v>
      </c>
      <c r="E97" s="3118">
        <v>0.1</v>
      </c>
      <c r="F97" s="3118">
        <v>15</v>
      </c>
    </row>
    <row r="98" spans="1:6" ht="24">
      <c r="A98" s="3118">
        <v>26</v>
      </c>
      <c r="B98" s="3774"/>
      <c r="C98" s="3092" t="s">
        <v>2703</v>
      </c>
      <c r="D98" s="3092" t="s">
        <v>2704</v>
      </c>
      <c r="E98" s="3118">
        <v>0.1</v>
      </c>
      <c r="F98" s="3118">
        <v>15</v>
      </c>
    </row>
    <row r="99" spans="1:6" ht="24">
      <c r="A99" s="3118">
        <v>27</v>
      </c>
      <c r="B99" s="3774"/>
      <c r="C99" s="3092" t="s">
        <v>2705</v>
      </c>
      <c r="D99" s="3092" t="s">
        <v>2706</v>
      </c>
      <c r="E99" s="3118">
        <v>0.1</v>
      </c>
      <c r="F99" s="3118">
        <v>15</v>
      </c>
    </row>
    <row r="100" spans="1:6" ht="13.5">
      <c r="A100" s="3118">
        <v>28</v>
      </c>
      <c r="B100" s="3774"/>
      <c r="C100" s="3092" t="s">
        <v>2707</v>
      </c>
      <c r="D100" s="3092" t="s">
        <v>2708</v>
      </c>
      <c r="E100" s="3118">
        <v>0.1</v>
      </c>
      <c r="F100" s="3118">
        <v>15</v>
      </c>
    </row>
    <row r="101" spans="1:6" ht="13.5">
      <c r="A101" s="3118">
        <v>29</v>
      </c>
      <c r="B101" s="3774"/>
      <c r="C101" s="3092" t="s">
        <v>2709</v>
      </c>
      <c r="D101" s="3092" t="s">
        <v>2710</v>
      </c>
      <c r="E101" s="3118">
        <v>0.1</v>
      </c>
      <c r="F101" s="3118">
        <v>15</v>
      </c>
    </row>
    <row r="102" spans="1:6" ht="13.5">
      <c r="A102" s="3118">
        <v>30</v>
      </c>
      <c r="B102" s="3774"/>
      <c r="C102" s="3092" t="s">
        <v>2711</v>
      </c>
      <c r="D102" s="3092" t="s">
        <v>2712</v>
      </c>
      <c r="E102" s="3118">
        <v>0.1</v>
      </c>
      <c r="F102" s="3118">
        <v>15</v>
      </c>
    </row>
    <row r="103" spans="1:6" ht="24">
      <c r="A103" s="3118">
        <v>31</v>
      </c>
      <c r="B103" s="3774"/>
      <c r="C103" s="3092" t="s">
        <v>2713</v>
      </c>
      <c r="D103" s="3092" t="s">
        <v>2714</v>
      </c>
      <c r="E103" s="3118">
        <v>0.1</v>
      </c>
      <c r="F103" s="3118">
        <v>15</v>
      </c>
    </row>
    <row r="104" spans="1:6" ht="24">
      <c r="A104" s="3118">
        <v>32</v>
      </c>
      <c r="B104" s="3774"/>
      <c r="C104" s="3092" t="s">
        <v>2715</v>
      </c>
      <c r="D104" s="3092" t="s">
        <v>2716</v>
      </c>
      <c r="E104" s="3118">
        <v>0.1</v>
      </c>
      <c r="F104" s="3118">
        <v>15</v>
      </c>
    </row>
    <row r="105" spans="1:6" ht="24">
      <c r="A105" s="3118">
        <v>33</v>
      </c>
      <c r="B105" s="3774"/>
      <c r="C105" s="3092" t="s">
        <v>2717</v>
      </c>
      <c r="D105" s="3092" t="s">
        <v>2718</v>
      </c>
      <c r="E105" s="3118">
        <v>0.1</v>
      </c>
      <c r="F105" s="3118">
        <v>15</v>
      </c>
    </row>
    <row r="106" spans="1:6" ht="24">
      <c r="A106" s="3118">
        <v>34</v>
      </c>
      <c r="B106" s="3783"/>
      <c r="C106" s="3092" t="s">
        <v>2719</v>
      </c>
      <c r="D106" s="3092" t="s">
        <v>2720</v>
      </c>
      <c r="E106" s="3118">
        <v>0.1</v>
      </c>
      <c r="F106" s="3118">
        <v>15</v>
      </c>
    </row>
    <row r="107" spans="1:6" ht="24">
      <c r="A107" s="3118">
        <v>35</v>
      </c>
      <c r="B107" s="3779" t="s">
        <v>2721</v>
      </c>
      <c r="C107" s="3118" t="s">
        <v>2722</v>
      </c>
      <c r="D107" s="3092" t="s">
        <v>2723</v>
      </c>
      <c r="E107" s="3118">
        <v>0.15</v>
      </c>
      <c r="F107" s="3118">
        <v>20</v>
      </c>
    </row>
    <row r="108" spans="1:6" ht="13.5">
      <c r="A108" s="3118">
        <v>36</v>
      </c>
      <c r="B108" s="3774"/>
      <c r="C108" s="3118" t="s">
        <v>2724</v>
      </c>
      <c r="D108" s="3092" t="s">
        <v>2725</v>
      </c>
      <c r="E108" s="3118">
        <v>0.15</v>
      </c>
      <c r="F108" s="3118">
        <v>20</v>
      </c>
    </row>
    <row r="109" spans="1:6" ht="13.5">
      <c r="A109" s="3118">
        <v>37</v>
      </c>
      <c r="B109" s="3774"/>
      <c r="C109" s="3118" t="s">
        <v>2726</v>
      </c>
      <c r="D109" s="3092" t="s">
        <v>2727</v>
      </c>
      <c r="E109" s="3118">
        <v>0.15</v>
      </c>
      <c r="F109" s="3118">
        <v>20</v>
      </c>
    </row>
    <row r="110" spans="1:6" ht="13.5">
      <c r="A110" s="3118">
        <v>38</v>
      </c>
      <c r="B110" s="3774"/>
      <c r="C110" s="3118" t="s">
        <v>2728</v>
      </c>
      <c r="D110" s="3092" t="s">
        <v>2729</v>
      </c>
      <c r="E110" s="3118">
        <v>0.1</v>
      </c>
      <c r="F110" s="3118">
        <v>15</v>
      </c>
    </row>
    <row r="111" spans="1:6" ht="24">
      <c r="A111" s="3118">
        <v>39</v>
      </c>
      <c r="B111" s="3774"/>
      <c r="C111" s="3118" t="s">
        <v>2730</v>
      </c>
      <c r="D111" s="3092" t="s">
        <v>2731</v>
      </c>
      <c r="E111" s="3118">
        <v>0.1</v>
      </c>
      <c r="F111" s="3118">
        <v>15</v>
      </c>
    </row>
    <row r="112" spans="1:6" ht="24">
      <c r="A112" s="3118">
        <v>40</v>
      </c>
      <c r="B112" s="3783"/>
      <c r="C112" s="3118" t="s">
        <v>2732</v>
      </c>
      <c r="D112" s="3092" t="s">
        <v>2733</v>
      </c>
      <c r="E112" s="3118">
        <v>0.1</v>
      </c>
      <c r="F112" s="3118">
        <v>15</v>
      </c>
    </row>
    <row r="113" spans="1:6" ht="13.5">
      <c r="A113" s="3118">
        <v>41</v>
      </c>
      <c r="B113" s="3784" t="s">
        <v>2734</v>
      </c>
      <c r="C113" s="3118" t="s">
        <v>2735</v>
      </c>
      <c r="D113" s="3092" t="s">
        <v>2736</v>
      </c>
      <c r="E113" s="3118">
        <v>0.1</v>
      </c>
      <c r="F113" s="3118">
        <v>15</v>
      </c>
    </row>
    <row r="114" spans="1:6" ht="13.5">
      <c r="A114" s="3118">
        <v>42</v>
      </c>
      <c r="B114" s="3784"/>
      <c r="C114" s="3118" t="s">
        <v>2737</v>
      </c>
      <c r="D114" s="3092" t="s">
        <v>2738</v>
      </c>
      <c r="E114" s="3118">
        <v>0.1</v>
      </c>
      <c r="F114" s="3118">
        <v>15</v>
      </c>
    </row>
    <row r="115" spans="1:6" ht="24">
      <c r="A115" s="3118">
        <v>43</v>
      </c>
      <c r="B115" s="3784"/>
      <c r="C115" s="3118" t="s">
        <v>2739</v>
      </c>
      <c r="D115" s="3092" t="s">
        <v>2740</v>
      </c>
      <c r="E115" s="3118">
        <v>0.1</v>
      </c>
      <c r="F115" s="3118">
        <v>15</v>
      </c>
    </row>
    <row r="116" spans="1:6" ht="13.5">
      <c r="A116" s="3118">
        <v>44</v>
      </c>
      <c r="B116" s="3779" t="s">
        <v>2741</v>
      </c>
      <c r="C116" s="3118" t="s">
        <v>2742</v>
      </c>
      <c r="D116" s="3092" t="s">
        <v>2743</v>
      </c>
      <c r="E116" s="3118">
        <v>0.1</v>
      </c>
      <c r="F116" s="3118">
        <v>15</v>
      </c>
    </row>
    <row r="117" spans="1:6" ht="24">
      <c r="A117" s="3118">
        <v>45</v>
      </c>
      <c r="B117" s="3783"/>
      <c r="C117" s="3092" t="s">
        <v>2744</v>
      </c>
      <c r="D117" s="3092" t="s">
        <v>2745</v>
      </c>
      <c r="E117" s="3118">
        <v>0.1</v>
      </c>
      <c r="F117" s="3118">
        <v>15</v>
      </c>
    </row>
    <row r="118" spans="1:6" ht="24">
      <c r="A118" s="3118">
        <v>46</v>
      </c>
      <c r="B118" s="3779" t="s">
        <v>2746</v>
      </c>
      <c r="C118" s="3118" t="s">
        <v>2747</v>
      </c>
      <c r="D118" s="3092" t="s">
        <v>2748</v>
      </c>
      <c r="E118" s="3118">
        <v>0.1</v>
      </c>
      <c r="F118" s="3118">
        <v>15</v>
      </c>
    </row>
    <row r="119" spans="1:6" ht="24">
      <c r="A119" s="3118">
        <v>47</v>
      </c>
      <c r="B119" s="3783"/>
      <c r="C119" s="3118" t="s">
        <v>2749</v>
      </c>
      <c r="D119" s="3092" t="s">
        <v>2750</v>
      </c>
      <c r="E119" s="3118">
        <v>0.1</v>
      </c>
      <c r="F119" s="3118">
        <v>15</v>
      </c>
    </row>
    <row r="120" spans="1:6" ht="13.5">
      <c r="A120" s="3118">
        <v>48</v>
      </c>
      <c r="B120" s="3779" t="s">
        <v>2751</v>
      </c>
      <c r="C120" s="3118" t="s">
        <v>2752</v>
      </c>
      <c r="D120" s="3092" t="s">
        <v>2753</v>
      </c>
      <c r="E120" s="3118">
        <v>0.1</v>
      </c>
      <c r="F120" s="3118">
        <v>15</v>
      </c>
    </row>
    <row r="121" spans="1:6" ht="13.5">
      <c r="A121" s="3118">
        <v>49</v>
      </c>
      <c r="B121" s="3783"/>
      <c r="C121" s="3118" t="s">
        <v>2754</v>
      </c>
      <c r="D121" s="3092" t="s">
        <v>2755</v>
      </c>
      <c r="E121" s="3118">
        <v>0.1</v>
      </c>
      <c r="F121" s="3118">
        <v>15</v>
      </c>
    </row>
    <row r="122" spans="1:6" ht="24">
      <c r="A122" s="3118">
        <v>50</v>
      </c>
      <c r="B122" s="3784" t="s">
        <v>2756</v>
      </c>
      <c r="C122" s="3118" t="s">
        <v>2757</v>
      </c>
      <c r="D122" s="3092" t="s">
        <v>2758</v>
      </c>
      <c r="E122" s="3118">
        <v>0.1</v>
      </c>
      <c r="F122" s="3118">
        <v>15</v>
      </c>
    </row>
    <row r="123" spans="1:6" ht="24">
      <c r="A123" s="3118">
        <v>51</v>
      </c>
      <c r="B123" s="3784"/>
      <c r="C123" s="3118" t="s">
        <v>2759</v>
      </c>
      <c r="D123" s="3092" t="s">
        <v>2760</v>
      </c>
      <c r="E123" s="3118">
        <v>0.1</v>
      </c>
      <c r="F123" s="3118">
        <v>15</v>
      </c>
    </row>
    <row r="124" spans="1:6" ht="24">
      <c r="A124" s="3118">
        <v>52</v>
      </c>
      <c r="B124" s="3784" t="s">
        <v>2761</v>
      </c>
      <c r="C124" s="3118" t="s">
        <v>2762</v>
      </c>
      <c r="D124" s="3092" t="s">
        <v>2763</v>
      </c>
      <c r="E124" s="3118">
        <v>0.1</v>
      </c>
      <c r="F124" s="3118">
        <v>15</v>
      </c>
    </row>
    <row r="125" spans="1:6" ht="24">
      <c r="A125" s="3118">
        <v>53</v>
      </c>
      <c r="B125" s="378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4" t="s">
        <v>2769</v>
      </c>
      <c r="C127" s="3118" t="s">
        <v>2770</v>
      </c>
      <c r="D127" s="3092" t="s">
        <v>2771</v>
      </c>
      <c r="E127" s="3118">
        <v>0.1</v>
      </c>
      <c r="F127" s="3118">
        <v>15</v>
      </c>
    </row>
    <row r="128" spans="1:6" ht="13.5">
      <c r="A128" s="3118">
        <v>56</v>
      </c>
      <c r="B128" s="3784"/>
      <c r="C128" s="3118" t="s">
        <v>2772</v>
      </c>
      <c r="D128" s="3092" t="s">
        <v>2773</v>
      </c>
      <c r="E128" s="3118">
        <v>0.1</v>
      </c>
      <c r="F128" s="3118">
        <v>15</v>
      </c>
    </row>
    <row r="129" spans="1:6" ht="24">
      <c r="A129" s="3118">
        <v>57</v>
      </c>
      <c r="B129" s="3784"/>
      <c r="C129" s="3118" t="s">
        <v>2774</v>
      </c>
      <c r="D129" s="3092" t="s">
        <v>2775</v>
      </c>
      <c r="E129" s="3118">
        <v>0.1</v>
      </c>
      <c r="F129" s="3118">
        <v>15</v>
      </c>
    </row>
    <row r="130" spans="1:6" ht="24">
      <c r="A130" s="3118">
        <v>58</v>
      </c>
      <c r="B130" s="3784" t="s">
        <v>2776</v>
      </c>
      <c r="C130" s="3118" t="s">
        <v>2777</v>
      </c>
      <c r="D130" s="3092" t="s">
        <v>2778</v>
      </c>
      <c r="E130" s="3118">
        <v>0.1</v>
      </c>
      <c r="F130" s="3118">
        <v>15</v>
      </c>
    </row>
    <row r="131" spans="1:6" ht="13.5">
      <c r="A131" s="3118">
        <v>59</v>
      </c>
      <c r="B131" s="3784"/>
      <c r="C131" s="3118" t="s">
        <v>2779</v>
      </c>
      <c r="D131" s="3092" t="s">
        <v>2780</v>
      </c>
      <c r="E131" s="3118">
        <v>0.1</v>
      </c>
      <c r="F131" s="3118">
        <v>15</v>
      </c>
    </row>
    <row r="132" spans="1:6" ht="13.5">
      <c r="A132" s="3118">
        <v>60</v>
      </c>
      <c r="B132" s="3779" t="s">
        <v>2781</v>
      </c>
      <c r="C132" s="3118" t="s">
        <v>2782</v>
      </c>
      <c r="D132" s="3092" t="s">
        <v>2783</v>
      </c>
      <c r="E132" s="3118">
        <v>0.1</v>
      </c>
      <c r="F132" s="3118">
        <v>15</v>
      </c>
    </row>
    <row r="133" spans="1:6" ht="13.5">
      <c r="A133" s="3118">
        <v>61</v>
      </c>
      <c r="B133" s="378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4" t="s">
        <v>2789</v>
      </c>
      <c r="C135" s="3118" t="s">
        <v>2790</v>
      </c>
      <c r="D135" s="3092" t="s">
        <v>2791</v>
      </c>
      <c r="E135" s="3118">
        <v>0.1</v>
      </c>
      <c r="F135" s="3118">
        <v>15</v>
      </c>
    </row>
    <row r="136" spans="1:6" ht="13.5">
      <c r="A136" s="3118">
        <v>64</v>
      </c>
      <c r="B136" s="378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39532</v>
      </c>
      <c r="C2" s="2" t="s">
        <v>106</v>
      </c>
      <c r="D2" s="199"/>
      <c r="E2" s="199"/>
      <c r="F2" s="199"/>
      <c r="G2" s="199"/>
    </row>
    <row r="3" spans="1:7" s="200" customFormat="1" ht="18" customHeight="1" thickBot="1">
      <c r="A3" s="203" t="s">
        <v>58</v>
      </c>
      <c r="B3" s="204">
        <f ca="1">ROUND(B2*10000/'数据-汇总表'!E3,0)</f>
        <v>29292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270</v>
      </c>
      <c r="D10" s="845">
        <f>'数据-汇总表'!E6</f>
        <v>13495.99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270</v>
      </c>
      <c r="D19" s="849">
        <f>'数据-汇总表'!E3</f>
        <v>13495.99</v>
      </c>
      <c r="E19" s="211">
        <f>'数据-取费表'!B31</f>
        <v>200</v>
      </c>
      <c r="F19" s="231"/>
      <c r="G19" s="1" t="s">
        <v>436</v>
      </c>
    </row>
    <row r="20" spans="1:7" s="214" customFormat="1" ht="13.5" customHeight="1">
      <c r="A20" s="777" t="s">
        <v>419</v>
      </c>
      <c r="B20" s="210" t="s">
        <v>77</v>
      </c>
      <c r="C20" s="232">
        <f>ROUND((C5+C19)*F20,0)</f>
        <v>626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1488</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4301</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4301</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7423</v>
      </c>
      <c r="D34" s="217"/>
      <c r="E34" s="220"/>
      <c r="F34" s="257">
        <f>IF('数据-取费表'!B24=0,1,'数据-取费表'!N16)</f>
        <v>1</v>
      </c>
      <c r="G34" s="219" t="s">
        <v>89</v>
      </c>
    </row>
    <row r="35" spans="1:7" ht="13.5" customHeight="1">
      <c r="A35" s="780" t="s">
        <v>351</v>
      </c>
      <c r="B35" s="215" t="s">
        <v>33</v>
      </c>
      <c r="C35" s="220">
        <f>ROUND(C34*F35,0)</f>
        <v>371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270</v>
      </c>
      <c r="D37" s="217">
        <f>'数据-汇总表'!E3</f>
        <v>13495.99</v>
      </c>
      <c r="E37" s="249">
        <f>'数据-取费表'!B35</f>
        <v>200</v>
      </c>
      <c r="F37" s="259"/>
      <c r="G37" s="261" t="s">
        <v>92</v>
      </c>
    </row>
    <row r="38" spans="1:7" ht="13.5" customHeight="1">
      <c r="A38" s="780" t="s">
        <v>354</v>
      </c>
      <c r="B38" s="215" t="s">
        <v>36</v>
      </c>
      <c r="C38" s="220">
        <f>ROUND(C34*F38,0)</f>
        <v>148</v>
      </c>
      <c r="D38" s="220"/>
      <c r="E38" s="220"/>
      <c r="F38" s="259">
        <f>'数据-取费表'!B36</f>
        <v>0.02</v>
      </c>
      <c r="G38" s="219" t="s">
        <v>90</v>
      </c>
    </row>
    <row r="39" spans="1:7" s="214" customFormat="1" ht="13.5" customHeight="1">
      <c r="A39" s="777" t="s">
        <v>338</v>
      </c>
      <c r="B39" s="210" t="s">
        <v>77</v>
      </c>
      <c r="C39" s="232">
        <f>ROUND(C33*F20,0)</f>
        <v>246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291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283</v>
      </c>
      <c r="D42" s="238"/>
      <c r="E42" s="238"/>
      <c r="F42" s="239"/>
      <c r="G42" s="3647" t="s">
        <v>94</v>
      </c>
    </row>
    <row r="43" spans="1:7" ht="13.5" customHeight="1">
      <c r="A43" s="780" t="s">
        <v>347</v>
      </c>
      <c r="B43" s="215" t="s">
        <v>426</v>
      </c>
      <c r="C43" s="238">
        <f ca="1">ROUND(IF('数据-取费表'!B22&lt;=1,C39*F22*'数据-取费表'!B21/2,C39*(POWER((1+F22),'数据-取费表'!B21/2)-1)),0)</f>
        <v>8</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1692</v>
      </c>
      <c r="D45" s="235">
        <f>C47</f>
        <v>6.0000000000000001E-3</v>
      </c>
      <c r="E45" s="236" t="s">
        <v>102</v>
      </c>
      <c r="F45" s="246"/>
      <c r="G45" s="247" t="s">
        <v>434</v>
      </c>
    </row>
    <row r="46" spans="1:7" s="214" customFormat="1" ht="13.5" customHeight="1">
      <c r="A46" s="780" t="s">
        <v>349</v>
      </c>
      <c r="B46" s="248" t="s">
        <v>427</v>
      </c>
      <c r="C46" s="249">
        <f>ROUND((C33+C39)*F27,0)</f>
        <v>1692</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11478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9527</v>
      </c>
      <c r="D51" s="232"/>
      <c r="E51" s="232"/>
      <c r="F51" s="264"/>
      <c r="G51" s="234" t="s">
        <v>37</v>
      </c>
    </row>
    <row r="52" spans="1:7" s="208" customFormat="1" ht="16.5" thickBot="1">
      <c r="A52" s="265" t="s">
        <v>38</v>
      </c>
      <c r="B52" s="266"/>
      <c r="C52" s="267">
        <f ca="1">C31+C51</f>
        <v>39532</v>
      </c>
      <c r="D52" s="266"/>
      <c r="E52" s="266"/>
      <c r="F52" s="266"/>
      <c r="G52" s="268"/>
    </row>
    <row r="55" spans="1:7" ht="15">
      <c r="B55" s="270" t="s">
        <v>39</v>
      </c>
      <c r="C55" s="271"/>
    </row>
    <row r="56" spans="1:7">
      <c r="B56" s="273" t="s">
        <v>40</v>
      </c>
      <c r="C56" s="274">
        <f ca="1">ROUND(C51/C52,3)</f>
        <v>0.24099999999999999</v>
      </c>
    </row>
    <row r="57" spans="1:7">
      <c r="B57" s="273" t="s">
        <v>41</v>
      </c>
      <c r="C57" s="275">
        <f ca="1">1-C56</f>
        <v>0.75900000000000001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21190</v>
      </c>
      <c r="E5" s="1491"/>
    </row>
    <row r="6" spans="1:5" ht="15.75">
      <c r="A6" s="1491"/>
      <c r="B6" s="3466"/>
      <c r="C6" s="1494" t="s">
        <v>911</v>
      </c>
      <c r="D6" s="850" t="str">
        <f ca="1">NUMBERSTRING(INT(D5*10000),2)&amp;"元整"</f>
        <v>贰亿壹仟壹佰玖拾万元整</v>
      </c>
      <c r="E6" s="1491"/>
    </row>
    <row r="7" spans="1:5" ht="15.75">
      <c r="A7" s="1491"/>
      <c r="B7" s="3471"/>
      <c r="C7" s="1495" t="s">
        <v>912</v>
      </c>
      <c r="D7" s="851">
        <f ca="1">结果表!H102</f>
        <v>15762</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21190</v>
      </c>
      <c r="E13" s="1491"/>
    </row>
    <row r="14" spans="1:5" ht="15.75">
      <c r="A14" s="1491"/>
      <c r="B14" s="3466"/>
      <c r="C14" s="1494" t="s">
        <v>911</v>
      </c>
      <c r="D14" s="850" t="str">
        <f ca="1">NUMBERSTRING(INT(D13*10000),2)&amp;"元整"</f>
        <v>贰亿壹仟壹佰玖拾万元整</v>
      </c>
      <c r="E14" s="1491"/>
    </row>
    <row r="15" spans="1:5" ht="15">
      <c r="A15" s="1491"/>
      <c r="B15" s="3471"/>
      <c r="C15" s="1495" t="s">
        <v>921</v>
      </c>
      <c r="D15" s="859">
        <f ca="1">结果表!H108</f>
        <v>15762</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7" t="s">
        <v>2841</v>
      </c>
      <c r="B1" s="3787"/>
      <c r="C1" s="3787"/>
      <c r="D1" s="3787"/>
      <c r="E1" s="3787"/>
      <c r="F1" s="3787"/>
      <c r="G1" s="3788"/>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5" t="s">
        <v>2868</v>
      </c>
      <c r="B3" s="3230"/>
      <c r="C3" s="3231" t="s">
        <v>2811</v>
      </c>
      <c r="D3" s="3231" t="s">
        <v>2869</v>
      </c>
      <c r="E3" s="3231" t="s">
        <v>2813</v>
      </c>
      <c r="F3" s="3231" t="s">
        <v>2870</v>
      </c>
      <c r="G3" s="3231" t="s">
        <v>2631</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6"/>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9" t="s">
        <v>3183</v>
      </c>
      <c r="B1" s="3789"/>
    </row>
    <row r="2" spans="1:7" ht="14.25" thickBot="1">
      <c r="A2" s="3255"/>
      <c r="B2" s="3255"/>
    </row>
    <row r="3" spans="1:7" ht="14.25" thickBot="1">
      <c r="A3" s="3255"/>
      <c r="B3" s="3255"/>
      <c r="C3" s="3256" t="s">
        <v>2811</v>
      </c>
      <c r="D3" s="3256" t="s">
        <v>2869</v>
      </c>
      <c r="E3" s="3256" t="s">
        <v>2813</v>
      </c>
      <c r="F3" s="3256" t="s">
        <v>2870</v>
      </c>
      <c r="G3" s="3256" t="s">
        <v>2631</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0" t="s">
        <v>3234</v>
      </c>
      <c r="B1" s="3790"/>
      <c r="C1" s="3790"/>
      <c r="D1" s="3790"/>
      <c r="E1" s="3790"/>
      <c r="F1" s="3791"/>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45227</v>
      </c>
      <c r="B1" s="3210" t="s">
        <v>2840</v>
      </c>
      <c r="C1" s="3211"/>
      <c r="D1" s="3211"/>
      <c r="E1" s="3211"/>
      <c r="F1" s="3211"/>
      <c r="G1" s="3211"/>
      <c r="H1" s="3211"/>
      <c r="I1" s="3211"/>
      <c r="J1" s="3165"/>
      <c r="K1" s="3211" t="s">
        <v>454</v>
      </c>
      <c r="L1" s="3211"/>
      <c r="M1" s="3211"/>
      <c r="N1" s="3211"/>
      <c r="O1" s="3211"/>
      <c r="P1" s="3211"/>
      <c r="Q1" s="3165"/>
      <c r="R1" s="3792" t="s">
        <v>456</v>
      </c>
      <c r="S1" s="3793"/>
      <c r="T1" s="3793"/>
      <c r="U1" s="3793"/>
      <c r="V1" s="3793"/>
      <c r="W1" s="3793"/>
      <c r="X1" s="3165"/>
      <c r="Y1" s="3792" t="s">
        <v>457</v>
      </c>
      <c r="Z1" s="3793"/>
      <c r="AA1" s="3793"/>
      <c r="AB1" s="3793"/>
      <c r="AC1" s="3793"/>
      <c r="AD1" s="3793"/>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3368</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3369</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3373</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3372</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3370</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3364</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3355</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2820</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2821</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2822</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2823</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2824</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3366</v>
      </c>
    </row>
    <row r="19" spans="1:30" s="3009" customFormat="1">
      <c r="I19" s="3208" t="s">
        <v>2825</v>
      </c>
    </row>
    <row r="20" spans="1:30" s="3009" customFormat="1"/>
    <row r="21" spans="1:30" s="3209" customFormat="1" ht="12.75">
      <c r="B21" s="3210" t="s">
        <v>2826</v>
      </c>
      <c r="C21" s="3211"/>
      <c r="D21" s="3211"/>
      <c r="E21" s="3211"/>
      <c r="F21" s="3211"/>
      <c r="G21" s="3211"/>
      <c r="H21" s="3211"/>
      <c r="I21" s="3211"/>
      <c r="J21" s="3165"/>
      <c r="K21" s="3211" t="s">
        <v>2827</v>
      </c>
      <c r="L21" s="3211"/>
      <c r="M21" s="3211"/>
      <c r="N21" s="3211"/>
      <c r="O21" s="3211"/>
      <c r="P21" s="3211"/>
      <c r="Q21" s="3165"/>
      <c r="R21" s="3792" t="s">
        <v>2828</v>
      </c>
      <c r="S21" s="3793"/>
      <c r="T21" s="3793"/>
      <c r="U21" s="3793"/>
      <c r="V21" s="3793"/>
      <c r="W21" s="3793"/>
      <c r="X21" s="3165"/>
      <c r="Y21" s="3792" t="s">
        <v>2829</v>
      </c>
      <c r="Z21" s="3793"/>
      <c r="AA21" s="3793"/>
      <c r="AB21" s="3793"/>
      <c r="AC21" s="3793"/>
      <c r="AD21" s="3793"/>
    </row>
    <row r="22" spans="1:30" s="3143" customFormat="1" ht="14.25" thickBot="1">
      <c r="B22" s="3144"/>
      <c r="C22" s="3145"/>
      <c r="D22" s="3146" t="s">
        <v>2830</v>
      </c>
      <c r="E22" s="3147" t="s">
        <v>2831</v>
      </c>
      <c r="F22" s="3147" t="s">
        <v>2832</v>
      </c>
      <c r="G22" s="3147" t="s">
        <v>2833</v>
      </c>
      <c r="H22" s="3147"/>
      <c r="I22" s="3147" t="s">
        <v>2834</v>
      </c>
      <c r="J22" s="3148"/>
      <c r="K22" s="3146" t="s">
        <v>2830</v>
      </c>
      <c r="L22" s="3147" t="s">
        <v>2831</v>
      </c>
      <c r="M22" s="3147" t="s">
        <v>2832</v>
      </c>
      <c r="N22" s="3147" t="s">
        <v>2833</v>
      </c>
      <c r="O22" s="3147"/>
      <c r="P22" s="3147" t="s">
        <v>2834</v>
      </c>
      <c r="Q22" s="3148"/>
      <c r="R22" s="3146" t="s">
        <v>2830</v>
      </c>
      <c r="S22" s="3147" t="s">
        <v>2831</v>
      </c>
      <c r="T22" s="3147" t="s">
        <v>2832</v>
      </c>
      <c r="U22" s="3147" t="s">
        <v>2833</v>
      </c>
      <c r="V22" s="3147"/>
      <c r="W22" s="3147" t="s">
        <v>2834</v>
      </c>
      <c r="X22" s="3148"/>
      <c r="Y22" s="3146" t="s">
        <v>2830</v>
      </c>
      <c r="Z22" s="3147" t="s">
        <v>2831</v>
      </c>
      <c r="AA22" s="3147" t="s">
        <v>2832</v>
      </c>
      <c r="AB22" s="3147" t="s">
        <v>2833</v>
      </c>
      <c r="AC22" s="3147"/>
      <c r="AD22" s="3147" t="s">
        <v>2834</v>
      </c>
    </row>
    <row r="23" spans="1:30" s="3161" customFormat="1" ht="12.75">
      <c r="A23" s="3149" t="s">
        <v>2835</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3368</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3369</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3371</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3372</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3370</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3365</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3355</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2836</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2837</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2838</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2839</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2824</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4"/>
  <sheetViews>
    <sheetView workbookViewId="0">
      <selection activeCell="L43" sqref="L43"/>
    </sheetView>
  </sheetViews>
  <sheetFormatPr defaultRowHeight="13.5"/>
  <cols>
    <col min="1" max="5" width="9" style="3254"/>
    <col min="6" max="6" width="16.25" style="3254" bestFit="1" customWidth="1"/>
    <col min="7" max="7" width="11" style="3254" bestFit="1" customWidth="1"/>
    <col min="8" max="10" width="9" style="3254"/>
    <col min="11" max="12" width="11.125" style="3254" bestFit="1" customWidth="1"/>
    <col min="13" max="16384" width="9" style="3254"/>
  </cols>
  <sheetData>
    <row r="3" spans="2:13">
      <c r="H3" s="3460" t="s">
        <v>3413</v>
      </c>
      <c r="I3" s="3460" t="s">
        <v>3412</v>
      </c>
    </row>
    <row r="4" spans="2:13">
      <c r="D4" s="3460" t="s">
        <v>3392</v>
      </c>
      <c r="E4" s="3460" t="s">
        <v>3389</v>
      </c>
      <c r="F4" s="3460" t="s">
        <v>3390</v>
      </c>
      <c r="G4" s="3460" t="s">
        <v>3409</v>
      </c>
      <c r="H4" s="3254">
        <v>546.01</v>
      </c>
      <c r="I4" s="3254">
        <v>548.14</v>
      </c>
      <c r="K4" s="3460" t="s">
        <v>3433</v>
      </c>
      <c r="M4" s="3460" t="s">
        <v>3435</v>
      </c>
    </row>
    <row r="5" spans="2:13">
      <c r="B5" s="3460" t="s">
        <v>3387</v>
      </c>
      <c r="C5" s="3460" t="s">
        <v>3378</v>
      </c>
      <c r="D5" s="3254">
        <v>738.06</v>
      </c>
      <c r="G5" s="3460" t="s">
        <v>3408</v>
      </c>
      <c r="H5" s="3254">
        <v>717.87</v>
      </c>
      <c r="I5" s="3254">
        <v>720.67</v>
      </c>
    </row>
    <row r="6" spans="2:13">
      <c r="C6" s="3460" t="s">
        <v>3379</v>
      </c>
      <c r="D6" s="3254">
        <v>1297.3</v>
      </c>
      <c r="G6" s="3806" t="s">
        <v>3410</v>
      </c>
      <c r="H6" s="3805">
        <v>4953.82</v>
      </c>
      <c r="I6" s="3805">
        <v>4973.1099999999997</v>
      </c>
    </row>
    <row r="7" spans="2:13">
      <c r="C7" s="3460" t="s">
        <v>3380</v>
      </c>
      <c r="D7" s="3254">
        <v>2256.23</v>
      </c>
      <c r="G7" s="3805"/>
      <c r="H7" s="3805"/>
      <c r="I7" s="3805"/>
    </row>
    <row r="8" spans="2:13">
      <c r="C8" s="3460" t="s">
        <v>3381</v>
      </c>
      <c r="D8" s="3254">
        <v>860.25</v>
      </c>
      <c r="G8" s="3805"/>
      <c r="H8" s="3805"/>
      <c r="I8" s="3805"/>
    </row>
    <row r="9" spans="2:13">
      <c r="C9" s="3460" t="s">
        <v>3382</v>
      </c>
      <c r="D9" s="3254">
        <v>1332.54</v>
      </c>
      <c r="G9" s="3806" t="s">
        <v>3411</v>
      </c>
      <c r="H9" s="3805">
        <v>7225.93</v>
      </c>
      <c r="I9" s="3805">
        <v>7254.07</v>
      </c>
      <c r="J9" s="3460" t="s">
        <v>3432</v>
      </c>
      <c r="K9" s="3460" t="s">
        <v>3434</v>
      </c>
      <c r="M9" s="3460" t="s">
        <v>3436</v>
      </c>
    </row>
    <row r="10" spans="2:13">
      <c r="C10" s="3460" t="s">
        <v>3383</v>
      </c>
      <c r="D10" s="3254">
        <v>6115.78</v>
      </c>
      <c r="G10" s="3805"/>
      <c r="H10" s="3805"/>
      <c r="I10" s="3805"/>
    </row>
    <row r="11" spans="2:13">
      <c r="C11" s="3460" t="s">
        <v>3384</v>
      </c>
      <c r="D11" s="3254">
        <v>895.83</v>
      </c>
      <c r="G11" s="3805"/>
      <c r="H11" s="3805"/>
      <c r="I11" s="3805"/>
    </row>
    <row r="12" spans="2:13">
      <c r="C12" s="3460" t="s">
        <v>3388</v>
      </c>
      <c r="D12" s="3254">
        <f>E12+F12</f>
        <v>21422.87</v>
      </c>
      <c r="E12" s="3254">
        <v>16648.46</v>
      </c>
      <c r="F12" s="3254">
        <v>4774.41</v>
      </c>
      <c r="H12" s="3460">
        <f>SUM(H4:H11)</f>
        <v>13443.630000000001</v>
      </c>
      <c r="I12" s="3460">
        <f>SUM(I4:I11)</f>
        <v>13495.99</v>
      </c>
    </row>
    <row r="13" spans="2:13">
      <c r="C13" s="3460" t="s">
        <v>3393</v>
      </c>
      <c r="D13" s="3254">
        <f t="shared" ref="D13:D18" si="0">E13+F13</f>
        <v>22167.809999999998</v>
      </c>
      <c r="E13" s="3254">
        <v>17225.62</v>
      </c>
      <c r="F13" s="3254">
        <v>4942.1899999999996</v>
      </c>
    </row>
    <row r="14" spans="2:13">
      <c r="C14" s="3460" t="s">
        <v>3394</v>
      </c>
      <c r="D14" s="3254">
        <f t="shared" si="0"/>
        <v>11520.91</v>
      </c>
      <c r="E14" s="3254">
        <v>8546.8700000000008</v>
      </c>
      <c r="F14" s="3254">
        <v>2974.04</v>
      </c>
    </row>
    <row r="15" spans="2:13">
      <c r="C15" s="3460" t="s">
        <v>3395</v>
      </c>
      <c r="D15" s="3254">
        <f t="shared" si="0"/>
        <v>11557.130000000001</v>
      </c>
      <c r="E15" s="3254">
        <v>8546.8700000000008</v>
      </c>
      <c r="F15" s="3254">
        <v>3010.26</v>
      </c>
    </row>
    <row r="16" spans="2:13">
      <c r="C16" s="3460" t="s">
        <v>3396</v>
      </c>
      <c r="D16" s="3254">
        <f t="shared" si="0"/>
        <v>11531.6</v>
      </c>
      <c r="E16" s="3254">
        <v>8530.3700000000008</v>
      </c>
      <c r="F16" s="3254">
        <v>3001.23</v>
      </c>
    </row>
    <row r="17" spans="3:13">
      <c r="C17" s="3460" t="s">
        <v>3397</v>
      </c>
      <c r="D17" s="3254">
        <f t="shared" si="0"/>
        <v>21470.06</v>
      </c>
      <c r="E17" s="3254">
        <v>16655.43</v>
      </c>
      <c r="F17" s="3254">
        <v>4814.63</v>
      </c>
    </row>
    <row r="18" spans="3:13">
      <c r="C18" s="3460" t="s">
        <v>3391</v>
      </c>
      <c r="D18" s="3254">
        <f t="shared" si="0"/>
        <v>15630.240000000002</v>
      </c>
      <c r="E18" s="3254">
        <v>5960.81</v>
      </c>
      <c r="F18" s="3254">
        <v>9669.43</v>
      </c>
    </row>
    <row r="21" spans="3:13">
      <c r="G21" s="3460" t="s">
        <v>3509</v>
      </c>
      <c r="H21" s="3460" t="s">
        <v>3494</v>
      </c>
      <c r="I21" s="3460" t="s">
        <v>3486</v>
      </c>
      <c r="J21" s="3460" t="s">
        <v>3487</v>
      </c>
      <c r="K21" s="3460" t="s">
        <v>3488</v>
      </c>
      <c r="L21" s="3460" t="s">
        <v>3490</v>
      </c>
      <c r="M21" s="3461" t="s">
        <v>3524</v>
      </c>
    </row>
    <row r="22" spans="3:13">
      <c r="F22" s="3460" t="s">
        <v>3506</v>
      </c>
      <c r="G22" s="3460" t="s">
        <v>3485</v>
      </c>
      <c r="H22" s="3460" t="s">
        <v>3495</v>
      </c>
      <c r="I22" s="3460">
        <v>175</v>
      </c>
      <c r="J22" s="3460">
        <v>55</v>
      </c>
      <c r="K22" s="3460" t="s">
        <v>3492</v>
      </c>
      <c r="L22" s="3460" t="s">
        <v>3491</v>
      </c>
      <c r="M22" s="3254">
        <f>ROUND(J22/365/I22*10000,2)</f>
        <v>8.61</v>
      </c>
    </row>
    <row r="23" spans="3:13">
      <c r="F23" s="3460" t="s">
        <v>3507</v>
      </c>
      <c r="G23" s="3460" t="s">
        <v>3498</v>
      </c>
      <c r="H23" s="3460" t="s">
        <v>3495</v>
      </c>
      <c r="I23" s="3254">
        <v>215</v>
      </c>
      <c r="J23" s="3254">
        <v>72</v>
      </c>
      <c r="K23" s="3460" t="s">
        <v>3492</v>
      </c>
      <c r="M23" s="3254">
        <f t="shared" ref="M23:M24" si="1">ROUND(J23/365/I23*10000,2)</f>
        <v>9.17</v>
      </c>
    </row>
    <row r="24" spans="3:13">
      <c r="F24" s="3460" t="s">
        <v>3508</v>
      </c>
      <c r="G24" s="3460" t="s">
        <v>3493</v>
      </c>
      <c r="H24" s="3460" t="s">
        <v>3497</v>
      </c>
      <c r="I24" s="3254">
        <v>110</v>
      </c>
      <c r="J24" s="3254">
        <v>32</v>
      </c>
      <c r="K24" s="3460" t="s">
        <v>3489</v>
      </c>
      <c r="M24" s="3254">
        <f t="shared" si="1"/>
        <v>7.97</v>
      </c>
    </row>
  </sheetData>
  <mergeCells count="6">
    <mergeCell ref="I6:I8"/>
    <mergeCell ref="I9:I11"/>
    <mergeCell ref="H6:H8"/>
    <mergeCell ref="H9:H11"/>
    <mergeCell ref="G6:G8"/>
    <mergeCell ref="G9:G1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
  <sheetViews>
    <sheetView workbookViewId="0">
      <selection activeCell="O49" sqref="O49"/>
    </sheetView>
  </sheetViews>
  <sheetFormatPr defaultRowHeight="13.5"/>
  <sheetData>
    <row r="3" spans="15:15">
      <c r="O3" t="s">
        <v>3474</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13495.99</v>
      </c>
      <c r="C4" s="854">
        <f>项目基本情况!C18</f>
        <v>3138.66</v>
      </c>
      <c r="D4" s="854">
        <f ca="1">结果表!D118</f>
        <v>11379</v>
      </c>
      <c r="E4" s="854">
        <f ca="1">结果表!E118</f>
        <v>8464</v>
      </c>
      <c r="F4" s="854">
        <f ca="1">结果表!F118</f>
        <v>9811</v>
      </c>
      <c r="G4" s="854">
        <f ca="1">结果表!G118</f>
        <v>7298</v>
      </c>
      <c r="H4" s="854">
        <f ca="1">结果表!H118</f>
        <v>21190</v>
      </c>
      <c r="I4" s="854">
        <f ca="1">结果表!I118</f>
        <v>15762</v>
      </c>
    </row>
    <row r="5" spans="1:9" ht="30" customHeight="1">
      <c r="A5" s="3477" t="s">
        <v>927</v>
      </c>
      <c r="B5" s="3477"/>
      <c r="C5" s="3477"/>
      <c r="D5" s="3477" t="str">
        <f ca="1">结果表!D119</f>
        <v>壹亿壹仟叁佰柒拾玖万元整</v>
      </c>
      <c r="E5" s="3477"/>
      <c r="F5" s="3477" t="str">
        <f ca="1">结果表!F119</f>
        <v>玖仟捌佰壹拾壹万元整</v>
      </c>
      <c r="G5" s="3477"/>
      <c r="H5" s="3477" t="str">
        <f ca="1">结果表!H119</f>
        <v>贰亿壹仟壹佰玖拾万元整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21190</v>
      </c>
      <c r="E8" s="3478"/>
      <c r="F8" s="3478"/>
      <c r="G8" s="3478"/>
      <c r="H8" s="3478"/>
      <c r="I8" s="3478"/>
    </row>
    <row r="9" spans="1:9" ht="15">
      <c r="A9" s="3477" t="s">
        <v>927</v>
      </c>
      <c r="B9" s="3477"/>
      <c r="C9" s="3477"/>
      <c r="D9" s="3477" t="str">
        <f ca="1">结果表!D123</f>
        <v>贰亿壹仟壹佰玖拾万元整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2023-11-21T09:23:54Z</dcterms:modified>
</cp:coreProperties>
</file>