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 name="Sheet1" sheetId="87" r:id="rId55"/>
  </sheets>
  <externalReferences>
    <externalReference r:id="rId56"/>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'收益法-办公长租'!$A$1:$AK$69</definedName>
    <definedName name="_xlnm.Print_Area" localSheetId="29">'收益法-办公短租'!$A$1:$AK$69</definedName>
    <definedName name="_xlnm.Print_Area" localSheetId="31">'收益法-办公未租'!$A$1:$AK$69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2" i="15" l="1"/>
  <c r="I48" i="34" l="1"/>
  <c r="G48" i="34"/>
  <c r="E48" i="34"/>
  <c r="D27" i="77" l="1"/>
  <c r="G23" i="79"/>
  <c r="G22" i="79"/>
  <c r="G26" i="79" s="1"/>
  <c r="G28" i="79"/>
  <c r="C15" i="74" l="1"/>
  <c r="B15" i="74"/>
  <c r="D15" i="74" l="1"/>
  <c r="D29" i="43" l="1"/>
  <c r="F70" i="82"/>
  <c r="F52" i="82"/>
  <c r="F70" i="15"/>
  <c r="N6" i="1"/>
  <c r="O5" i="85"/>
  <c r="F5" i="85"/>
  <c r="AD6" i="1" s="1"/>
  <c r="AA6"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C18" i="84" s="1"/>
  <c r="D18" i="84" s="1"/>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6" i="1"/>
  <c r="Y6" i="1"/>
  <c r="C37" i="86" s="1"/>
  <c r="D38" i="78"/>
  <c r="H19" i="80" s="1"/>
  <c r="H57" i="80" s="1"/>
  <c r="H66" i="80"/>
  <c r="H65" i="80"/>
  <c r="H67" i="80" s="1"/>
  <c r="D19" i="84"/>
  <c r="C19" i="84"/>
  <c r="D2" i="86"/>
  <c r="D35" i="84"/>
  <c r="C20" i="84"/>
  <c r="D34" i="84"/>
  <c r="D20" i="84"/>
  <c r="H88" i="86" l="1"/>
  <c r="I88" i="86" s="1"/>
  <c r="J88" i="86" s="1"/>
  <c r="K88" i="86" s="1"/>
  <c r="L88" i="86" s="1"/>
  <c r="M88" i="86" s="1"/>
  <c r="H25" i="86"/>
  <c r="AB25" i="86" s="1"/>
  <c r="J25" i="86"/>
  <c r="AC25" i="86" s="1"/>
  <c r="F25" i="86"/>
  <c r="AA25" i="86" s="1"/>
  <c r="H60" i="80"/>
  <c r="W19" i="86"/>
  <c r="U6" i="1"/>
  <c r="H103" i="84"/>
  <c r="D120" i="84" s="1"/>
  <c r="H111" i="84"/>
  <c r="D126" i="84" s="1"/>
  <c r="D127" i="84" s="1"/>
  <c r="W8" i="86"/>
  <c r="H35" i="86"/>
  <c r="AB35" i="86" s="1"/>
  <c r="H38" i="86"/>
  <c r="AB38" i="86" s="1"/>
  <c r="H40" i="86"/>
  <c r="AB40" i="86" s="1"/>
  <c r="C37" i="34"/>
  <c r="H37" i="86"/>
  <c r="U37" i="86" s="1"/>
  <c r="F37" i="86"/>
  <c r="AA37" i="86" s="1"/>
  <c r="J37" i="86"/>
  <c r="W37" i="86" s="1"/>
  <c r="S8" i="86"/>
  <c r="AB8" i="86"/>
  <c r="S9" i="86"/>
  <c r="W9" i="86"/>
  <c r="U10" i="86"/>
  <c r="S12" i="86"/>
  <c r="W12" i="86"/>
  <c r="U13" i="86"/>
  <c r="S14" i="86"/>
  <c r="W14" i="86"/>
  <c r="S15" i="86"/>
  <c r="W15" i="86"/>
  <c r="S17" i="86"/>
  <c r="W17" i="86"/>
  <c r="S19" i="86"/>
  <c r="W21" i="86"/>
  <c r="S37" i="86"/>
  <c r="U9" i="86"/>
  <c r="S10" i="86"/>
  <c r="W10" i="86"/>
  <c r="U12" i="86"/>
  <c r="S13" i="86"/>
  <c r="W13" i="86"/>
  <c r="U14" i="86"/>
  <c r="U15" i="86"/>
  <c r="U17" i="86"/>
  <c r="S21" i="86"/>
  <c r="U19" i="86"/>
  <c r="U21" i="86"/>
  <c r="U23" i="86"/>
  <c r="S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92" i="84"/>
  <c r="C94" i="84"/>
  <c r="D24" i="83"/>
  <c r="P61" i="83"/>
  <c r="D22" i="83"/>
  <c r="J51" i="83"/>
  <c r="D24" i="82"/>
  <c r="P61" i="82"/>
  <c r="D22" i="82"/>
  <c r="J51" i="82"/>
  <c r="D24" i="81"/>
  <c r="P61" i="81"/>
  <c r="D22" i="81"/>
  <c r="J51" i="81"/>
  <c r="H61" i="80"/>
  <c r="F80" i="78"/>
  <c r="F78" i="78"/>
  <c r="U35" i="86" l="1"/>
  <c r="W25" i="86"/>
  <c r="AB37" i="86"/>
  <c r="AC37" i="86"/>
  <c r="U38" i="86"/>
  <c r="C32" i="84"/>
  <c r="E10" i="78"/>
  <c r="D35" i="78" s="1"/>
  <c r="C44" i="78"/>
  <c r="C43" i="78"/>
  <c r="C42" i="78"/>
  <c r="C41" i="78"/>
  <c r="C40" i="78"/>
  <c r="C39" i="78"/>
  <c r="C38" i="78"/>
  <c r="C37" i="78"/>
  <c r="C36" i="78"/>
  <c r="C35" i="78"/>
  <c r="C34" i="78"/>
  <c r="C33" i="78"/>
  <c r="C32" i="78"/>
  <c r="C31" i="78"/>
  <c r="C30" i="78"/>
  <c r="C29" i="78"/>
  <c r="E20" i="78"/>
  <c r="D43" i="78" s="1"/>
  <c r="E14" i="78"/>
  <c r="E11" i="78"/>
  <c r="E9" i="78"/>
  <c r="E4" i="78"/>
  <c r="E3" i="78"/>
  <c r="E2" i="78"/>
  <c r="E23" i="78"/>
  <c r="D44" i="78" s="1"/>
  <c r="I13" i="3" s="1"/>
  <c r="F19" i="6" s="1"/>
  <c r="E18" i="78"/>
  <c r="D42" i="78" s="1"/>
  <c r="E17" i="78"/>
  <c r="D41" i="78" s="1"/>
  <c r="E15" i="78"/>
  <c r="D40" i="78" s="1"/>
  <c r="E13" i="78"/>
  <c r="E12" i="78"/>
  <c r="D37" i="78" s="1"/>
  <c r="E7" i="78"/>
  <c r="D33" i="78" s="1"/>
  <c r="E5" i="78"/>
  <c r="D32" i="78" s="1"/>
  <c r="C26" i="78"/>
  <c r="C25" i="78"/>
  <c r="C24" i="78"/>
  <c r="C23" i="78"/>
  <c r="C22" i="78"/>
  <c r="C21" i="78"/>
  <c r="C20" i="78"/>
  <c r="C19" i="78"/>
  <c r="C18" i="78"/>
  <c r="C17" i="78"/>
  <c r="C16" i="78"/>
  <c r="C15" i="78"/>
  <c r="C14" i="78"/>
  <c r="C13" i="78"/>
  <c r="C12" i="78"/>
  <c r="C11" i="78"/>
  <c r="C10" i="78"/>
  <c r="C9" i="78"/>
  <c r="C8" i="78"/>
  <c r="C7" i="78"/>
  <c r="C6" i="78"/>
  <c r="C5" i="78"/>
  <c r="C4" i="78"/>
  <c r="C3" i="78"/>
  <c r="C2" i="78"/>
  <c r="D45" i="78" l="1"/>
  <c r="I14" i="3" s="1"/>
  <c r="I15" i="3" s="1"/>
  <c r="E24" i="78"/>
  <c r="E26" i="78" s="1"/>
  <c r="C34" i="34"/>
  <c r="C34" i="86"/>
  <c r="C35" i="84"/>
  <c r="F118" i="84" s="1"/>
  <c r="H118" i="84"/>
  <c r="C3" i="77"/>
  <c r="C4" i="77"/>
  <c r="C5" i="77"/>
  <c r="C6" i="77"/>
  <c r="C7" i="77"/>
  <c r="C8" i="77"/>
  <c r="C9" i="77"/>
  <c r="C10" i="77"/>
  <c r="C11" i="77"/>
  <c r="C12" i="77"/>
  <c r="C13" i="77"/>
  <c r="C14" i="77"/>
  <c r="C15" i="77"/>
  <c r="C16" i="77"/>
  <c r="C17" i="77"/>
  <c r="C18" i="77"/>
  <c r="C19" i="77"/>
  <c r="C20" i="77"/>
  <c r="C21" i="77"/>
  <c r="C22" i="77"/>
  <c r="C23" i="77"/>
  <c r="F23" i="77" s="1"/>
  <c r="C24" i="77"/>
  <c r="C25" i="77"/>
  <c r="C26" i="77"/>
  <c r="C2" i="77"/>
  <c r="H34" i="86" l="1"/>
  <c r="F34" i="86"/>
  <c r="J34" i="86"/>
  <c r="C104" i="84"/>
  <c r="H119" i="84"/>
  <c r="H101" i="84"/>
  <c r="F119" i="84"/>
  <c r="C34" i="84"/>
  <c r="D118" i="84" s="1"/>
  <c r="D119" i="84" s="1"/>
  <c r="F6" i="77"/>
  <c r="F8" i="77"/>
  <c r="AA34" i="86" l="1"/>
  <c r="S34" i="86"/>
  <c r="AC34" i="86"/>
  <c r="W34" i="86"/>
  <c r="U34" i="86"/>
  <c r="AB34" i="86"/>
  <c r="H107" i="84"/>
  <c r="D45" i="84"/>
  <c r="M48" i="84"/>
  <c r="F3" i="77"/>
  <c r="F2" i="77"/>
  <c r="F4" i="77"/>
  <c r="F5" i="77"/>
  <c r="F7" i="77"/>
  <c r="F9" i="77"/>
  <c r="F10" i="77"/>
  <c r="F11" i="77"/>
  <c r="F12" i="77"/>
  <c r="F13" i="77"/>
  <c r="F14" i="77"/>
  <c r="F15" i="77"/>
  <c r="F17" i="77"/>
  <c r="F18" i="77"/>
  <c r="F20" i="77"/>
  <c r="C64" i="84" l="1"/>
  <c r="D55" i="84"/>
  <c r="M53" i="84" s="1"/>
  <c r="D122" i="84"/>
  <c r="D123" i="84" s="1"/>
  <c r="M49" i="84"/>
  <c r="L66" i="84" l="1"/>
  <c r="M66" i="84" s="1"/>
  <c r="L65" i="84"/>
  <c r="M65" i="84" s="1"/>
  <c r="L64" i="84"/>
  <c r="M64" i="84" s="1"/>
  <c r="L68" i="84"/>
  <c r="M68" i="84" s="1"/>
  <c r="L67" i="84"/>
  <c r="M67" i="84" s="1"/>
  <c r="L63" i="84"/>
  <c r="M63" i="84" s="1"/>
  <c r="M69" i="84" s="1"/>
  <c r="N69" i="84"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0" i="76"/>
  <c r="B7" i="76"/>
  <c r="B11" i="76"/>
  <c r="E9" i="76"/>
  <c r="E8" i="76"/>
  <c r="E11" i="76"/>
  <c r="B13" i="76"/>
  <c r="B8" i="76"/>
  <c r="E7" i="76"/>
  <c r="B10" i="76"/>
  <c r="E12" i="76"/>
  <c r="B9" i="76"/>
  <c r="B12" i="76"/>
  <c r="E13" i="76"/>
  <c r="C76" i="9" l="1"/>
  <c r="I107" i="40" l="1"/>
  <c r="K6" i="4" l="1"/>
  <c r="N56" i="84" l="1"/>
  <c r="K56" i="84"/>
  <c r="J56" i="84"/>
  <c r="J57" i="84" s="1"/>
  <c r="J59" i="84" s="1"/>
  <c r="J61" i="84" s="1"/>
  <c r="M56" i="84"/>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D6" i="73"/>
  <c r="F3" i="73"/>
  <c r="F4" i="73"/>
  <c r="F6" i="73"/>
  <c r="I1" i="73" l="1"/>
  <c r="B39" i="1" s="1"/>
  <c r="D7" i="73"/>
  <c r="D5" i="73"/>
  <c r="D3"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N16" i="71"/>
  <c r="Q15" i="71"/>
  <c r="AB15" i="71" s="1"/>
  <c r="P15" i="71"/>
  <c r="O15" i="71"/>
  <c r="N15" i="71"/>
  <c r="Q14" i="71"/>
  <c r="AB14" i="71" s="1"/>
  <c r="P14" i="71"/>
  <c r="O14" i="71"/>
  <c r="N14" i="71"/>
  <c r="F14" i="71"/>
  <c r="F15" i="71" s="1"/>
  <c r="F16" i="71" s="1"/>
  <c r="V16" i="71" s="1"/>
  <c r="Q13" i="71"/>
  <c r="P13" i="71"/>
  <c r="O13" i="71"/>
  <c r="N13" i="71"/>
  <c r="D13" i="71"/>
  <c r="Q12" i="71"/>
  <c r="P12" i="71"/>
  <c r="O12" i="71"/>
  <c r="Y12" i="71" s="1"/>
  <c r="Z12" i="71" s="1"/>
  <c r="N12" i="71"/>
  <c r="Q11" i="71"/>
  <c r="P11" i="71"/>
  <c r="O11" i="71"/>
  <c r="Y11" i="71" s="1"/>
  <c r="Z11" i="71" s="1"/>
  <c r="N11" i="71"/>
  <c r="Q10" i="71"/>
  <c r="P10" i="71"/>
  <c r="O10" i="71"/>
  <c r="Y10" i="71" s="1"/>
  <c r="Z10" i="71" s="1"/>
  <c r="N10" i="71"/>
  <c r="F10" i="71"/>
  <c r="F11" i="71" s="1"/>
  <c r="F12" i="71" s="1"/>
  <c r="V12" i="71" s="1"/>
  <c r="Q9" i="71"/>
  <c r="P9" i="71"/>
  <c r="O9" i="71"/>
  <c r="N9" i="71"/>
  <c r="D9" i="71"/>
  <c r="O8" i="71"/>
  <c r="N8" i="71"/>
  <c r="Y16" i="71" l="1"/>
  <c r="Z16" i="71" s="1"/>
  <c r="B55" i="71"/>
  <c r="B54" i="71" s="1"/>
  <c r="AB10" i="71"/>
  <c r="AB11" i="71"/>
  <c r="AB12" i="71"/>
  <c r="Y14" i="71"/>
  <c r="Z14" i="71" s="1"/>
  <c r="Y15" i="71"/>
  <c r="Z15" i="71" s="1"/>
  <c r="B59" i="71"/>
  <c r="B58" i="71" s="1"/>
  <c r="V20" i="7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1" i="1"/>
  <c r="AO10" i="1"/>
  <c r="B11" i="70" l="1"/>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s="1"/>
  <c r="D86" i="43" s="1"/>
  <c r="M85" i="43"/>
  <c r="N85" i="43"/>
  <c r="K85" i="43"/>
  <c r="J85" i="43" s="1"/>
  <c r="M84" i="43"/>
  <c r="N84" i="43" s="1"/>
  <c r="K84" i="43"/>
  <c r="J84" i="43" s="1"/>
  <c r="M83" i="43"/>
  <c r="N83" i="43" s="1"/>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6" s="1"/>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s="1"/>
  <c r="AC29" i="21" s="1"/>
  <c r="B92" i="21"/>
  <c r="J28" i="21" s="1"/>
  <c r="W28" i="21" s="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S34" i="34"/>
  <c r="H39" i="33"/>
  <c r="AB39" i="33" s="1"/>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F27" i="34"/>
  <c r="AA27" i="34" s="1"/>
  <c r="F25" i="34"/>
  <c r="S25" i="34" s="1"/>
  <c r="H23" i="34"/>
  <c r="U23" i="34" s="1"/>
  <c r="J23"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J36" i="34"/>
  <c r="W36" i="34" s="1"/>
  <c r="H37" i="34"/>
  <c r="U37" i="34" s="1"/>
  <c r="H25" i="34"/>
  <c r="AB25" i="34" s="1"/>
  <c r="J25" i="34"/>
  <c r="AC25" i="34" s="1"/>
  <c r="AB23" i="34"/>
  <c r="F23" i="34"/>
  <c r="AA23" i="34" s="1"/>
  <c r="J19" i="34"/>
  <c r="AC19" i="34" s="1"/>
  <c r="F17" i="34"/>
  <c r="AA17" i="34" s="1"/>
  <c r="AB17" i="34"/>
  <c r="H37" i="33"/>
  <c r="AB37" i="33" s="1"/>
  <c r="H15" i="33"/>
  <c r="AB15" i="33" s="1"/>
  <c r="H11" i="33"/>
  <c r="AB11" i="33" s="1"/>
  <c r="F28" i="40"/>
  <c r="AA28" i="40" s="1"/>
  <c r="AA29" i="35"/>
  <c r="AA42" i="34"/>
  <c r="S42"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H30" i="21"/>
  <c r="F30" i="21"/>
  <c r="S30" i="21" s="1"/>
  <c r="J30" i="21"/>
  <c r="AC30"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J27" i="37"/>
  <c r="AC27" i="37" s="1"/>
  <c r="J36" i="37"/>
  <c r="AC36" i="37" s="1"/>
  <c r="J10" i="36"/>
  <c r="AC10" i="36" s="1"/>
  <c r="W31" i="34"/>
  <c r="W13" i="36"/>
  <c r="W11" i="35"/>
  <c r="AB46" i="34"/>
  <c r="AC30" i="34"/>
  <c r="AA14" i="34"/>
  <c r="S45" i="33"/>
  <c r="AB45" i="33"/>
  <c r="AB31" i="33"/>
  <c r="W29" i="33"/>
  <c r="U13" i="33"/>
  <c r="AC28" i="2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s="1"/>
  <c r="BA576" i="3"/>
  <c r="AZ576" i="3" s="1"/>
  <c r="BA574" i="3"/>
  <c r="AZ574" i="3" s="1"/>
  <c r="BA572" i="3"/>
  <c r="AZ572" i="3"/>
  <c r="BA570" i="3"/>
  <c r="BA568" i="3"/>
  <c r="AZ568" i="3" s="1"/>
  <c r="BA566" i="3"/>
  <c r="AZ566" i="3" s="1"/>
  <c r="BA564" i="3"/>
  <c r="AZ564" i="3"/>
  <c r="BA562" i="3"/>
  <c r="AZ562" i="3" s="1"/>
  <c r="BA560" i="3"/>
  <c r="BA558" i="3"/>
  <c r="BA556" i="3"/>
  <c r="AZ556" i="3" s="1"/>
  <c r="BA554" i="3"/>
  <c r="BA552" i="3"/>
  <c r="BA548" i="3"/>
  <c r="BA546" i="3"/>
  <c r="BA544" i="3"/>
  <c r="BA542" i="3"/>
  <c r="AZ542" i="3" s="1"/>
  <c r="BA540" i="3"/>
  <c r="AZ540" i="3" s="1"/>
  <c r="BA538" i="3"/>
  <c r="BA536" i="3"/>
  <c r="BA534" i="3"/>
  <c r="AZ534" i="3" s="1"/>
  <c r="BA532" i="3"/>
  <c r="BA530" i="3"/>
  <c r="AZ530" i="3" s="1"/>
  <c r="BA528" i="3"/>
  <c r="BA526" i="3"/>
  <c r="AZ526" i="3" s="1"/>
  <c r="BA524" i="3"/>
  <c r="BA522" i="3"/>
  <c r="BA520" i="3"/>
  <c r="BA518" i="3"/>
  <c r="BA516" i="3"/>
  <c r="AZ516" i="3" s="1"/>
  <c r="BA514" i="3"/>
  <c r="BA512" i="3"/>
  <c r="BA510" i="3"/>
  <c r="BA508" i="3"/>
  <c r="BA506" i="3"/>
  <c r="AZ506" i="3" s="1"/>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AZ571" i="3" s="1"/>
  <c r="BQ569" i="3"/>
  <c r="BL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G509" i="3" s="1"/>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A12" i="35"/>
  <c r="AB28" i="37"/>
  <c r="U33" i="37"/>
  <c r="U39" i="37"/>
  <c r="W26" i="37"/>
  <c r="AC8" i="37"/>
  <c r="U26" i="37"/>
  <c r="W47" i="34"/>
  <c r="W37" i="34"/>
  <c r="AB37" i="34"/>
  <c r="AC45" i="33"/>
  <c r="U11" i="33"/>
  <c r="U19" i="21"/>
  <c r="W44" i="21"/>
  <c r="U26" i="21"/>
  <c r="AC46"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s="1"/>
  <c r="AT6" i="3"/>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497" i="3"/>
  <c r="BL549" i="3"/>
  <c r="AZ494" i="3"/>
  <c r="AZ514"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AZ394" i="3" s="1"/>
  <c r="BL394" i="3"/>
  <c r="G113" i="3"/>
  <c r="BA115" i="3"/>
  <c r="BL116" i="3"/>
  <c r="G117" i="3"/>
  <c r="BA119" i="3"/>
  <c r="AZ119" i="3" s="1"/>
  <c r="BL120" i="3"/>
  <c r="G121" i="3"/>
  <c r="BA123" i="3"/>
  <c r="AZ123" i="3" s="1"/>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BL172" i="3"/>
  <c r="AZ172" i="3" s="1"/>
  <c r="G173" i="3"/>
  <c r="BA175" i="3"/>
  <c r="AZ175" i="3" s="1"/>
  <c r="BL176" i="3"/>
  <c r="G177" i="3"/>
  <c r="BA179" i="3"/>
  <c r="AZ179" i="3" s="1"/>
  <c r="BL180" i="3"/>
  <c r="G181" i="3"/>
  <c r="BA183" i="3"/>
  <c r="BL184" i="3"/>
  <c r="G185" i="3"/>
  <c r="BA187" i="3"/>
  <c r="AZ187" i="3" s="1"/>
  <c r="BL188" i="3"/>
  <c r="G189" i="3"/>
  <c r="BA191" i="3"/>
  <c r="AZ191" i="3" s="1"/>
  <c r="BL192" i="3"/>
  <c r="G193" i="3"/>
  <c r="BA195" i="3"/>
  <c r="AZ195" i="3" s="1"/>
  <c r="BL196" i="3"/>
  <c r="G197" i="3"/>
  <c r="BA199" i="3"/>
  <c r="BL200" i="3"/>
  <c r="G201" i="3"/>
  <c r="BA203" i="3"/>
  <c r="AZ203" i="3" s="1"/>
  <c r="BL204" i="3"/>
  <c r="AZ144" i="3"/>
  <c r="AZ93"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AZ364" i="3" s="1"/>
  <c r="G365" i="3"/>
  <c r="G368" i="3"/>
  <c r="BL369" i="3"/>
  <c r="BA371" i="3"/>
  <c r="BA372" i="3"/>
  <c r="BL372" i="3"/>
  <c r="G373" i="3"/>
  <c r="G376" i="3"/>
  <c r="BL377" i="3"/>
  <c r="BL379" i="3"/>
  <c r="BA381" i="3"/>
  <c r="BA382" i="3"/>
  <c r="AZ382" i="3" s="1"/>
  <c r="BL382" i="3"/>
  <c r="G383" i="3"/>
  <c r="G386" i="3"/>
  <c r="BL387" i="3"/>
  <c r="BA389" i="3"/>
  <c r="AZ389" i="3" s="1"/>
  <c r="BA390" i="3"/>
  <c r="BL390" i="3"/>
  <c r="AZ390" i="3" s="1"/>
  <c r="G391" i="3"/>
  <c r="G394" i="3"/>
  <c r="BA16" i="3"/>
  <c r="AZ16" i="3" s="1"/>
  <c r="BL303" i="3"/>
  <c r="G304" i="3"/>
  <c r="BA306" i="3"/>
  <c r="AZ306" i="3"/>
  <c r="BL307" i="3"/>
  <c r="AZ307" i="3"/>
  <c r="G308" i="3"/>
  <c r="BA310" i="3"/>
  <c r="AZ310" i="3" s="1"/>
  <c r="BL311" i="3"/>
  <c r="G312" i="3"/>
  <c r="BA314" i="3"/>
  <c r="BL315" i="3"/>
  <c r="G316" i="3"/>
  <c r="BA318" i="3"/>
  <c r="BL319" i="3"/>
  <c r="G320" i="3"/>
  <c r="BA322" i="3"/>
  <c r="BL323" i="3"/>
  <c r="G324" i="3"/>
  <c r="BA326" i="3"/>
  <c r="BL327" i="3"/>
  <c r="AZ327" i="3" s="1"/>
  <c r="G328" i="3"/>
  <c r="BA330" i="3"/>
  <c r="BL331" i="3"/>
  <c r="G332" i="3"/>
  <c r="BA334" i="3"/>
  <c r="AZ334" i="3" s="1"/>
  <c r="BL335" i="3"/>
  <c r="AZ335" i="3" s="1"/>
  <c r="G336" i="3"/>
  <c r="BA338" i="3"/>
  <c r="AZ338" i="3" s="1"/>
  <c r="BL339" i="3"/>
  <c r="AZ339" i="3" s="1"/>
  <c r="G340" i="3"/>
  <c r="BL343" i="3"/>
  <c r="AZ343" i="3" s="1"/>
  <c r="G344" i="3"/>
  <c r="G348" i="3"/>
  <c r="G355" i="3"/>
  <c r="G342" i="3"/>
  <c r="BL345" i="3"/>
  <c r="AZ345" i="3" s="1"/>
  <c r="G346" i="3"/>
  <c r="AZ348" i="3"/>
  <c r="BL349" i="3"/>
  <c r="AZ349" i="3"/>
  <c r="BL352" i="3"/>
  <c r="G353" i="3"/>
  <c r="BA357" i="3"/>
  <c r="AZ357" i="3"/>
  <c r="BL358" i="3"/>
  <c r="AZ358" i="3"/>
  <c r="G359" i="3"/>
  <c r="BA361" i="3"/>
  <c r="BL362" i="3"/>
  <c r="G363" i="3"/>
  <c r="BA365" i="3"/>
  <c r="AZ365" i="3" s="1"/>
  <c r="BL366" i="3"/>
  <c r="G367" i="3"/>
  <c r="BA369" i="3"/>
  <c r="AZ369" i="3" s="1"/>
  <c r="BL370" i="3"/>
  <c r="G371" i="3"/>
  <c r="BA373" i="3"/>
  <c r="BL374" i="3"/>
  <c r="AZ374" i="3" s="1"/>
  <c r="G375" i="3"/>
  <c r="BA377" i="3"/>
  <c r="AZ377" i="3" s="1"/>
  <c r="AZ269" i="3"/>
  <c r="AZ273" i="3"/>
  <c r="AZ370" i="3"/>
  <c r="BA379" i="3"/>
  <c r="AZ379" i="3"/>
  <c r="BL380" i="3"/>
  <c r="G381" i="3"/>
  <c r="BA383" i="3"/>
  <c r="BL384" i="3"/>
  <c r="G385" i="3"/>
  <c r="BA387" i="3"/>
  <c r="AZ387" i="3" s="1"/>
  <c r="BL388" i="3"/>
  <c r="G389" i="3"/>
  <c r="BA391" i="3"/>
  <c r="AZ391" i="3" s="1"/>
  <c r="BL392" i="3"/>
  <c r="G393" i="3"/>
  <c r="AZ299" i="3"/>
  <c r="BM5" i="3"/>
  <c r="BH5" i="3"/>
  <c r="BD5" i="3"/>
  <c r="BQ5" i="3"/>
  <c r="AC5" i="3"/>
  <c r="AZ549" i="3"/>
  <c r="AZ496" i="3"/>
  <c r="G548" i="3"/>
  <c r="G538" i="3"/>
  <c r="G520" i="3"/>
  <c r="G502" i="3"/>
  <c r="BP5" i="3"/>
  <c r="BN5" i="3"/>
  <c r="BK5" i="3"/>
  <c r="BI5" i="3"/>
  <c r="BG5" i="3"/>
  <c r="BE5" i="3"/>
  <c r="BC5" i="3"/>
  <c r="G17" i="3"/>
  <c r="BA17" i="3"/>
  <c r="BT5" i="3"/>
  <c r="AZ352" i="3"/>
  <c r="AZ356" i="3"/>
  <c r="BA15" i="3"/>
  <c r="BB5" i="3"/>
  <c r="E8" i="6" s="1"/>
  <c r="F27" i="6" s="1"/>
  <c r="BR5" i="3"/>
  <c r="AZ499" i="3"/>
  <c r="AZ509" i="3"/>
  <c r="BL493" i="3"/>
  <c r="AZ493" i="3" s="1"/>
  <c r="AZ376"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53" i="3"/>
  <c r="AZ94" i="3"/>
  <c r="H75" i="43"/>
  <c r="I20" i="43"/>
  <c r="F23" i="39"/>
  <c r="AA23" i="39" s="1"/>
  <c r="H27" i="36"/>
  <c r="U27" i="36" s="1"/>
  <c r="F27" i="36"/>
  <c r="AA27" i="36" s="1"/>
  <c r="H33" i="34"/>
  <c r="U33" i="34" s="1"/>
  <c r="F32" i="37"/>
  <c r="AA32" i="37" s="1"/>
  <c r="F20" i="36"/>
  <c r="AA20" i="36" s="1"/>
  <c r="J33" i="34"/>
  <c r="AC33" i="34" s="1"/>
  <c r="H23" i="39"/>
  <c r="U23" i="39" s="1"/>
  <c r="D48" i="9"/>
  <c r="M52" i="9" s="1"/>
  <c r="H82" i="43"/>
  <c r="G20" i="43" l="1"/>
  <c r="C20" i="43" s="1"/>
  <c r="AZ371" i="3"/>
  <c r="AZ575" i="3"/>
  <c r="AA14" i="37"/>
  <c r="AA13" i="35"/>
  <c r="S14" i="33"/>
  <c r="AA14" i="33"/>
  <c r="W32" i="36"/>
  <c r="AC32" i="36"/>
  <c r="AC25" i="37"/>
  <c r="W25" i="37"/>
  <c r="AZ373" i="3"/>
  <c r="AZ322" i="3"/>
  <c r="AZ355" i="3"/>
  <c r="S11" i="39"/>
  <c r="U12" i="37"/>
  <c r="AA13" i="33"/>
  <c r="AZ546" i="3"/>
  <c r="AC14" i="37"/>
  <c r="W14" i="37"/>
  <c r="AB31" i="34"/>
  <c r="U31" i="34"/>
  <c r="U11" i="36"/>
  <c r="AB11" i="36"/>
  <c r="AZ378" i="3"/>
  <c r="AZ360" i="3"/>
  <c r="AA25" i="21"/>
  <c r="W44" i="33"/>
  <c r="AZ523" i="3"/>
  <c r="AZ531" i="3"/>
  <c r="AZ539" i="3"/>
  <c r="AZ547" i="3"/>
  <c r="AZ559" i="3"/>
  <c r="AZ579" i="3"/>
  <c r="AZ508" i="3"/>
  <c r="AZ524" i="3"/>
  <c r="AZ532" i="3"/>
  <c r="AZ558" i="3"/>
  <c r="AZ570" i="3"/>
  <c r="U46" i="33"/>
  <c r="U30" i="21"/>
  <c r="AB30" i="21"/>
  <c r="AA28" i="34"/>
  <c r="S28" i="34"/>
  <c r="U33" i="35"/>
  <c r="AC8" i="35"/>
  <c r="F23" i="35"/>
  <c r="AA23" i="35" s="1"/>
  <c r="U33" i="33"/>
  <c r="BL585" i="3"/>
  <c r="H12" i="33"/>
  <c r="F9" i="36"/>
  <c r="AA9" i="36" s="1"/>
  <c r="G574" i="3"/>
  <c r="BL400" i="3"/>
  <c r="G401" i="3"/>
  <c r="G403" i="3"/>
  <c r="G406" i="3"/>
  <c r="G409" i="3"/>
  <c r="BL412" i="3"/>
  <c r="AZ484" i="3"/>
  <c r="AZ485" i="3"/>
  <c r="AZ488" i="3"/>
  <c r="AZ489" i="3"/>
  <c r="S34" i="21"/>
  <c r="S9" i="33"/>
  <c r="AZ404" i="3"/>
  <c r="AZ407" i="3"/>
  <c r="BA417" i="3"/>
  <c r="BA419" i="3"/>
  <c r="BA420" i="3"/>
  <c r="AZ420" i="3" s="1"/>
  <c r="BA422" i="3"/>
  <c r="BA423" i="3"/>
  <c r="AZ423" i="3" s="1"/>
  <c r="BA424" i="3"/>
  <c r="AZ424" i="3" s="1"/>
  <c r="BL428" i="3"/>
  <c r="BA445" i="3"/>
  <c r="AZ445" i="3" s="1"/>
  <c r="BL449" i="3"/>
  <c r="BL451" i="3"/>
  <c r="BL454" i="3"/>
  <c r="BL458" i="3"/>
  <c r="BL460" i="3"/>
  <c r="BA467" i="3"/>
  <c r="BL470" i="3"/>
  <c r="BA472" i="3"/>
  <c r="BL475" i="3"/>
  <c r="AZ527" i="3"/>
  <c r="AZ535" i="3"/>
  <c r="AZ543" i="3"/>
  <c r="AZ569" i="3"/>
  <c r="AZ504" i="3"/>
  <c r="AZ512" i="3"/>
  <c r="AZ528" i="3"/>
  <c r="AZ536" i="3"/>
  <c r="AZ544" i="3"/>
  <c r="AZ554" i="3"/>
  <c r="AZ582" i="3"/>
  <c r="AZ500" i="3"/>
  <c r="AZ522" i="3"/>
  <c r="W11" i="36"/>
  <c r="S41" i="33"/>
  <c r="W33" i="37"/>
  <c r="F19" i="34"/>
  <c r="H12" i="21"/>
  <c r="G587" i="3"/>
  <c r="G578" i="3"/>
  <c r="BA398" i="3"/>
  <c r="AZ398" i="3" s="1"/>
  <c r="BL410" i="3"/>
  <c r="BA412" i="3"/>
  <c r="BA413" i="3"/>
  <c r="AZ413" i="3" s="1"/>
  <c r="BA414" i="3"/>
  <c r="AZ414" i="3" s="1"/>
  <c r="BL427" i="3"/>
  <c r="G428" i="3"/>
  <c r="G432" i="3"/>
  <c r="BA433" i="3"/>
  <c r="BA435" i="3"/>
  <c r="BA436" i="3"/>
  <c r="AZ436" i="3" s="1"/>
  <c r="BA438" i="3"/>
  <c r="BA439" i="3"/>
  <c r="AZ439" i="3" s="1"/>
  <c r="BA440" i="3"/>
  <c r="AZ440" i="3" s="1"/>
  <c r="BA442" i="3"/>
  <c r="BL448" i="3"/>
  <c r="G449" i="3"/>
  <c r="G451" i="3"/>
  <c r="BA462" i="3"/>
  <c r="BL464" i="3"/>
  <c r="G465" i="3"/>
  <c r="BA466" i="3"/>
  <c r="AZ466" i="3" s="1"/>
  <c r="G470" i="3"/>
  <c r="BA471" i="3"/>
  <c r="AZ471" i="3" s="1"/>
  <c r="BA477" i="3"/>
  <c r="BL479" i="3"/>
  <c r="BA481" i="3"/>
  <c r="BL483" i="3"/>
  <c r="BL487" i="3"/>
  <c r="BL401" i="3"/>
  <c r="BL403" i="3"/>
  <c r="BL406" i="3"/>
  <c r="BL409" i="3"/>
  <c r="G410" i="3"/>
  <c r="BL417" i="3"/>
  <c r="BL419" i="3"/>
  <c r="BL422" i="3"/>
  <c r="AZ429" i="3"/>
  <c r="AZ430" i="3"/>
  <c r="AZ449" i="3"/>
  <c r="BA451" i="3"/>
  <c r="BA452" i="3"/>
  <c r="AZ452" i="3" s="1"/>
  <c r="BA454" i="3"/>
  <c r="BA455" i="3"/>
  <c r="AZ455" i="3" s="1"/>
  <c r="BA456" i="3"/>
  <c r="AZ456" i="3" s="1"/>
  <c r="BA458" i="3"/>
  <c r="BL463" i="3"/>
  <c r="G464" i="3"/>
  <c r="BA465" i="3"/>
  <c r="BL467" i="3"/>
  <c r="G469" i="3"/>
  <c r="BA470" i="3"/>
  <c r="AZ470" i="3" s="1"/>
  <c r="BL472" i="3"/>
  <c r="G474" i="3"/>
  <c r="BL478" i="3"/>
  <c r="G479" i="3"/>
  <c r="BA480" i="3"/>
  <c r="BA303" i="3"/>
  <c r="AZ303" i="3" s="1"/>
  <c r="G454" i="3"/>
  <c r="G458" i="3"/>
  <c r="G460" i="3"/>
  <c r="BA461" i="3"/>
  <c r="AZ461" i="3" s="1"/>
  <c r="BL465" i="3"/>
  <c r="BL469" i="3"/>
  <c r="BL474" i="3"/>
  <c r="G475" i="3"/>
  <c r="BA476" i="3"/>
  <c r="AZ476" i="3" s="1"/>
  <c r="BL480" i="3"/>
  <c r="BL482" i="3"/>
  <c r="G483" i="3"/>
  <c r="G487" i="3"/>
  <c r="G491" i="3"/>
  <c r="G311" i="3"/>
  <c r="BA319" i="3"/>
  <c r="BA323" i="3"/>
  <c r="BL330" i="3"/>
  <c r="AZ330" i="3" s="1"/>
  <c r="G331" i="3"/>
  <c r="BA333" i="3"/>
  <c r="AZ333" i="3" s="1"/>
  <c r="BL340" i="3"/>
  <c r="AZ340" i="3" s="1"/>
  <c r="BL350" i="3"/>
  <c r="G351" i="3"/>
  <c r="BA354" i="3"/>
  <c r="AZ354" i="3" s="1"/>
  <c r="BA367" i="3"/>
  <c r="BL381" i="3"/>
  <c r="AZ381" i="3" s="1"/>
  <c r="BA384" i="3"/>
  <c r="AZ384" i="3" s="1"/>
  <c r="BL386" i="3"/>
  <c r="G392" i="3"/>
  <c r="BL396" i="3"/>
  <c r="BL209" i="3"/>
  <c r="BL212" i="3"/>
  <c r="G213" i="3"/>
  <c r="G215" i="3"/>
  <c r="G218" i="3"/>
  <c r="G221" i="3"/>
  <c r="BL224" i="3"/>
  <c r="BL227" i="3"/>
  <c r="BL231" i="3"/>
  <c r="G232" i="3"/>
  <c r="BL237" i="3"/>
  <c r="G238" i="3"/>
  <c r="G243" i="3"/>
  <c r="G247" i="3"/>
  <c r="BL250" i="3"/>
  <c r="BL252" i="3"/>
  <c r="G253" i="3"/>
  <c r="BA254" i="3"/>
  <c r="BA255" i="3"/>
  <c r="AZ255" i="3" s="1"/>
  <c r="BL258" i="3"/>
  <c r="BL260" i="3"/>
  <c r="G261" i="3"/>
  <c r="BA262" i="3"/>
  <c r="AZ262" i="3" s="1"/>
  <c r="BL266" i="3"/>
  <c r="BL271" i="3"/>
  <c r="AZ271" i="3" s="1"/>
  <c r="BL275" i="3"/>
  <c r="AZ275" i="3" s="1"/>
  <c r="BL278" i="3"/>
  <c r="BL286" i="3"/>
  <c r="BL288" i="3"/>
  <c r="AZ288" i="3" s="1"/>
  <c r="BL291" i="3"/>
  <c r="AZ291" i="3" s="1"/>
  <c r="BL294" i="3"/>
  <c r="BL302" i="3"/>
  <c r="BA133" i="3"/>
  <c r="AZ133" i="3" s="1"/>
  <c r="BA134" i="3"/>
  <c r="AZ134" i="3" s="1"/>
  <c r="BA137" i="3"/>
  <c r="AZ137" i="3" s="1"/>
  <c r="BA138" i="3"/>
  <c r="AZ138" i="3" s="1"/>
  <c r="BA141" i="3"/>
  <c r="AZ141" i="3" s="1"/>
  <c r="BA142" i="3"/>
  <c r="AZ142" i="3" s="1"/>
  <c r="BA145" i="3"/>
  <c r="AZ145" i="3" s="1"/>
  <c r="BA146" i="3"/>
  <c r="AZ146" i="3" s="1"/>
  <c r="BA148" i="3"/>
  <c r="AZ148" i="3" s="1"/>
  <c r="BA166" i="3"/>
  <c r="G170" i="3"/>
  <c r="BL173" i="3"/>
  <c r="BA180" i="3"/>
  <c r="AZ180" i="3" s="1"/>
  <c r="BA201" i="3"/>
  <c r="BA491" i="3"/>
  <c r="AZ491" i="3" s="1"/>
  <c r="BA492" i="3"/>
  <c r="AZ492" i="3" s="1"/>
  <c r="BL314" i="3"/>
  <c r="G315" i="3"/>
  <c r="BA317" i="3"/>
  <c r="AZ317" i="3" s="1"/>
  <c r="BL324" i="3"/>
  <c r="BL363" i="3"/>
  <c r="AZ363" i="3" s="1"/>
  <c r="G364" i="3"/>
  <c r="BA366" i="3"/>
  <c r="AZ366" i="3" s="1"/>
  <c r="BL368" i="3"/>
  <c r="G369" i="3"/>
  <c r="BL385" i="3"/>
  <c r="G396" i="3"/>
  <c r="G209" i="3"/>
  <c r="G212" i="3"/>
  <c r="BA213" i="3"/>
  <c r="BA215" i="3"/>
  <c r="AZ215" i="3" s="1"/>
  <c r="BA216" i="3"/>
  <c r="AZ216" i="3" s="1"/>
  <c r="BA218" i="3"/>
  <c r="AZ218" i="3" s="1"/>
  <c r="BA219" i="3"/>
  <c r="AZ219" i="3" s="1"/>
  <c r="BL223" i="3"/>
  <c r="G224" i="3"/>
  <c r="G227" i="3"/>
  <c r="G231" i="3"/>
  <c r="BL234" i="3"/>
  <c r="BL236" i="3"/>
  <c r="G237" i="3"/>
  <c r="BA238" i="3"/>
  <c r="BA239" i="3"/>
  <c r="AZ239" i="3" s="1"/>
  <c r="BA240" i="3"/>
  <c r="AZ240" i="3" s="1"/>
  <c r="BA241" i="3"/>
  <c r="AZ241" i="3" s="1"/>
  <c r="BA243" i="3"/>
  <c r="BA244" i="3"/>
  <c r="AZ244" i="3" s="1"/>
  <c r="BA245" i="3"/>
  <c r="AZ245" i="3" s="1"/>
  <c r="BL249" i="3"/>
  <c r="G250" i="3"/>
  <c r="G252" i="3"/>
  <c r="BL257" i="3"/>
  <c r="G258" i="3"/>
  <c r="G260" i="3"/>
  <c r="BL265" i="3"/>
  <c r="G266" i="3"/>
  <c r="G271" i="3"/>
  <c r="G275" i="3"/>
  <c r="G278" i="3"/>
  <c r="BL281" i="3"/>
  <c r="BL285" i="3"/>
  <c r="G286" i="3"/>
  <c r="G288" i="3"/>
  <c r="G291" i="3"/>
  <c r="G294" i="3"/>
  <c r="BL297" i="3"/>
  <c r="BL301" i="3"/>
  <c r="BA117" i="3"/>
  <c r="AZ117" i="3" s="1"/>
  <c r="BA118" i="3"/>
  <c r="AZ118" i="3" s="1"/>
  <c r="BA121" i="3"/>
  <c r="AZ121" i="3" s="1"/>
  <c r="BL126" i="3"/>
  <c r="BA128" i="3"/>
  <c r="AZ128" i="3" s="1"/>
  <c r="BL130" i="3"/>
  <c r="BA132" i="3"/>
  <c r="AZ132" i="3" s="1"/>
  <c r="BA196" i="3"/>
  <c r="AZ196" i="3" s="1"/>
  <c r="G339" i="3"/>
  <c r="G343" i="3"/>
  <c r="BL367" i="3"/>
  <c r="G380" i="3"/>
  <c r="BA386" i="3"/>
  <c r="AZ386" i="3" s="1"/>
  <c r="BL393" i="3"/>
  <c r="AZ393" i="3" s="1"/>
  <c r="BA396" i="3"/>
  <c r="BA397" i="3"/>
  <c r="AZ397" i="3" s="1"/>
  <c r="BA209" i="3"/>
  <c r="AZ209" i="3" s="1"/>
  <c r="BA210" i="3"/>
  <c r="AZ210" i="3" s="1"/>
  <c r="BL222" i="3"/>
  <c r="G223" i="3"/>
  <c r="BA224" i="3"/>
  <c r="BA225" i="3"/>
  <c r="AZ225" i="3" s="1"/>
  <c r="BA227" i="3"/>
  <c r="BA228" i="3"/>
  <c r="AZ228" i="3" s="1"/>
  <c r="BA229" i="3"/>
  <c r="AZ229" i="3" s="1"/>
  <c r="BL233" i="3"/>
  <c r="G234" i="3"/>
  <c r="G236" i="3"/>
  <c r="AZ258" i="3"/>
  <c r="AZ267" i="3"/>
  <c r="AZ272" i="3"/>
  <c r="AZ276" i="3"/>
  <c r="AZ289" i="3"/>
  <c r="AZ292" i="3"/>
  <c r="BL296" i="3"/>
  <c r="G297" i="3"/>
  <c r="G301" i="3"/>
  <c r="BL114" i="3"/>
  <c r="G115" i="3"/>
  <c r="BA116" i="3"/>
  <c r="AZ116" i="3" s="1"/>
  <c r="G126" i="3"/>
  <c r="BL129" i="3"/>
  <c r="G130" i="3"/>
  <c r="BL133" i="3"/>
  <c r="BL135" i="3"/>
  <c r="AZ135" i="3" s="1"/>
  <c r="BL139" i="3"/>
  <c r="AZ139" i="3" s="1"/>
  <c r="BL143" i="3"/>
  <c r="AZ143" i="3" s="1"/>
  <c r="G151" i="3"/>
  <c r="BL154" i="3"/>
  <c r="G159" i="3"/>
  <c r="BL165" i="3"/>
  <c r="BL171" i="3"/>
  <c r="AZ171" i="3" s="1"/>
  <c r="BA173" i="3"/>
  <c r="BL178" i="3"/>
  <c r="AZ178" i="3" s="1"/>
  <c r="BA182" i="3"/>
  <c r="BL243" i="3"/>
  <c r="BL247" i="3"/>
  <c r="BL253" i="3"/>
  <c r="BL261" i="3"/>
  <c r="BL279" i="3"/>
  <c r="BA281" i="3"/>
  <c r="BA282" i="3"/>
  <c r="AZ282" i="3" s="1"/>
  <c r="BA283" i="3"/>
  <c r="AZ283" i="3" s="1"/>
  <c r="AZ298" i="3"/>
  <c r="BA149" i="3"/>
  <c r="BA157" i="3"/>
  <c r="BL162" i="3"/>
  <c r="AZ162" i="3" s="1"/>
  <c r="BA185" i="3"/>
  <c r="BA189" i="3"/>
  <c r="BL194" i="3"/>
  <c r="AZ194" i="3" s="1"/>
  <c r="BA198" i="3"/>
  <c r="BA154" i="3"/>
  <c r="BA156" i="3"/>
  <c r="AZ156" i="3" s="1"/>
  <c r="G162" i="3"/>
  <c r="BA165" i="3"/>
  <c r="BL170" i="3"/>
  <c r="AZ170" i="3" s="1"/>
  <c r="G175" i="3"/>
  <c r="BL181" i="3"/>
  <c r="BL183" i="3"/>
  <c r="AZ183" i="3" s="1"/>
  <c r="G184" i="3"/>
  <c r="BA186" i="3"/>
  <c r="AZ186" i="3" s="1"/>
  <c r="BA188" i="3"/>
  <c r="AZ188" i="3" s="1"/>
  <c r="G194" i="3"/>
  <c r="BA197" i="3"/>
  <c r="BL202" i="3"/>
  <c r="BL18" i="3"/>
  <c r="G19" i="3"/>
  <c r="G21" i="3"/>
  <c r="G24" i="3"/>
  <c r="G27" i="3"/>
  <c r="BL30" i="3"/>
  <c r="BL32" i="3"/>
  <c r="BL39" i="3"/>
  <c r="BL42" i="3"/>
  <c r="BL44" i="3"/>
  <c r="G45" i="3"/>
  <c r="BA46" i="3"/>
  <c r="AZ46" i="3" s="1"/>
  <c r="BL61" i="3"/>
  <c r="G62" i="3"/>
  <c r="BA63" i="3"/>
  <c r="BA64" i="3"/>
  <c r="AZ64" i="3" s="1"/>
  <c r="BA66" i="3"/>
  <c r="BL70" i="3"/>
  <c r="BL72" i="3"/>
  <c r="BL77" i="3"/>
  <c r="BL78" i="3"/>
  <c r="G79" i="3"/>
  <c r="BA80" i="3"/>
  <c r="BL83" i="3"/>
  <c r="G84" i="3"/>
  <c r="G86" i="3"/>
  <c r="BA88" i="3"/>
  <c r="BL97" i="3"/>
  <c r="G98" i="3"/>
  <c r="G101" i="3"/>
  <c r="G103" i="3"/>
  <c r="BA104" i="3"/>
  <c r="AZ104" i="3" s="1"/>
  <c r="BA106" i="3"/>
  <c r="AZ106" i="3" s="1"/>
  <c r="BA108" i="3"/>
  <c r="AZ108" i="3" s="1"/>
  <c r="BA109" i="3"/>
  <c r="AZ109" i="3" s="1"/>
  <c r="BA110" i="3"/>
  <c r="AZ110" i="3" s="1"/>
  <c r="BA112" i="3"/>
  <c r="AZ112" i="3" s="1"/>
  <c r="G100" i="43"/>
  <c r="BA19" i="3"/>
  <c r="BA21" i="3"/>
  <c r="AZ21" i="3" s="1"/>
  <c r="BA22" i="3"/>
  <c r="AZ22" i="3" s="1"/>
  <c r="BA24" i="3"/>
  <c r="AZ24" i="3" s="1"/>
  <c r="BA25" i="3"/>
  <c r="AZ25" i="3" s="1"/>
  <c r="BL29" i="3"/>
  <c r="BL49" i="3"/>
  <c r="AZ49" i="3" s="1"/>
  <c r="BL51" i="3"/>
  <c r="AZ51" i="3" s="1"/>
  <c r="BL55" i="3"/>
  <c r="AZ55" i="3" s="1"/>
  <c r="BL58" i="3"/>
  <c r="AZ58" i="3" s="1"/>
  <c r="BL60" i="3"/>
  <c r="BA62" i="3"/>
  <c r="AZ62" i="3" s="1"/>
  <c r="BL69" i="3"/>
  <c r="BL82" i="3"/>
  <c r="BA84" i="3"/>
  <c r="BA86" i="3"/>
  <c r="AZ86" i="3" s="1"/>
  <c r="BL91" i="3"/>
  <c r="BL96" i="3"/>
  <c r="BA98" i="3"/>
  <c r="AZ98" i="3" s="1"/>
  <c r="BA99" i="3"/>
  <c r="AZ99" i="3" s="1"/>
  <c r="BA101" i="3"/>
  <c r="AZ101" i="3" s="1"/>
  <c r="G178" i="3"/>
  <c r="BA181" i="3"/>
  <c r="BL186" i="3"/>
  <c r="G191" i="3"/>
  <c r="BL197" i="3"/>
  <c r="BL199" i="3"/>
  <c r="AZ199" i="3" s="1"/>
  <c r="G200" i="3"/>
  <c r="BA202" i="3"/>
  <c r="BA204" i="3"/>
  <c r="AZ204" i="3" s="1"/>
  <c r="BA205" i="3"/>
  <c r="AZ205" i="3" s="1"/>
  <c r="BA206" i="3"/>
  <c r="AZ206" i="3" s="1"/>
  <c r="BL28" i="3"/>
  <c r="G29" i="3"/>
  <c r="BA30" i="3"/>
  <c r="AZ30" i="3" s="1"/>
  <c r="BA32" i="3"/>
  <c r="AZ32" i="3" s="1"/>
  <c r="BA34" i="3"/>
  <c r="AZ34" i="3" s="1"/>
  <c r="BA36" i="3"/>
  <c r="AZ36" i="3" s="1"/>
  <c r="BA37" i="3"/>
  <c r="AZ37" i="3" s="1"/>
  <c r="BA39" i="3"/>
  <c r="BA40" i="3"/>
  <c r="AZ40" i="3" s="1"/>
  <c r="BA42" i="3"/>
  <c r="AZ42" i="3" s="1"/>
  <c r="BL46" i="3"/>
  <c r="BL48" i="3"/>
  <c r="G49" i="3"/>
  <c r="G51" i="3"/>
  <c r="G55" i="3"/>
  <c r="G58" i="3"/>
  <c r="G60" i="3"/>
  <c r="BL63" i="3"/>
  <c r="BL66" i="3"/>
  <c r="BL68" i="3"/>
  <c r="G69" i="3"/>
  <c r="BA70" i="3"/>
  <c r="AZ70" i="3" s="1"/>
  <c r="BA72" i="3"/>
  <c r="AZ72" i="3" s="1"/>
  <c r="BA73" i="3"/>
  <c r="AZ73" i="3" s="1"/>
  <c r="BA74" i="3"/>
  <c r="AZ74" i="3" s="1"/>
  <c r="BA75" i="3"/>
  <c r="AZ75" i="3" s="1"/>
  <c r="BA77" i="3"/>
  <c r="BL80" i="3"/>
  <c r="BL81" i="3"/>
  <c r="G82" i="3"/>
  <c r="BL88" i="3"/>
  <c r="BL90" i="3"/>
  <c r="G91" i="3"/>
  <c r="G96" i="3"/>
  <c r="BL104" i="3"/>
  <c r="D85" i="43"/>
  <c r="AZ52" i="3"/>
  <c r="AZ56" i="3"/>
  <c r="AZ91" i="3"/>
  <c r="AZ92" i="3"/>
  <c r="AZ557" i="3"/>
  <c r="AZ502" i="3"/>
  <c r="AZ510" i="3"/>
  <c r="U11" i="35"/>
  <c r="AB11" i="35"/>
  <c r="W31" i="33"/>
  <c r="AC31" i="33"/>
  <c r="AB9" i="36"/>
  <c r="U9" i="36"/>
  <c r="AZ361" i="3"/>
  <c r="AZ318" i="3"/>
  <c r="AZ351" i="3"/>
  <c r="AB43" i="33"/>
  <c r="U43" i="33"/>
  <c r="AA14" i="40"/>
  <c r="S14" i="40"/>
  <c r="AB14" i="40"/>
  <c r="U14" i="40"/>
  <c r="U13" i="34"/>
  <c r="AB13" i="34"/>
  <c r="S44" i="33"/>
  <c r="AA44" i="33"/>
  <c r="AA11" i="36"/>
  <c r="S11" i="36"/>
  <c r="U12" i="35"/>
  <c r="AB12" i="35"/>
  <c r="AB34" i="35"/>
  <c r="U34" i="35"/>
  <c r="AZ319" i="3"/>
  <c r="AZ323" i="3"/>
  <c r="BL586" i="3"/>
  <c r="AZ585" i="3"/>
  <c r="AZ403" i="3"/>
  <c r="AZ406" i="3"/>
  <c r="AZ419" i="3"/>
  <c r="AZ422" i="3"/>
  <c r="AZ435" i="3"/>
  <c r="AZ438" i="3"/>
  <c r="AZ442" i="3"/>
  <c r="AZ451" i="3"/>
  <c r="AZ454" i="3"/>
  <c r="AZ458" i="3"/>
  <c r="AZ469" i="3"/>
  <c r="AZ487" i="3"/>
  <c r="G313" i="3"/>
  <c r="BA315" i="3"/>
  <c r="AZ315" i="3" s="1"/>
  <c r="BL316" i="3"/>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AZ331" i="3"/>
  <c r="AZ326" i="3"/>
  <c r="AZ314" i="3"/>
  <c r="AZ311" i="3"/>
  <c r="AZ372" i="3"/>
  <c r="AZ347" i="3"/>
  <c r="AZ344" i="3"/>
  <c r="AZ337" i="3"/>
  <c r="AZ320" i="3"/>
  <c r="AZ313" i="3"/>
  <c r="AZ305" i="3"/>
  <c r="AZ362" i="3"/>
  <c r="AZ324" i="3"/>
  <c r="AZ507" i="3"/>
  <c r="AZ513" i="3"/>
  <c r="AZ521" i="3"/>
  <c r="AZ553" i="3"/>
  <c r="AZ583" i="3"/>
  <c r="AZ581" i="3"/>
  <c r="AZ518" i="3"/>
  <c r="AZ538" i="3"/>
  <c r="AZ552" i="3"/>
  <c r="AB26" i="33"/>
  <c r="AA15" i="34"/>
  <c r="H38" i="34"/>
  <c r="AB38" i="34" s="1"/>
  <c r="U30" i="35"/>
  <c r="AA39" i="37"/>
  <c r="C15" i="39"/>
  <c r="C25" i="39"/>
  <c r="S27" i="35"/>
  <c r="F26" i="33"/>
  <c r="U34" i="34"/>
  <c r="S34" i="35"/>
  <c r="W28" i="35"/>
  <c r="J12" i="21"/>
  <c r="AC12" i="21" s="1"/>
  <c r="J23" i="35"/>
  <c r="J36" i="35"/>
  <c r="H12" i="36"/>
  <c r="H24" i="36"/>
  <c r="AB24" i="36" s="1"/>
  <c r="H39" i="40"/>
  <c r="G582" i="3"/>
  <c r="G566" i="3"/>
  <c r="G552" i="3"/>
  <c r="BA551" i="3"/>
  <c r="G551" i="3"/>
  <c r="BL550" i="3"/>
  <c r="BA550" i="3"/>
  <c r="BL548" i="3"/>
  <c r="AZ548" i="3" s="1"/>
  <c r="G526" i="3"/>
  <c r="M20" i="15"/>
  <c r="F34" i="83"/>
  <c r="F62" i="83" s="1"/>
  <c r="F34" i="82"/>
  <c r="F62" i="82" s="1"/>
  <c r="F34" i="81"/>
  <c r="F62" i="81" s="1"/>
  <c r="M20" i="82"/>
  <c r="M20" i="83"/>
  <c r="M20" i="8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16" i="3"/>
  <c r="AZ332" i="3"/>
  <c r="AZ395" i="3"/>
  <c r="AZ208" i="3"/>
  <c r="AZ211" i="3"/>
  <c r="AZ217" i="3"/>
  <c r="AZ220" i="3"/>
  <c r="AZ230" i="3"/>
  <c r="AZ242" i="3"/>
  <c r="AZ246" i="3"/>
  <c r="AZ122" i="3"/>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AZ76" i="3"/>
  <c r="B13" i="1"/>
  <c r="E13" i="1" s="1"/>
  <c r="M47" i="84"/>
  <c r="C7" i="86"/>
  <c r="C59" i="86"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F3" i="35"/>
  <c r="L100" i="43"/>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S9" i="34"/>
  <c r="W8" i="34"/>
  <c r="AC36" i="34"/>
  <c r="W9" i="34"/>
  <c r="C27" i="39"/>
  <c r="G1" i="83"/>
  <c r="G1" i="81"/>
  <c r="G1" i="82"/>
  <c r="G11" i="1"/>
  <c r="G9" i="1"/>
  <c r="H5" i="3"/>
  <c r="BL15" i="3"/>
  <c r="AZ15" i="3" s="1"/>
  <c r="BO5" i="3"/>
  <c r="F29" i="6" s="1"/>
  <c r="BS5" i="3"/>
  <c r="G14" i="3"/>
  <c r="BJ5" i="3"/>
  <c r="BF5" i="3"/>
  <c r="E15" i="6" s="1"/>
  <c r="G28" i="6"/>
  <c r="H48" i="43"/>
  <c r="J17" i="43"/>
  <c r="I17" i="43"/>
  <c r="E17" i="43"/>
  <c r="H113" i="43"/>
  <c r="F36" i="43"/>
  <c r="H87" i="43"/>
  <c r="H86" i="43"/>
  <c r="H50" i="43"/>
  <c r="H49" i="43"/>
  <c r="H74" i="43"/>
  <c r="D93" i="9"/>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E28" i="6"/>
  <c r="AR12" i="1"/>
  <c r="T10" i="1"/>
  <c r="E19" i="69"/>
  <c r="E19" i="68"/>
  <c r="E19" i="11"/>
  <c r="E1" i="73"/>
  <c r="K1" i="73" s="1"/>
  <c r="G41" i="69"/>
  <c r="G22" i="69"/>
  <c r="G41" i="68"/>
  <c r="G22" i="68"/>
  <c r="G27" i="12"/>
  <c r="G26" i="12"/>
  <c r="G41" i="11"/>
  <c r="G22" i="11"/>
  <c r="G25" i="12"/>
  <c r="C100" i="43"/>
  <c r="E11" i="43"/>
  <c r="E10" i="43"/>
  <c r="E9" i="43"/>
  <c r="E8" i="43"/>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81"/>
  <c r="F36" i="81"/>
  <c r="J15" i="81"/>
  <c r="F13" i="82"/>
  <c r="F41" i="81"/>
  <c r="F40" i="83"/>
  <c r="M9" i="82"/>
  <c r="M29" i="81"/>
  <c r="F13" i="15"/>
  <c r="F13" i="67"/>
  <c r="F37" i="81"/>
  <c r="M6" i="83"/>
  <c r="F9" i="15"/>
  <c r="M24" i="82"/>
  <c r="M9" i="81"/>
  <c r="F7" i="67"/>
  <c r="F38" i="83"/>
  <c r="M22" i="81"/>
  <c r="M9" i="15"/>
  <c r="M23" i="15"/>
  <c r="F43" i="81"/>
  <c r="F16" i="81"/>
  <c r="L47" i="82"/>
  <c r="F6" i="67"/>
  <c r="F40" i="15"/>
  <c r="M29" i="15"/>
  <c r="M24" i="15"/>
  <c r="M26" i="15"/>
  <c r="C76" i="15"/>
  <c r="M26" i="82"/>
  <c r="F8" i="82"/>
  <c r="F42" i="81"/>
  <c r="L48" i="83"/>
  <c r="F7" i="83"/>
  <c r="J15" i="15"/>
  <c r="F8" i="83"/>
  <c r="F8" i="67"/>
  <c r="F36" i="83"/>
  <c r="F43" i="83"/>
  <c r="F9" i="81"/>
  <c r="F13" i="81"/>
  <c r="M23" i="83"/>
  <c r="M28" i="82"/>
  <c r="J15" i="83"/>
  <c r="F42" i="83"/>
  <c r="M26" i="81"/>
  <c r="M8" i="82"/>
  <c r="M9" i="83"/>
  <c r="F16" i="83"/>
  <c r="C76" i="82"/>
  <c r="M22" i="83"/>
  <c r="L48" i="82"/>
  <c r="F38" i="81"/>
  <c r="F40" i="82"/>
  <c r="F16" i="82"/>
  <c r="F43" i="82"/>
  <c r="F43" i="67"/>
  <c r="F26" i="81"/>
  <c r="M23" i="81"/>
  <c r="F7" i="81"/>
  <c r="M23" i="82"/>
  <c r="F42" i="82"/>
  <c r="F37" i="82"/>
  <c r="L48" i="67"/>
  <c r="M28" i="83"/>
  <c r="M28" i="15"/>
  <c r="L48" i="15"/>
  <c r="C76" i="67"/>
  <c r="L48" i="81"/>
  <c r="M26" i="67"/>
  <c r="F40" i="81"/>
  <c r="C76" i="83"/>
  <c r="M29" i="82"/>
  <c r="M9" i="67"/>
  <c r="C76" i="81"/>
  <c r="F41" i="82"/>
  <c r="F16" i="67"/>
  <c r="M8" i="81"/>
  <c r="F7" i="15"/>
  <c r="M22" i="15"/>
  <c r="F13" i="83"/>
  <c r="F8" i="81"/>
  <c r="L47" i="67"/>
  <c r="F42" i="15"/>
  <c r="M27" i="83"/>
  <c r="F6" i="82"/>
  <c r="M8" i="15"/>
  <c r="M22" i="82"/>
  <c r="F7" i="82"/>
  <c r="L47" i="83"/>
  <c r="F6" i="81"/>
  <c r="M24" i="81"/>
  <c r="F42" i="67"/>
  <c r="M8" i="67"/>
  <c r="L47" i="15"/>
  <c r="F38" i="82"/>
  <c r="F38" i="67"/>
  <c r="F37" i="83"/>
  <c r="M28" i="67"/>
  <c r="M24" i="83"/>
  <c r="M26" i="83"/>
  <c r="F9" i="67"/>
  <c r="F26" i="83"/>
  <c r="J15" i="82"/>
  <c r="F9" i="82"/>
  <c r="F37" i="15"/>
  <c r="M8" i="83"/>
  <c r="F26" i="82"/>
  <c r="M29" i="67"/>
  <c r="F9" i="83"/>
  <c r="F36" i="82"/>
  <c r="M22" i="67"/>
  <c r="M29" i="83"/>
  <c r="L47" i="81"/>
  <c r="F6" i="15"/>
  <c r="J15" i="67"/>
  <c r="G1" i="73"/>
  <c r="C4" i="4" l="1"/>
  <c r="E60" i="40"/>
  <c r="E65" i="39"/>
  <c r="W17" i="21"/>
  <c r="AZ14" i="3"/>
  <c r="AA38" i="34"/>
  <c r="AZ202" i="3"/>
  <c r="AZ63" i="3"/>
  <c r="AZ154" i="3"/>
  <c r="AZ472" i="3"/>
  <c r="U12" i="33"/>
  <c r="AB12" i="33"/>
  <c r="C7" i="43"/>
  <c r="AZ39" i="3"/>
  <c r="AZ227" i="3"/>
  <c r="AZ396" i="3"/>
  <c r="AZ243" i="3"/>
  <c r="AB12" i="21"/>
  <c r="U12" i="21"/>
  <c r="AZ77" i="3"/>
  <c r="AZ66" i="3"/>
  <c r="AZ480" i="3"/>
  <c r="AZ467" i="3"/>
  <c r="E56" i="40"/>
  <c r="F53" i="9"/>
  <c r="D68" i="84"/>
  <c r="F54" i="84"/>
  <c r="F53" i="84"/>
  <c r="F32" i="83"/>
  <c r="F60" i="83" s="1"/>
  <c r="F28" i="83"/>
  <c r="C28" i="83" s="1"/>
  <c r="M18" i="83"/>
  <c r="F32" i="82"/>
  <c r="F60" i="82" s="1"/>
  <c r="F28" i="82"/>
  <c r="C28" i="82" s="1"/>
  <c r="M18" i="82"/>
  <c r="F32" i="81"/>
  <c r="F60" i="81" s="1"/>
  <c r="F28" i="81"/>
  <c r="C28" i="81" s="1"/>
  <c r="M18" i="81"/>
  <c r="F52" i="84"/>
  <c r="D52" i="84"/>
  <c r="D53" i="84"/>
  <c r="E12" i="6"/>
  <c r="AC17" i="34"/>
  <c r="D59" i="86"/>
  <c r="E59" i="86" s="1"/>
  <c r="F59" i="86" s="1"/>
  <c r="G59" i="86" s="1"/>
  <c r="H59" i="86" s="1"/>
  <c r="I59" i="86" s="1"/>
  <c r="J59" i="86" s="1"/>
  <c r="K59" i="86" s="1"/>
  <c r="L59" i="86" s="1"/>
  <c r="M59" i="86" s="1"/>
  <c r="N59" i="86" s="1"/>
  <c r="O59" i="86" s="1"/>
  <c r="F7" i="86"/>
  <c r="H7" i="86"/>
  <c r="J7" i="86"/>
  <c r="C78" i="84"/>
  <c r="U39" i="40"/>
  <c r="AB39" i="40"/>
  <c r="U12" i="36"/>
  <c r="AB12" i="36"/>
  <c r="AC23" i="35"/>
  <c r="W23" i="35"/>
  <c r="C77" i="84"/>
  <c r="C74" i="84" s="1"/>
  <c r="C72" i="84"/>
  <c r="C85" i="84"/>
  <c r="C63" i="84"/>
  <c r="C67" i="84" s="1"/>
  <c r="C68" i="84" s="1"/>
  <c r="D54" i="84" s="1"/>
  <c r="C93" i="84"/>
  <c r="C86" i="84" s="1"/>
  <c r="AC36" i="35"/>
  <c r="W36" i="35"/>
  <c r="AA26" i="33"/>
  <c r="S26" i="33"/>
  <c r="F30" i="6"/>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L56" i="67"/>
  <c r="J57" i="67"/>
  <c r="J55" i="67" s="1"/>
  <c r="J58" i="67" s="1"/>
  <c r="Q50" i="67" s="1"/>
  <c r="F70" i="67"/>
  <c r="F51" i="67"/>
  <c r="F71" i="67"/>
  <c r="F66" i="67"/>
  <c r="F50" i="67"/>
  <c r="M7" i="67"/>
  <c r="Q71" i="67"/>
  <c r="C6" i="67"/>
  <c r="Q71" i="15"/>
  <c r="F65" i="15"/>
  <c r="J57" i="15"/>
  <c r="J55" i="15" s="1"/>
  <c r="J58" i="15" s="1"/>
  <c r="Q50" i="15" s="1"/>
  <c r="F68" i="15"/>
  <c r="M7" i="15"/>
  <c r="F50"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67"/>
  <c r="M17" i="15"/>
  <c r="F31" i="15"/>
  <c r="F59" i="15"/>
  <c r="C16" i="81"/>
  <c r="F38" i="15"/>
  <c r="F37" i="67"/>
  <c r="C16" i="82"/>
  <c r="C16" i="67"/>
  <c r="M23" i="67"/>
  <c r="F40" i="67"/>
  <c r="F26" i="67"/>
  <c r="F36" i="67"/>
  <c r="F26" i="15"/>
  <c r="F36" i="15"/>
  <c r="M24" i="67"/>
  <c r="F16" i="15"/>
  <c r="F43" i="15"/>
  <c r="C16" i="83"/>
  <c r="F8" i="15"/>
  <c r="C27" i="67" l="1"/>
  <c r="C10" i="15"/>
  <c r="C6" i="15"/>
  <c r="F51" i="15"/>
  <c r="F68" i="67"/>
  <c r="F65" i="67"/>
  <c r="F64" i="15"/>
  <c r="F66" i="15"/>
  <c r="F64" i="67"/>
  <c r="C27" i="15"/>
  <c r="F71" i="15"/>
  <c r="K16" i="1"/>
  <c r="E66" i="39"/>
  <c r="W7" i="86"/>
  <c r="AC7" i="86"/>
  <c r="S7" i="86"/>
  <c r="AA7" i="86"/>
  <c r="E3" i="6"/>
  <c r="H108" i="84" s="1"/>
  <c r="C95" i="84"/>
  <c r="C73" i="84"/>
  <c r="C79" i="84" s="1"/>
  <c r="AB7" i="86"/>
  <c r="U7" i="86"/>
  <c r="L18"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C24" i="81" s="1"/>
  <c r="F24" i="82"/>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7" i="81"/>
  <c r="C17" i="15"/>
  <c r="C16" i="15"/>
  <c r="C17" i="82"/>
  <c r="C17" i="83"/>
  <c r="C5" i="15" l="1"/>
  <c r="C32" i="15" s="1"/>
  <c r="M18" i="84"/>
  <c r="B118" i="84" s="1"/>
  <c r="G118" i="84" s="1"/>
  <c r="C81" i="84"/>
  <c r="C80" i="84"/>
  <c r="E80" i="84" s="1"/>
  <c r="E81" i="84" s="1"/>
  <c r="C96" i="84"/>
  <c r="E96" i="84" s="1"/>
  <c r="E97" i="84" s="1"/>
  <c r="C97" i="84"/>
  <c r="D58" i="84" s="1"/>
  <c r="D56" i="84" s="1"/>
  <c r="M54" i="84" s="1"/>
  <c r="N57" i="84" s="1"/>
  <c r="M19" i="84"/>
  <c r="C118" i="84" s="1"/>
  <c r="L19"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41" i="83"/>
  <c r="C14" i="83"/>
  <c r="C14" i="81"/>
  <c r="C14" i="82"/>
  <c r="C38" i="15" l="1"/>
  <c r="R25" i="6"/>
  <c r="N58" i="84"/>
  <c r="N59" i="84"/>
  <c r="P57" i="84"/>
  <c r="E118" i="84"/>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M21" i="83"/>
  <c r="F35" i="81"/>
  <c r="F35" i="83"/>
  <c r="M21" i="82"/>
  <c r="F35" i="82"/>
  <c r="M21" i="81"/>
  <c r="N60" i="84" l="1"/>
  <c r="N61" i="84"/>
  <c r="C19" i="82"/>
  <c r="C20" i="82" s="1"/>
  <c r="C26" i="82" s="1"/>
  <c r="C19" i="83"/>
  <c r="C20" i="83" s="1"/>
  <c r="C26" i="83" s="1"/>
  <c r="C19" i="81"/>
  <c r="C20" i="81" s="1"/>
  <c r="C26" i="81" s="1"/>
  <c r="J20" i="83"/>
  <c r="F63" i="83"/>
  <c r="C62" i="83" s="1"/>
  <c r="C34" i="83"/>
  <c r="F63" i="82"/>
  <c r="C62" i="82" s="1"/>
  <c r="C34" i="82"/>
  <c r="J20" i="82"/>
  <c r="J20" i="81"/>
  <c r="F63" i="81"/>
  <c r="C62" i="81" s="1"/>
  <c r="C34" i="8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M21" i="67"/>
  <c r="F35" i="15"/>
  <c r="F35" i="67"/>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E6" i="76"/>
  <c r="L51" i="81"/>
  <c r="B6" i="76"/>
  <c r="C17" i="67"/>
  <c r="Q67" i="81" l="1"/>
  <c r="E2" i="76"/>
  <c r="Q57" i="82"/>
  <c r="B2" i="76"/>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B3" i="76" l="1"/>
  <c r="C50" i="86"/>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15"/>
  <c r="M6" i="82"/>
  <c r="M6" i="81"/>
  <c r="M6" i="67"/>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C38" i="83"/>
  <c r="C32" i="83"/>
  <c r="C31" i="83" s="1"/>
  <c r="J5" i="82"/>
  <c r="C26" i="67"/>
  <c r="C29" i="67" s="1"/>
  <c r="J59" i="67" s="1"/>
  <c r="J60" i="67" s="1"/>
  <c r="C42" i="40"/>
  <c r="C43" i="40"/>
  <c r="E46" i="40"/>
  <c r="F46" i="40" s="1"/>
  <c r="E47" i="40"/>
  <c r="F47" i="40" s="1"/>
  <c r="C52" i="69"/>
  <c r="J18" i="15" l="1"/>
  <c r="J18" i="8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C14" i="15"/>
  <c r="L51" i="67"/>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AO9" i="1"/>
  <c r="M27" i="8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AG8" i="1" l="1"/>
  <c r="C66" i="15"/>
  <c r="C60" i="15"/>
  <c r="C59" i="15" s="1"/>
  <c r="AG6" i="1"/>
  <c r="C80" i="15"/>
  <c r="C79" i="15" s="1"/>
  <c r="C65" i="15"/>
  <c r="Q68" i="15"/>
  <c r="L57" i="15"/>
  <c r="L60" i="15" s="1"/>
  <c r="Q67" i="15"/>
  <c r="F41" i="15"/>
  <c r="M27" i="15"/>
  <c r="M27" i="82"/>
  <c r="F41" i="67"/>
  <c r="M27" i="67"/>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3" i="67"/>
  <c r="D2" i="37"/>
  <c r="E2" i="68"/>
  <c r="D2" i="21"/>
  <c r="D2" i="34"/>
  <c r="D2" i="35"/>
  <c r="F20" i="31"/>
  <c r="D2" i="36"/>
  <c r="D2" i="33"/>
  <c r="B2" i="68" l="1"/>
  <c r="B3" i="68" s="1"/>
  <c r="B20" i="31"/>
  <c r="B2" i="36"/>
  <c r="B3" i="36" s="1"/>
  <c r="B2" i="35"/>
  <c r="B3" i="35" s="1"/>
  <c r="B2" i="37"/>
  <c r="B3" i="37" s="1"/>
  <c r="B2" i="34"/>
  <c r="B2" i="21"/>
  <c r="B3" i="21" s="1"/>
  <c r="B2" i="70"/>
  <c r="B3" i="70" s="1"/>
  <c r="D20" i="9"/>
  <c r="C19" i="9"/>
  <c r="D19"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22" i="9" l="1"/>
  <c r="D123" i="9" s="1"/>
  <c r="D9" i="52" s="1"/>
  <c r="D13" i="53"/>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D8" i="52" l="1"/>
  <c r="G14" i="74"/>
  <c r="B6" i="74" s="1"/>
  <c r="D6" i="74" s="1"/>
  <c r="M69" i="9"/>
  <c r="N69" i="9" s="1"/>
  <c r="B30" i="72"/>
  <c r="C95" i="9"/>
  <c r="C67" i="9"/>
  <c r="C68" i="9" s="1"/>
  <c r="D54" i="9" s="1"/>
  <c r="C79" i="9"/>
  <c r="C6" i="74" l="1"/>
  <c r="C96" i="9"/>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<sst xmlns="http://schemas.openxmlformats.org/spreadsheetml/2006/main" count="9791" uniqueCount="3354">
  <si>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</si>
  <si>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</si>
  <si>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</si>
  <si>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</si>
  <si>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</si>
  <si>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</si>
  <si>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</si>
  <si>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</si>
  <si>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</si>
  <si>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</si>
  <si>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</si>
  <si>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</si>
  <si>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</si>
  <si>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</si>
  <si>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</si>
  <si>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</si>
  <si>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</si>
  <si>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</si>
  <si>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</si>
  <si>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</si>
  <si>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</si>
  <si>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</si>
  <si>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</si>
  <si>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</si>
  <si>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</si>
  <si>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</si>
  <si>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</si>
  <si>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</si>
  <si>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</si>
  <si>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</si>
  <si>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</si>
  <si>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</si>
  <si>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</si>
  <si>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</si>
  <si>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</si>
  <si>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</si>
  <si>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</si>
  <si>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</si>
  <si>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</si>
  <si>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</si>
  <si>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</si>
  <si>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</si>
  <si>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</si>
  <si>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</si>
  <si>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</si>
  <si>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</si>
  <si>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</si>
  <si>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</si>
  <si>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</si>
  <si>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</si>
  <si>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</si>
  <si>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</si>
  <si>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</si>
  <si>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</si>
  <si>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</si>
  <si>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</si>
  <si>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</si>
  <si>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</si>
  <si>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</si>
  <si>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</si>
  <si>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</si>
  <si>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</si>
  <si>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</si>
  <si>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</si>
  <si>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</si>
  <si>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</si>
  <si>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</si>
  <si>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</si>
  <si>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</si>
  <si>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</si>
  <si>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</si>
  <si>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</si>
  <si>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</si>
  <si>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</si>
  <si>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</si>
  <si>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</si>
  <si>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</si>
  <si>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</si>
  <si>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</si>
  <si>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</si>
  <si>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</si>
  <si>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</si>
  <si>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</si>
  <si>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</si>
  <si>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</si>
  <si>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</si>
  <si>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</si>
  <si>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</si>
  <si>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</si>
  <si>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</si>
  <si>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</si>
  <si>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</si>
  <si>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</si>
  <si>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</si>
  <si>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</si>
  <si>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</si>
  <si>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</si>
  <si>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</si>
  <si>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</si>
  <si>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</si>
  <si>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</si>
  <si>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</si>
  <si>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</si>
  <si>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</si>
  <si>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</si>
  <si>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</si>
  <si>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</si>
  <si>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</si>
  <si>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</si>
  <si>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</si>
  <si>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</si>
  <si>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</si>
  <si>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</si>
  <si>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</si>
  <si>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</si>
  <si>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</si>
  <si>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</si>
  <si>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</si>
  <si>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</si>
  <si>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</si>
  <si>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</si>
  <si>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</si>
  <si>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</si>
  <si>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</si>
  <si>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</si>
  <si>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</si>
  <si>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</si>
  <si>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</si>
  <si>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</si>
  <si>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</si>
  <si>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</si>
  <si>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</si>
  <si>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</si>
  <si>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</si>
  <si>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</si>
  <si>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</si>
  <si>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</si>
  <si>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</si>
  <si>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</si>
  <si>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</si>
  <si>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</si>
  <si>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</si>
  <si>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</si>
  <si>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</si>
  <si>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</si>
  <si>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</si>
  <si>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</si>
  <si>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</si>
  <si>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</si>
  <si>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</si>
  <si>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</si>
  <si>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</si>
  <si>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</si>
  <si>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</si>
  <si>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</si>
  <si>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</si>
  <si>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</si>
  <si>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</si>
  <si>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</si>
  <si>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</si>
  <si>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</si>
  <si>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</si>
  <si>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</si>
  <si>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</si>
  <si>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</si>
  <si>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</si>
  <si>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</si>
  <si>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</si>
  <si>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</si>
  <si>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</si>
  <si>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</si>
  <si>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</si>
  <si>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</si>
  <si>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</si>
  <si>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</si>
  <si>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</si>
  <si>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</si>
  <si>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</si>
  <si>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</si>
  <si>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</si>
  <si>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</si>
  <si>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</si>
  <si>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</si>
  <si>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</si>
  <si>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</si>
  <si>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</si>
  <si>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</si>
  <si>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</si>
  <si>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</si>
  <si>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</si>
  <si>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</si>
  <si>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</si>
  <si>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</si>
  <si>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</si>
  <si>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</si>
  <si>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</si>
  <si>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</si>
  <si>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</si>
  <si>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</si>
  <si>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</si>
  <si>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</si>
  <si>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</si>
  <si>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</si>
  <si>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</si>
  <si>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</si>
  <si>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</si>
  <si>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</si>
  <si>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</si>
  <si>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</si>
  <si>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</si>
  <si>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</si>
  <si>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</si>
  <si>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</si>
  <si>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</si>
  <si>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</si>
  <si>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</si>
  <si>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</si>
  <si>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</si>
  <si>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</si>
  <si>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</si>
  <si>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</si>
  <si>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</si>
  <si>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</si>
  <si>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</si>
  <si>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</si>
  <si>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</si>
  <si>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</si>
  <si>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</si>
  <si>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</si>
  <si>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</si>
  <si>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</si>
  <si>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</si>
  <si>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</si>
  <si>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</si>
  <si>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</si>
  <si>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</si>
  <si>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</si>
  <si>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</si>
  <si>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</si>
  <si>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</si>
  <si>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</si>
  <si>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</si>
  <si>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</si>
  <si>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</si>
  <si>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</si>
  <si>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</si>
  <si>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</si>
  <si>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</si>
  <si>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</si>
  <si>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</si>
  <si>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</si>
  <si>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</si>
  <si>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</si>
  <si>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</si>
  <si>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</si>
  <si>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</si>
  <si>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</si>
  <si>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</si>
  <si>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</si>
  <si>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</si>
  <si>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</si>
  <si>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</si>
  <si>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</si>
  <si>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</si>
  <si>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</si>
  <si>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</si>
  <si>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</si>
  <si>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</si>
  <si>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</si>
  <si>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</si>
  <si>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</si>
  <si>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</si>
  <si>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</si>
  <si>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</si>
  <si>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</si>
  <si>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</si>
  <si>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</si>
  <si>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</si>
  <si>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</si>
  <si>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</si>
  <si>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</si>
  <si>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</si>
  <si>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</si>
  <si>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</si>
  <si>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</si>
  <si>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</si>
  <si>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</si>
  <si>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</si>
  <si>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</si>
  <si>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</si>
  <si>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</si>
  <si>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</si>
  <si>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</si>
  <si>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</si>
  <si>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</si>
  <si>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</si>
  <si>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</si>
  <si>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</si>
  <si>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</si>
  <si>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</si>
  <si>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</si>
  <si>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</si>
  <si>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</si>
  <si>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</si>
  <si>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</si>
  <si>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</si>
  <si>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</si>
  <si>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</si>
  <si>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</si>
  <si>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</si>
  <si>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</si>
  <si>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</si>
  <si>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</si>
  <si>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</si>
  <si>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</si>
  <si>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</si>
  <si>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</si>
  <si>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</si>
  <si>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</si>
  <si>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</si>
  <si>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</si>
  <si>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</si>
  <si>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</si>
  <si>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</si>
  <si>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</si>
  <si>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</si>
  <si>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</si>
  <si>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</si>
  <si>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</si>
  <si>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</si>
  <si>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</si>
  <si>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</si>
  <si>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</si>
  <si>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</si>
  <si>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</si>
  <si>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</si>
  <si>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</si>
  <si>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</si>
  <si>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</si>
  <si>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</si>
  <si>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</si>
  <si>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</si>
  <si>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</si>
  <si>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</si>
  <si>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</si>
  <si>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</si>
  <si>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</si>
  <si>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</si>
  <si>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</si>
  <si>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</si>
  <si>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</si>
  <si>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</si>
  <si>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</si>
  <si>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</si>
  <si>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</si>
  <si>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</si>
  <si>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</si>
  <si>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</si>
  <si>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</si>
  <si>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</si>
  <si>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</si>
  <si>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</si>
  <si>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</si>
  <si>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</si>
  <si>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</si>
  <si>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</si>
  <si>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</si>
  <si>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</si>
  <si>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</si>
  <si>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</si>
  <si>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</si>
  <si>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</si>
  <si>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</si>
  <si>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</si>
  <si>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</si>
  <si>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</si>
  <si>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</si>
  <si>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</si>
  <si>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</si>
  <si>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</si>
  <si>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</si>
  <si>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</si>
  <si>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</si>
  <si>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</si>
  <si>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</si>
  <si>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</si>
  <si>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</si>
  <si>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</si>
  <si>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</si>
  <si>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</si>
  <si>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</si>
  <si>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</si>
  <si>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</si>
  <si>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</si>
  <si>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</si>
  <si>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</si>
  <si>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</si>
  <si>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</si>
  <si>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</si>
  <si>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</si>
  <si>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</si>
  <si>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</si>
  <si>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</si>
  <si>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</si>
  <si>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</si>
  <si>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</si>
  <si>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</si>
  <si>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</si>
  <si>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</si>
  <si>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</si>
  <si>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</si>
  <si>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</si>
  <si>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</si>
  <si>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</si>
  <si>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</si>
  <si>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</si>
  <si>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</si>
  <si>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</si>
  <si>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</si>
  <si>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</si>
  <si>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</si>
  <si>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</si>
  <si>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</si>
  <si>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</si>
  <si>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</si>
  <si>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</si>
  <si>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</si>
  <si>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</si>
  <si>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</si>
  <si>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</si>
  <si>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</si>
  <si>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</si>
  <si>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</si>
  <si>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</si>
  <si>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</si>
  <si>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</si>
  <si>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</si>
  <si>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</si>
  <si>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</si>
  <si>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</si>
  <si>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</si>
  <si>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</si>
  <si>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</si>
  <si>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</si>
  <si>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</si>
  <si>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</si>
  <si>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</si>
  <si>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</si>
  <si>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</si>
  <si>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</si>
  <si>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</si>
  <si>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</si>
  <si>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</si>
  <si>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</si>
  <si>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</si>
  <si>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</si>
  <si>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</si>
  <si>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</si>
  <si>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</si>
  <si>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</si>
  <si>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</si>
  <si>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</si>
  <si>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</si>
  <si>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</si>
  <si>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</si>
  <si>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</si>
  <si>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</si>
  <si>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</si>
  <si>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</si>
  <si>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</si>
  <si>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</si>
  <si>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</si>
  <si>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</si>
  <si>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</si>
  <si>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</si>
  <si>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</si>
  <si>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</si>
  <si>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</si>
  <si>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</si>
  <si>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</si>
  <si>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</si>
  <si>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</si>
  <si>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</si>
  <si>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</si>
  <si>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</si>
  <si>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</si>
  <si>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</si>
  <si>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</si>
  <si>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</si>
  <si>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</si>
  <si>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</si>
  <si>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</si>
  <si>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</si>
  <si>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</si>
  <si>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</si>
  <si>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</si>
  <si>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</si>
  <si>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</si>
  <si>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</si>
  <si>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</si>
  <si>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</si>
  <si>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</si>
  <si>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</si>
  <si>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</si>
  <si>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</si>
  <si>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</si>
  <si>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</si>
  <si>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</si>
  <si>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</si>
  <si>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</si>
  <si>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</si>
  <si>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</si>
  <si>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</si>
  <si>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</si>
  <si>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</si>
  <si>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</si>
  <si>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</si>
  <si>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</si>
  <si>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</si>
  <si>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</si>
  <si>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</si>
  <si>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</si>
  <si>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</si>
  <si>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</si>
  <si>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</si>
  <si>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</si>
  <si>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</si>
  <si>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</si>
  <si>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</si>
  <si>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</si>
  <si>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</si>
  <si>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</si>
  <si>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</si>
  <si>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</si>
  <si>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</si>
  <si>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</si>
  <si>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</si>
  <si>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</si>
  <si>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</si>
  <si>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</si>
  <si>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</si>
  <si>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</si>
  <si>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</si>
  <si>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</si>
  <si>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</si>
  <si>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</si>
  <si>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</si>
  <si>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</si>
  <si>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</si>
  <si>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</si>
  <si>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</si>
  <si>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</si>
  <si>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</si>
  <si>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</si>
  <si>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</si>
  <si>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</si>
  <si>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</si>
  <si>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</si>
  <si>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</si>
  <si>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</si>
  <si>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</si>
  <si>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</si>
  <si>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</si>
  <si>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</si>
  <si>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</si>
  <si>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</si>
  <si>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</si>
  <si>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</si>
  <si>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</si>
  <si>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</si>
  <si>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</si>
  <si>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</si>
  <si>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</si>
  <si>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</si>
  <si>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</si>
  <si>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</si>
  <si>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</si>
  <si>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</si>
  <si>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</si>
  <si>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</si>
  <si>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</si>
  <si>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</si>
  <si>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</si>
  <si>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</si>
  <si>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</si>
  <si>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</si>
  <si>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</si>
  <si>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</si>
  <si>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</si>
  <si>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</si>
  <si>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</si>
  <si>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</si>
  <si>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</si>
  <si>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</si>
  <si>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</si>
  <si>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</si>
  <si>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</si>
  <si>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</si>
  <si>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</si>
  <si>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</si>
  <si>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</si>
  <si>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</si>
  <si>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</si>
  <si>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</si>
  <si>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</si>
  <si>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</si>
  <si>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</si>
  <si>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</si>
  <si>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</si>
  <si>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</si>
  <si>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</si>
  <si>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</si>
  <si>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</si>
  <si>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</si>
  <si>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</si>
  <si>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</si>
  <si>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</si>
  <si>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</si>
  <si>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</si>
  <si>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</si>
  <si>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</si>
  <si>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</si>
  <si>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</si>
  <si>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</si>
  <si>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</si>
  <si>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</si>
  <si>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</si>
  <si>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</si>
  <si>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</si>
  <si>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</si>
  <si>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</si>
  <si>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</si>
  <si>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</si>
  <si>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</si>
  <si>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</si>
  <si>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</si>
  <si>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</si>
  <si>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</si>
  <si>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</si>
  <si>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</si>
  <si>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</si>
  <si>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</si>
  <si>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</si>
  <si>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</si>
  <si>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</si>
  <si>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</si>
  <si>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</si>
  <si>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</si>
  <si>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</si>
  <si>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</si>
  <si>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</si>
  <si>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</si>
  <si>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</si>
  <si>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</si>
  <si>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</si>
  <si>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</si>
  <si>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</si>
  <si>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</si>
  <si>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</si>
  <si>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</si>
  <si>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</si>
  <si>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</si>
  <si>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</si>
  <si>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</si>
  <si>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</si>
  <si>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</si>
  <si>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</si>
  <si>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</si>
  <si>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</si>
  <si>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</si>
  <si>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</si>
  <si>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</si>
  <si>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</si>
  <si>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</si>
  <si>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</si>
  <si>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</si>
  <si>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</si>
  <si>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</si>
  <si>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</si>
  <si>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</si>
  <si>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</si>
  <si>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</si>
  <si>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</si>
  <si>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</si>
  <si>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</si>
  <si>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</si>
  <si>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</si>
  <si>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</si>
  <si>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</si>
  <si>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</si>
  <si>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</si>
  <si>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</si>
  <si>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</si>
  <si>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</si>
  <si>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</si>
  <si>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</si>
  <si>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</si>
  <si>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</si>
  <si>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</si>
  <si>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</si>
  <si>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</si>
  <si>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</si>
  <si>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</si>
  <si>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</si>
  <si>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</si>
  <si>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</si>
  <si>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</si>
  <si>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</si>
  <si>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</si>
  <si>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</si>
  <si>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</si>
  <si>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</si>
  <si>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</si>
  <si>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</si>
  <si>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</si>
  <si>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</si>
  <si>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</si>
  <si>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</si>
  <si>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</si>
  <si>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</si>
  <si>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</si>
  <si>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</si>
  <si>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</si>
  <si>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</si>
  <si>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</si>
  <si>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</si>
  <si>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</si>
  <si>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</si>
  <si>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</si>
  <si>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</si>
  <si>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</si>
  <si>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</si>
  <si>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</si>
  <si>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</si>
  <si>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</si>
  <si>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</si>
  <si>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</si>
  <si>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</si>
  <si>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</si>
  <si>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</si>
  <si>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</si>
  <si>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</si>
  <si>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</si>
  <si>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</si>
  <si>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</si>
  <si>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</si>
  <si>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</si>
  <si>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</si>
  <si>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</si>
  <si>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</si>
  <si>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</si>
  <si>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</si>
  <si>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</si>
  <si>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</si>
  <si>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</si>
  <si>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</si>
  <si>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</si>
  <si>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</si>
  <si>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</si>
  <si>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</si>
  <si>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</si>
  <si>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</si>
  <si>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</si>
  <si>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</si>
  <si>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</si>
  <si>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</si>
  <si>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</si>
  <si>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</si>
  <si>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</si>
  <si>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</si>
  <si>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</si>
  <si>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</si>
  <si>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</si>
  <si>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</si>
  <si>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</si>
  <si>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</si>
  <si>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</si>
  <si>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</si>
  <si>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</si>
  <si>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</si>
  <si>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</si>
  <si>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</si>
  <si>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</si>
  <si>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</si>
  <si>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</si>
  <si>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</si>
  <si>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</si>
  <si>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</si>
  <si>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</si>
  <si>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</si>
  <si>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</si>
  <si>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</si>
  <si>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</si>
  <si>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</si>
  <si>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</si>
  <si>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</si>
  <si>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</si>
  <si>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</si>
  <si>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</si>
  <si>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</si>
  <si>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</si>
  <si>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</si>
  <si>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</si>
  <si>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</si>
  <si>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</si>
  <si>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</si>
  <si>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</si>
  <si>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</si>
  <si>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</si>
  <si>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</si>
  <si>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</si>
  <si>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</si>
  <si>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</si>
  <si>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</si>
  <si>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</si>
  <si>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</si>
  <si>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</si>
  <si>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</si>
  <si>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</si>
  <si>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</si>
  <si>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</si>
  <si>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</si>
  <si>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</si>
  <si>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</si>
  <si>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</si>
  <si>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</si>
  <si>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</si>
  <si>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</si>
  <si>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</si>
  <si>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</si>
  <si>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</si>
  <si>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</si>
  <si>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</si>
  <si>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</si>
  <si>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</si>
  <si>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</si>
  <si>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</si>
  <si>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</si>
  <si>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</si>
  <si>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</si>
  <si>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</si>
  <si>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</si>
  <si>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</si>
  <si>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</si>
  <si>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</si>
  <si>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</si>
  <si>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</si>
  <si>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</si>
  <si>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</si>
  <si>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</si>
  <si>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</si>
  <si>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</si>
  <si>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</si>
  <si>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</si>
  <si>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</si>
  <si>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</si>
  <si>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</si>
  <si>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</si>
  <si>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</si>
  <si>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</si>
  <si>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</si>
  <si>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</si>
  <si>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</si>
  <si>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</si>
  <si>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</si>
  <si>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</si>
  <si>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</si>
  <si>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</si>
  <si>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</si>
  <si>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</si>
  <si>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</si>
  <si>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</si>
  <si>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</si>
  <si>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</si>
  <si>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</si>
  <si>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</si>
  <si>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</si>
  <si>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</si>
  <si>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</si>
  <si>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</si>
  <si>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</si>
  <si>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</si>
  <si>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</si>
  <si>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</si>
  <si>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</si>
  <si>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</si>
  <si>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</si>
  <si>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</si>
  <si>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</si>
  <si>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</si>
  <si>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</si>
  <si>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</si>
  <si>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</si>
  <si>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</si>
  <si>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</si>
  <si>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</si>
  <si>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</si>
  <si>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</si>
  <si>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</si>
  <si>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</si>
  <si>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</si>
  <si>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</si>
  <si>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</si>
  <si>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</si>
  <si>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</si>
  <si>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</si>
  <si>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</si>
  <si>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</si>
  <si>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</si>
  <si>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</si>
  <si>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</si>
  <si>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</si>
  <si>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</si>
  <si>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</si>
  <si>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</si>
  <si>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</si>
  <si>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</si>
  <si>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</si>
  <si>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</si>
  <si>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</si>
  <si>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</si>
  <si>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</si>
  <si>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</si>
  <si>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</si>
  <si>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</si>
  <si>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</si>
  <si>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</si>
  <si>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</si>
  <si>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</si>
  <si>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</si>
  <si>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</si>
  <si>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</si>
  <si>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</si>
  <si>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</si>
  <si>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</si>
  <si>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</si>
  <si>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</si>
  <si>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</si>
  <si>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</si>
  <si>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</si>
  <si>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</si>
  <si>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</si>
  <si>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</si>
  <si>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</si>
  <si>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</si>
  <si>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</si>
  <si>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</si>
  <si>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</si>
  <si>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</si>
  <si>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</si>
  <si>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</si>
  <si>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</si>
  <si>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</si>
  <si>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</si>
  <si>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</si>
  <si>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</si>
  <si>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</si>
  <si>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</si>
  <si>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</si>
  <si>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</si>
  <si>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</si>
  <si>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</si>
  <si>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</si>
  <si>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</si>
  <si>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</si>
  <si>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</si>
  <si>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</si>
  <si>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</si>
  <si>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</si>
  <si>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</si>
  <si>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</si>
  <si>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</si>
  <si>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</si>
  <si>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</si>
  <si>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</si>
  <si>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</si>
  <si>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</si>
  <si>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</si>
  <si>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</si>
  <si>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</si>
  <si>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</si>
  <si>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</si>
  <si>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</si>
  <si>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</si>
  <si>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</si>
  <si>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</si>
  <si>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</si>
  <si>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</si>
  <si>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</si>
  <si>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</si>
  <si>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</si>
  <si>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</si>
  <si>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</si>
  <si>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</si>
  <si>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</si>
  <si>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</si>
  <si>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</si>
  <si>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</si>
  <si>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</si>
  <si>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</si>
  <si>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</si>
  <si>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</si>
  <si>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</si>
  <si>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</si>
  <si>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</si>
  <si>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</si>
  <si>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</si>
  <si>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</si>
  <si>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</si>
  <si>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</si>
  <si>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</si>
  <si>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</si>
  <si>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</si>
  <si>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</si>
  <si>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</si>
  <si>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</si>
  <si>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</si>
  <si>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</si>
  <si>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</si>
  <si>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</si>
  <si>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</si>
  <si>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</si>
  <si>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</si>
  <si>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</si>
  <si>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</si>
  <si>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</si>
  <si>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</si>
  <si>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</si>
  <si>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</si>
  <si>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</si>
  <si>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</si>
  <si>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</si>
  <si>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</si>
  <si>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</si>
  <si>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</si>
  <si>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</si>
  <si>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</si>
  <si>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</si>
  <si>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</si>
  <si>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</si>
  <si>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</si>
  <si>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</si>
  <si>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</si>
  <si>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</si>
  <si>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</si>
  <si>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</si>
  <si>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</si>
  <si>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</si>
  <si>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</si>
  <si>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</si>
  <si>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</si>
  <si>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</si>
  <si>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</si>
  <si>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</si>
  <si>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</si>
  <si>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</si>
  <si>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</si>
  <si>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</si>
  <si>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</si>
  <si>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</si>
  <si>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</si>
  <si>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</si>
  <si>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</si>
  <si>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</si>
  <si>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</si>
  <si>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</si>
  <si>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</si>
  <si>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</si>
  <si>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</si>
  <si>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</si>
  <si>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</si>
  <si>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</si>
  <si>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</si>
  <si>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</si>
  <si>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</si>
  <si>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</si>
  <si>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</si>
  <si>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</si>
  <si>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</si>
  <si>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</si>
  <si>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</si>
  <si>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</si>
  <si>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</si>
  <si>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</si>
  <si>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</si>
  <si>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</si>
  <si>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</si>
  <si>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</si>
  <si>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</si>
  <si>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</si>
  <si>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</si>
  <si>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</si>
  <si>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</si>
  <si>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</si>
  <si>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</si>
  <si>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</si>
  <si>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</si>
  <si>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</si>
  <si>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</si>
  <si>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</si>
  <si>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</si>
  <si>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</si>
  <si>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</si>
  <si>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</si>
  <si>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</si>
  <si>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</si>
  <si>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</si>
  <si>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</si>
  <si>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</si>
  <si>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</si>
  <si>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</si>
  <si>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</si>
  <si>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</si>
  <si>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</si>
  <si>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</si>
  <si>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</si>
  <si>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</si>
  <si>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</si>
  <si>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</si>
  <si>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</si>
  <si>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</si>
  <si>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</si>
  <si>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</si>
  <si>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</si>
  <si>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</si>
  <si>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</si>
  <si>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</si>
  <si>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</si>
  <si>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</si>
  <si>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</si>
  <si>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</si>
  <si>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</si>
  <si>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</si>
  <si>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</si>
  <si>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</si>
  <si>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</si>
  <si>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</si>
  <si>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</si>
  <si>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</si>
  <si>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</si>
  <si>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</si>
  <si>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</si>
  <si>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</si>
  <si>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</si>
  <si>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</si>
  <si>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</si>
  <si>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</si>
  <si>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</si>
  <si>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</si>
  <si>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</si>
  <si>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</si>
  <si>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</si>
  <si>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</si>
  <si>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</si>
  <si>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</si>
  <si>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</si>
  <si>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</si>
  <si>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</si>
  <si>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</si>
  <si>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</si>
  <si>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</si>
  <si>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</si>
  <si>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</si>
  <si>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</si>
  <si>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</si>
  <si>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</si>
  <si>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</si>
  <si>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</si>
  <si>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</si>
  <si>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</si>
  <si>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</si>
  <si>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</si>
  <si>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</si>
  <si>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</si>
  <si>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</si>
  <si>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</si>
  <si>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</si>
  <si>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</si>
  <si>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</si>
  <si>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</si>
  <si>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</si>
  <si>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</si>
  <si>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</si>
  <si>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</si>
  <si>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</si>
  <si>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</si>
  <si>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</si>
  <si>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</si>
  <si>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</si>
  <si>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</si>
  <si>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</si>
  <si>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</si>
  <si>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</si>
  <si>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</si>
  <si>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</si>
  <si>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</si>
  <si>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</si>
  <si>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</si>
  <si>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</si>
  <si>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</si>
  <si>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</si>
  <si>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</si>
  <si>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</si>
  <si>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</si>
  <si>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</si>
  <si>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</si>
  <si>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</si>
  <si>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</si>
  <si>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</si>
  <si>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</si>
  <si>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</si>
  <si>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</si>
  <si>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</si>
  <si>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</si>
  <si>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</si>
  <si>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</si>
  <si>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</si>
  <si>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</si>
  <si>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</si>
  <si>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</si>
  <si>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</si>
  <si>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</si>
  <si>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</si>
  <si>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</si>
  <si>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</si>
  <si>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</si>
  <si>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</si>
  <si>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</si>
  <si>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</si>
  <si>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</si>
  <si>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</si>
  <si>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</si>
  <si>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</si>
  <si>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</si>
  <si>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</si>
  <si>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</si>
  <si>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</si>
  <si>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</si>
  <si>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</si>
  <si>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</si>
  <si>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</si>
  <si>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</si>
  <si>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</si>
  <si>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</si>
  <si>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</si>
  <si>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</si>
  <si>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</si>
  <si>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</si>
  <si>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</si>
  <si>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</si>
  <si>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</si>
  <si>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</si>
  <si>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</si>
  <si>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</si>
  <si>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</si>
  <si>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</si>
  <si>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</si>
  <si>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</si>
  <si>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</si>
  <si>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</si>
  <si>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</si>
  <si>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</si>
  <si>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</si>
  <si>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</si>
  <si>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</si>
  <si>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</si>
  <si>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</si>
  <si>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</si>
  <si>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</si>
  <si>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</si>
  <si>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</si>
  <si>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</si>
  <si>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</si>
  <si>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</si>
  <si>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</si>
  <si>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</si>
  <si>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</si>
  <si>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</si>
  <si>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</si>
  <si>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</si>
  <si>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</si>
  <si>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</si>
  <si>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</si>
  <si>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</si>
  <si>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</si>
  <si>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</si>
  <si>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</si>
  <si>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</si>
  <si>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</si>
  <si>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</si>
  <si>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</si>
  <si>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</si>
  <si>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</si>
  <si>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</si>
  <si>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</si>
  <si>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</si>
  <si>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</si>
  <si>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</si>
  <si>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</si>
  <si>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</si>
  <si>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</si>
  <si>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</si>
  <si>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</si>
  <si>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</si>
  <si>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</si>
  <si>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</si>
  <si>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</si>
  <si>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</si>
  <si>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</si>
  <si>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</si>
  <si>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</si>
  <si>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</si>
  <si>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</si>
  <si>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</si>
  <si>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</si>
  <si>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</si>
  <si>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</si>
  <si>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</si>
  <si>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</si>
  <si>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</si>
  <si>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</si>
  <si>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</si>
  <si>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</si>
  <si>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</si>
  <si>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</si>
  <si>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</si>
  <si>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</si>
  <si>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</si>
  <si>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</si>
  <si>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</si>
  <si>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</si>
  <si>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</si>
  <si>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</si>
  <si>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</si>
  <si>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</si>
  <si>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</si>
  <si>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</si>
  <si>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</si>
  <si>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</si>
  <si>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</si>
  <si>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</si>
  <si>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</si>
  <si>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</si>
  <si>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</si>
  <si>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</si>
  <si>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</si>
  <si>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</si>
  <si>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</si>
  <si>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</si>
  <si>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</si>
  <si>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</si>
  <si>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</si>
  <si>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</si>
  <si>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</si>
  <si>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</si>
  <si>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</si>
  <si>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</si>
  <si>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</si>
  <si>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</si>
  <si>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</si>
  <si>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</si>
  <si>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</si>
  <si>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</si>
  <si>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</si>
  <si>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</si>
  <si>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</si>
  <si>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</si>
  <si>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</si>
  <si>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</si>
  <si>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</si>
  <si>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</si>
  <si>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</si>
  <si>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</si>
  <si>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</si>
  <si>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</si>
  <si>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</si>
  <si>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</si>
  <si>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</si>
  <si>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</si>
  <si>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</si>
  <si>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</si>
  <si>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</si>
  <si>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</si>
  <si>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</si>
  <si>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</si>
  <si>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</si>
  <si>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</si>
  <si>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</si>
  <si>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</si>
  <si>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</si>
  <si>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</si>
  <si>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</si>
  <si>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</si>
  <si>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</si>
  <si>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</si>
  <si>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</si>
  <si>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</si>
  <si>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</si>
  <si>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</si>
  <si>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</si>
  <si>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</si>
  <si>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</si>
  <si>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</si>
  <si>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</si>
  <si>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</si>
  <si>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</si>
  <si>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</si>
  <si>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</si>
  <si>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</si>
  <si>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</si>
  <si>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</si>
  <si>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</si>
  <si>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</si>
  <si>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</si>
  <si>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</si>
  <si>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</si>
  <si>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</si>
  <si>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</si>
  <si>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</si>
  <si>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</si>
  <si>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</si>
  <si>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</si>
  <si>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</si>
  <si>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</si>
  <si>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</si>
  <si>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</si>
  <si>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</si>
  <si>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</si>
  <si>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</si>
  <si>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</si>
  <si>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</si>
  <si>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</si>
  <si>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</si>
  <si>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</si>
  <si>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</si>
  <si>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</si>
  <si>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</si>
  <si>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</si>
  <si>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</si>
  <si>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</si>
  <si>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</si>
  <si>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</si>
  <si>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</si>
  <si>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</si>
  <si>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</si>
  <si>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</si>
  <si>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</si>
  <si>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</si>
  <si>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</si>
  <si>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</si>
  <si>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</si>
  <si>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</si>
  <si>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</si>
  <si>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</si>
  <si>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</si>
  <si>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</si>
  <si>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</si>
  <si>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</si>
  <si>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</si>
  <si>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</si>
  <si>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</si>
  <si>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</si>
  <si>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</si>
  <si>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</si>
  <si>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</si>
  <si>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</si>
  <si>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</si>
  <si>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</si>
  <si>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</si>
  <si>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</si>
  <si>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</si>
  <si>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</si>
  <si>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</si>
  <si>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</si>
  <si>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</si>
  <si>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</si>
  <si>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</si>
  <si>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</si>
  <si>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</si>
  <si>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</si>
  <si>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</si>
  <si>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</si>
  <si>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</si>
  <si>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</si>
  <si>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</si>
  <si>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</si>
  <si>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</si>
  <si>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</si>
  <si>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</si>
  <si>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</si>
  <si>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</si>
  <si>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</si>
  <si>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</si>
  <si>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</si>
  <si>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</si>
  <si>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</si>
  <si>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</si>
  <si>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</si>
  <si>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</si>
  <si>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</si>
  <si>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</si>
  <si>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</si>
  <si>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</si>
  <si>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</si>
  <si>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</si>
  <si>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</si>
  <si>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</si>
  <si>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</si>
  <si>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</si>
  <si>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</si>
  <si>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</si>
  <si>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</si>
  <si>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</si>
  <si>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</si>
  <si>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</si>
  <si>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</si>
  <si>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</si>
  <si>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</si>
  <si>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</si>
  <si>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</si>
  <si>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</si>
  <si>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</si>
  <si>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</si>
  <si>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</si>
  <si>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</si>
  <si>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</si>
  <si>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</si>
  <si>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</si>
  <si>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</si>
  <si>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</si>
  <si>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</si>
  <si>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</si>
  <si>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</si>
  <si>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</si>
  <si>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</si>
  <si>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</si>
  <si>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</si>
  <si>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</si>
  <si>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</si>
  <si>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</si>
  <si>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</si>
  <si>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</si>
  <si>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</si>
  <si>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</si>
  <si>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</si>
  <si>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</si>
  <si>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</si>
  <si>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</si>
  <si>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</si>
  <si>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</si>
  <si>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</si>
  <si>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</si>
  <si>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</si>
  <si>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</si>
  <si>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</si>
  <si>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</si>
  <si>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</si>
  <si>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</si>
  <si>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</si>
  <si>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</si>
  <si>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</si>
  <si>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</si>
  <si>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</si>
  <si>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</si>
  <si>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</si>
  <si>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</si>
  <si>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</si>
  <si>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</si>
  <si>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</si>
  <si>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</si>
  <si>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</si>
  <si>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</si>
  <si>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</si>
  <si>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</si>
  <si>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</si>
  <si>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</si>
  <si>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</si>
  <si>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</si>
  <si>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</si>
  <si>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</si>
  <si>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</si>
  <si>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</si>
  <si>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</si>
  <si>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</si>
  <si>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</si>
  <si>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</si>
  <si>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</si>
  <si>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</si>
  <si>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</si>
  <si>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</si>
  <si>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</si>
  <si>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</si>
  <si>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</si>
  <si>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</si>
  <si>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</si>
  <si>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</si>
  <si>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</si>
  <si>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</si>
  <si>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</si>
  <si>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</si>
  <si>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</si>
  <si>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</si>
  <si>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</si>
  <si>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</si>
  <si>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</si>
  <si>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</si>
  <si>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</si>
  <si>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</si>
  <si>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</si>
  <si>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</si>
  <si>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</si>
  <si>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</si>
  <si>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</si>
  <si>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</si>
  <si>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</si>
  <si>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</si>
  <si>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</si>
  <si>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</si>
  <si>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</si>
  <si>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</si>
  <si>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</si>
  <si>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</si>
  <si>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</si>
  <si>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</si>
  <si>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</si>
  <si>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</si>
  <si>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</si>
  <si>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</si>
  <si>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</si>
  <si>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</si>
  <si>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</si>
  <si>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</si>
  <si>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</si>
  <si>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</si>
  <si>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</si>
  <si>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</si>
  <si>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</si>
  <si>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</si>
  <si>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</si>
  <si>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</si>
  <si>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</si>
  <si>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</si>
  <si>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</si>
  <si>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</si>
  <si>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</si>
  <si>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</si>
  <si>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</si>
  <si>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</si>
  <si>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</si>
  <si>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</si>
  <si>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</si>
  <si>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</si>
  <si>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</si>
  <si>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</si>
  <si>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</si>
  <si>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</si>
  <si>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</si>
  <si>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</si>
  <si>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</si>
  <si>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</si>
  <si>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</si>
  <si>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</si>
  <si>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</si>
  <si>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</si>
  <si>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</si>
  <si>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</si>
  <si>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</si>
  <si>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</si>
  <si>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</si>
  <si>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</si>
  <si>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</si>
  <si>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</si>
  <si>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</si>
  <si>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</si>
  <si>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</si>
  <si>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</si>
  <si>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</si>
  <si>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</si>
  <si>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</si>
  <si>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</si>
  <si>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</si>
  <si>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</si>
  <si>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</si>
  <si>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</si>
  <si>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</si>
  <si>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</si>
  <si>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</si>
  <si>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</si>
  <si>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</si>
  <si>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</si>
  <si>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</si>
  <si>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</si>
  <si>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</si>
  <si>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</si>
  <si>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</si>
  <si>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</si>
  <si>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</si>
  <si>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</si>
  <si>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</si>
  <si>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</si>
  <si>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</si>
  <si>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</si>
  <si>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</si>
  <si>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</si>
  <si>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</si>
  <si>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</si>
  <si>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</si>
  <si>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</si>
  <si>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</si>
  <si>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</si>
  <si>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</si>
  <si>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</si>
  <si>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</si>
  <si>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</si>
  <si>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</si>
  <si>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</si>
  <si>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</si>
  <si>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</si>
  <si>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</si>
  <si>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</si>
  <si>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</si>
  <si>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</si>
  <si>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</si>
  <si>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</si>
  <si>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</si>
  <si>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</si>
  <si>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</si>
  <si>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</si>
  <si>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</si>
  <si>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</si>
  <si>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</si>
  <si>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</si>
  <si>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</si>
  <si>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</si>
  <si>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</si>
  <si>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</si>
  <si>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</si>
  <si>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</si>
  <si>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</si>
  <si>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</si>
  <si>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</si>
  <si>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</si>
  <si>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</si>
  <si>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</si>
  <si>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</si>
  <si>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</si>
  <si>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</si>
  <si>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</si>
  <si>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</si>
  <si>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</si>
  <si>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</si>
  <si>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</si>
  <si>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</si>
  <si>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</si>
  <si>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</si>
  <si>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</si>
  <si>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</si>
  <si>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</si>
  <si>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</si>
  <si>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</si>
  <si>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</si>
  <si>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</si>
  <si>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</si>
  <si>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</si>
  <si>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</si>
  <si>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</si>
  <si>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</si>
  <si>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</si>
  <si>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</si>
  <si>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</si>
  <si>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</si>
  <si>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</si>
  <si>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</si>
  <si>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</si>
  <si>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</si>
  <si>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</si>
  <si>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</si>
  <si>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</si>
  <si>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</si>
  <si>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</si>
  <si>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</si>
  <si>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</si>
  <si>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</si>
  <si>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</si>
  <si>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</si>
  <si>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</si>
  <si>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</si>
  <si>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</si>
  <si>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</si>
  <si>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</si>
  <si>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</si>
  <si>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</si>
  <si>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</si>
  <si>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</si>
  <si>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</si>
  <si>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</si>
  <si>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</si>
  <si>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</si>
  <si>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</si>
  <si>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</si>
  <si>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</si>
  <si>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</si>
  <si>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</si>
  <si>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</si>
  <si>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</si>
  <si>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</si>
  <si>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</si>
  <si>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</si>
  <si>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</si>
  <si>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</si>
  <si>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</si>
  <si>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</si>
  <si>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</si>
  <si>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</si>
  <si>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</si>
  <si>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</si>
  <si>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</si>
  <si>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</si>
  <si>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</si>
  <si>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</si>
  <si>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</si>
  <si>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</si>
  <si>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</si>
  <si>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</si>
  <si>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</si>
  <si>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</si>
  <si>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</si>
  <si>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</si>
  <si>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</si>
  <si>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</si>
  <si>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</si>
  <si>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</si>
  <si>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</si>
  <si>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</si>
  <si>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</si>
  <si>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</si>
  <si>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</si>
  <si>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</si>
  <si>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</si>
  <si>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</si>
  <si>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</si>
  <si>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</si>
  <si>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</si>
  <si>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</si>
  <si>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</si>
  <si>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</si>
  <si>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</si>
  <si>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</si>
  <si>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</si>
  <si>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</si>
  <si>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</si>
  <si>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</si>
  <si>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</si>
  <si>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</si>
  <si>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</si>
  <si>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</si>
  <si>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</si>
  <si>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</si>
  <si>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</si>
  <si>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</si>
  <si>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</si>
  <si>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</si>
  <si>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</si>
  <si>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</si>
  <si>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</si>
  <si>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</si>
  <si>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</si>
  <si>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</si>
  <si>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</si>
  <si>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</si>
  <si>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</si>
  <si>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</si>
  <si>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</si>
  <si>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</si>
  <si>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</si>
  <si>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</si>
  <si>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</si>
  <si>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</si>
  <si>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</si>
  <si>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</si>
  <si>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</si>
  <si>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</si>
  <si>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</si>
  <si>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</si>
  <si>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</si>
  <si>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</si>
  <si>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</si>
  <si>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</si>
  <si>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</si>
  <si>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</si>
  <si>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</si>
  <si>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</si>
  <si>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</si>
  <si>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</si>
  <si>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</si>
  <si>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</si>
  <si>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</si>
  <si>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</si>
  <si>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</si>
  <si>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</si>
  <si>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</si>
  <si>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</si>
  <si>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</si>
  <si>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</si>
  <si>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</si>
  <si>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</si>
  <si>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</si>
  <si>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</si>
  <si>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</si>
  <si>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</si>
  <si>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</si>
  <si>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</si>
  <si>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</si>
  <si>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</si>
  <si>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</si>
  <si>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</si>
  <si>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</si>
  <si>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</si>
  <si>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</si>
  <si>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</si>
  <si>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</si>
  <si>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</si>
  <si>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</si>
  <si>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</si>
  <si>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</si>
  <si>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</si>
  <si>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</si>
  <si>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</si>
  <si>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</si>
  <si>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</si>
  <si>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</si>
  <si>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</si>
  <si>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</si>
  <si>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</si>
  <si>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</si>
  <si>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</si>
  <si>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</si>
  <si>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</si>
  <si>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</si>
  <si>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</si>
  <si>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</si>
  <si>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</si>
  <si>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</si>
  <si>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</si>
  <si>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</si>
  <si>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</si>
  <si>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</si>
  <si>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</si>
  <si>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</si>
  <si>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</si>
  <si>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</si>
  <si>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</si>
  <si>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</si>
  <si>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</si>
  <si>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</si>
  <si>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</si>
  <si>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</si>
  <si>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</si>
  <si>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</si>
  <si>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</si>
  <si>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</si>
  <si>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</si>
  <si>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</si>
  <si>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</si>
  <si>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</si>
  <si>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</si>
  <si>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</si>
  <si>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</si>
  <si>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</si>
  <si>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</si>
  <si>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</si>
  <si>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</si>
  <si>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</si>
  <si>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</si>
  <si>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</si>
  <si>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</si>
  <si>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</si>
  <si>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</si>
  <si>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</si>
  <si>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</si>
  <si>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</si>
  <si>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</si>
  <si>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</si>
  <si>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</si>
  <si>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</si>
  <si>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</si>
  <si>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</si>
  <si>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</si>
  <si>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</si>
  <si>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</si>
  <si>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</si>
  <si>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</si>
  <si>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</si>
  <si>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</si>
  <si>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</si>
  <si>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</si>
  <si>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</si>
  <si>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</si>
  <si>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</si>
  <si>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</si>
  <si>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</si>
  <si>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</si>
  <si>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</si>
  <si>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</si>
  <si>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</si>
  <si>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</si>
  <si>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</si>
  <si>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</si>
  <si>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</si>
  <si>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</si>
  <si>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</si>
  <si>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</si>
  <si>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</si>
  <si>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</si>
  <si>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</si>
  <si>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</si>
  <si>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</si>
  <si>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</si>
  <si>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</si>
  <si>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</si>
  <si>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</si>
  <si>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</si>
  <si>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</si>
  <si>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</si>
  <si>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</si>
  <si>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</si>
  <si>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</si>
  <si>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</si>
  <si>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</si>
  <si>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</si>
  <si>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</si>
  <si>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</si>
  <si>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</si>
  <si>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</si>
  <si>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</si>
  <si>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</si>
  <si>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</si>
  <si>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</si>
  <si>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</si>
  <si>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</si>
  <si>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</si>
  <si>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</si>
  <si>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</si>
  <si>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</si>
  <si>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</si>
  <si>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</si>
  <si>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</si>
  <si>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</si>
  <si>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</si>
  <si>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</si>
  <si>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</si>
  <si>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</si>
  <si>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</si>
  <si>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</si>
  <si>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</si>
  <si>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</si>
  <si>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</si>
  <si>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</si>
  <si>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</si>
  <si>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</si>
  <si>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</si>
  <si>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</si>
  <si>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</si>
  <si>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</si>
  <si>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</si>
  <si>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</si>
  <si>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</si>
  <si>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</si>
  <si>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</si>
  <si>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</si>
  <si>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</si>
  <si>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</si>
  <si>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</si>
  <si>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</si>
  <si>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</si>
  <si>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</si>
  <si>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</si>
  <si>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</si>
  <si>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</si>
  <si>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</si>
  <si>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</si>
  <si>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</si>
  <si>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</si>
  <si>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</si>
  <si>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</si>
  <si>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</si>
  <si>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</si>
  <si>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</si>
  <si>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</si>
  <si>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</si>
  <si>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</si>
  <si>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</si>
  <si>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</si>
  <si>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</si>
  <si>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</si>
  <si>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</si>
  <si>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</si>
  <si>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</si>
  <si>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</si>
  <si>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</si>
  <si>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</si>
  <si>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</si>
  <si>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</si>
  <si>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</si>
  <si>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</si>
  <si>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</si>
  <si>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</si>
  <si>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</si>
  <si>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</si>
  <si>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</si>
  <si>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</si>
  <si>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</si>
  <si>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</si>
  <si>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</si>
  <si>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</si>
  <si>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</si>
  <si>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</si>
  <si>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</si>
  <si>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</si>
  <si>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</si>
  <si>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</si>
  <si>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</si>
  <si>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</si>
  <si>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</si>
  <si>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</si>
  <si>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</si>
  <si>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</si>
  <si>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</si>
  <si>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</si>
  <si>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</si>
  <si>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</si>
  <si>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</si>
  <si>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</si>
  <si>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</si>
  <si>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</si>
  <si>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</si>
  <si>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</si>
  <si>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</si>
  <si>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</si>
  <si>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</si>
  <si>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</si>
  <si>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</si>
  <si>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</si>
  <si>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</si>
  <si>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</si>
  <si>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</si>
  <si>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</si>
  <si>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</si>
  <si>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</si>
  <si>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</si>
  <si>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</si>
  <si>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</si>
  <si>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</si>
  <si>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</si>
  <si>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</si>
  <si>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</si>
  <si>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</si>
  <si>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</si>
  <si>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</si>
  <si>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</si>
  <si>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</si>
  <si>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</si>
  <si>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</si>
  <si>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</si>
  <si>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</si>
  <si>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</si>
  <si>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</si>
  <si>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</si>
  <si>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</si>
  <si>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</si>
  <si>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</si>
  <si>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</si>
  <si>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</si>
  <si>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</si>
  <si>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</si>
  <si>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</si>
  <si>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</si>
  <si>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</si>
  <si>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</si>
  <si>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</si>
  <si>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</si>
  <si>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</si>
  <si>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</si>
  <si>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</si>
  <si>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</si>
  <si>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</si>
  <si>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</si>
  <si>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</si>
  <si>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</si>
  <si>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</si>
  <si>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</si>
  <si>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</si>
  <si>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</si>
  <si>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</si>
  <si>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</si>
  <si>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</si>
  <si>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</si>
  <si>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</si>
  <si>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</si>
  <si>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</si>
  <si>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</si>
  <si>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</si>
  <si>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</si>
  <si>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</si>
  <si>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</si>
  <si>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</si>
  <si>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</si>
  <si>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</si>
  <si>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</si>
  <si>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</si>
  <si>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</si>
  <si>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</si>
  <si>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</si>
  <si>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</si>
  <si>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</si>
  <si>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</si>
  <si>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</si>
  <si>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</si>
  <si>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</si>
  <si>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</si>
  <si>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</si>
  <si>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</si>
  <si>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</si>
  <si>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</si>
  <si>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</si>
  <si>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</si>
  <si>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</si>
  <si>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</si>
  <si>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</si>
  <si>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</si>
  <si>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</si>
  <si>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</si>
  <si>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</si>
  <si>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</si>
  <si>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</si>
  <si>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</si>
  <si>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</si>
  <si>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</si>
  <si>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</si>
  <si>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</si>
  <si>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</si>
  <si>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</si>
  <si>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</si>
  <si>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</si>
  <si>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</si>
  <si>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</si>
  <si>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</si>
  <si>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</si>
  <si>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</si>
  <si>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</si>
  <si>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</si>
  <si>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</si>
  <si>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</si>
  <si>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</si>
  <si>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</si>
  <si>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</si>
  <si>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</si>
  <si>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</si>
  <si>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</si>
  <si>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</si>
  <si>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</si>
  <si>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</si>
  <si>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</si>
  <si>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</si>
  <si>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</si>
  <si>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</si>
  <si>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</si>
  <si>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</si>
  <si>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</si>
  <si>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</si>
  <si>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</si>
  <si>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</si>
  <si>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</si>
  <si>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</si>
  <si>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</si>
  <si>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</si>
  <si>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</si>
  <si>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</si>
  <si>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</si>
  <si>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</si>
  <si>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</si>
  <si>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</si>
  <si>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</si>
  <si>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</si>
  <si>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</si>
  <si>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</si>
  <si>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</si>
  <si>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</si>
  <si>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</si>
  <si>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</si>
  <si>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</si>
  <si>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</si>
  <si>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</si>
  <si>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</si>
  <si>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</si>
  <si>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</si>
  <si>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</si>
  <si>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</si>
  <si>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</si>
  <si>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</si>
  <si>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</si>
  <si>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</si>
  <si>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</si>
  <si>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</si>
  <si>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</si>
  <si>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</si>
  <si>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</si>
  <si>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</si>
  <si>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</si>
  <si>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</si>
  <si>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</si>
  <si>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</si>
  <si>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</si>
  <si>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</si>
  <si>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</si>
  <si>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</si>
  <si>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</si>
  <si>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</si>
  <si>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</si>
  <si>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</si>
  <si>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</si>
  <si>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</si>
  <si>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</si>
  <si>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</si>
  <si>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</si>
  <si>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</si>
  <si>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</si>
  <si>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</si>
  <si>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</si>
  <si>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</si>
  <si>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</si>
  <si>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</si>
  <si>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</si>
  <si>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</si>
  <si>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</si>
  <si>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</si>
  <si>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</si>
  <si>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</si>
  <si>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</si>
  <si>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</si>
  <si>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</si>
  <si>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</si>
  <si>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</si>
  <si>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</si>
  <si>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</si>
  <si>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</si>
  <si>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</si>
  <si>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</si>
  <si>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</si>
  <si>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</si>
  <si>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</si>
  <si>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</si>
  <si>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</si>
  <si>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</si>
  <si>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</si>
  <si>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</si>
  <si>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</si>
  <si>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</si>
  <si>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</si>
  <si>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</si>
  <si>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</si>
  <si>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</si>
  <si>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</si>
  <si>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</si>
  <si>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</si>
  <si>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</si>
  <si>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</si>
  <si>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</si>
  <si>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</si>
  <si>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</si>
  <si>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</si>
  <si>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</si>
  <si>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</si>
  <si>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</si>
  <si>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</si>
  <si>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</si>
  <si>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</si>
  <si>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</si>
  <si>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</si>
  <si>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</si>
  <si>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</si>
  <si>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</si>
  <si>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</si>
  <si>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</si>
  <si>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</si>
  <si>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</si>
  <si>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</si>
  <si>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</si>
  <si>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</si>
  <si>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</si>
  <si>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</si>
  <si>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</si>
  <si>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</si>
  <si>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</si>
  <si>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</si>
  <si>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</si>
  <si>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</si>
  <si>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</si>
  <si>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</si>
  <si>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</si>
  <si>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</si>
  <si>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</si>
  <si>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</si>
  <si>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</si>
  <si>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</si>
  <si>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</si>
  <si>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</si>
  <si>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</si>
  <si>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</si>
  <si>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</si>
  <si>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</si>
  <si>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</si>
  <si>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</si>
  <si>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</si>
  <si>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</si>
  <si>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</si>
  <si>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</si>
  <si>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</si>
  <si>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</si>
  <si>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</si>
  <si>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</si>
  <si>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</si>
  <si>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</si>
  <si>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</si>
  <si>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</si>
  <si>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</si>
  <si>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</si>
  <si>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</si>
  <si>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</si>
  <si>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</si>
  <si>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</si>
  <si>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</si>
  <si>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</si>
  <si>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</si>
  <si>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</si>
  <si>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</si>
  <si>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</si>
  <si>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</si>
  <si>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</si>
  <si>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</si>
  <si>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</si>
  <si>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</si>
  <si>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</si>
  <si>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</si>
  <si>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</si>
  <si>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</si>
  <si>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</si>
  <si>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</si>
  <si>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</si>
  <si>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</si>
  <si>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</si>
  <si>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</si>
  <si>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</si>
  <si>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</si>
  <si>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</si>
  <si>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</si>
  <si>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</si>
  <si>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</si>
  <si>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</si>
  <si>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</si>
  <si>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</si>
  <si>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</si>
  <si>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</si>
  <si>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</si>
  <si>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</si>
  <si>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</si>
  <si>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</si>
  <si>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</si>
  <si>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</si>
  <si>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</si>
  <si>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</si>
  <si>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</si>
  <si>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</si>
  <si>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</si>
  <si>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</si>
  <si>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</si>
  <si>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</si>
  <si>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</si>
  <si>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</si>
  <si>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</si>
  <si>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</si>
  <si>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</si>
  <si>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</si>
  <si>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</si>
  <si>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</si>
  <si>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</si>
  <si>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</si>
  <si>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</si>
  <si>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</si>
  <si>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</si>
  <si>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</si>
  <si>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</si>
  <si>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</si>
  <si>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</si>
  <si>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</si>
  <si>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</si>
  <si>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</si>
  <si>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</si>
  <si>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</si>
  <si>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</si>
  <si>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</si>
  <si>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</si>
  <si>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</si>
  <si>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</si>
  <si>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</si>
  <si>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</si>
  <si>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</si>
  <si>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</si>
  <si>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</si>
  <si>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</si>
  <si>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</si>
  <si>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</si>
  <si>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</si>
  <si>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</si>
  <si>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</si>
  <si>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</si>
  <si>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</si>
  <si>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</si>
  <si>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</si>
  <si>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</si>
  <si>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</si>
  <si>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</si>
  <si>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</si>
  <si>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</si>
  <si>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</si>
  <si>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</si>
  <si>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</si>
  <si>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</si>
  <si>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</si>
  <si>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</si>
  <si>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</si>
  <si>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</si>
  <si>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</si>
  <si>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</si>
  <si>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</si>
  <si>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</si>
  <si>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</si>
  <si>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</si>
  <si>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</si>
  <si>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</si>
  <si>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</si>
  <si>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</si>
  <si>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</si>
  <si>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</si>
  <si>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</si>
  <si>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</si>
  <si>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</si>
  <si>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</si>
  <si>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</si>
  <si>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</si>
  <si>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</si>
  <si>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</si>
  <si>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</si>
  <si>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</si>
  <si>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</si>
  <si>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</si>
  <si>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</si>
  <si>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</si>
  <si>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</si>
  <si>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</si>
  <si>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</si>
  <si>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</si>
  <si>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</si>
  <si>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</si>
  <si>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</si>
  <si>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</si>
  <si>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</si>
  <si>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</si>
  <si>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</si>
  <si>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</si>
  <si>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</si>
  <si>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</si>
  <si>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</si>
  <si>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</si>
  <si>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</si>
  <si>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</si>
  <si>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</si>
  <si>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</si>
  <si>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</si>
  <si>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</si>
  <si>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</si>
  <si>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</si>
  <si>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</si>
  <si>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</si>
  <si>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</si>
  <si>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</si>
  <si>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</si>
  <si>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</si>
  <si>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</si>
  <si>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</si>
  <si>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</si>
  <si>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</si>
  <si>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</si>
  <si>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</si>
  <si>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</si>
  <si>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</si>
  <si>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</si>
  <si>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</si>
  <si>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</si>
  <si>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</si>
  <si>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</si>
  <si>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</si>
  <si>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</si>
  <si>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</si>
  <si>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</si>
  <si>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</si>
  <si>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</si>
  <si>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</si>
  <si>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</si>
  <si>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</si>
  <si>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</si>
  <si>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</si>
  <si>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</si>
  <si>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</si>
  <si>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</si>
  <si>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</si>
  <si>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</si>
  <si>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</si>
  <si>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</si>
  <si>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</si>
  <si>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</si>
  <si>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</si>
  <si>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</si>
  <si>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</si>
  <si>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</si>
  <si>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</si>
  <si>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</si>
  <si>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</si>
  <si>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</si>
  <si>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</si>
  <si>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</si>
  <si>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</si>
  <si>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</si>
  <si>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</si>
  <si>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</si>
  <si>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</si>
  <si>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</si>
  <si>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</si>
  <si>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</si>
  <si>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</si>
  <si>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</si>
  <si>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</si>
  <si>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</si>
  <si>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</si>
  <si>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</si>
  <si>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</si>
  <si>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</si>
  <si>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</si>
  <si>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</si>
  <si>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</si>
  <si>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</si>
  <si>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</si>
  <si>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</si>
  <si>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</si>
  <si>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</si>
  <si>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</si>
  <si>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</si>
  <si>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</si>
  <si>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</si>
  <si>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</si>
  <si>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</si>
  <si>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</si>
  <si>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</si>
  <si>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</si>
  <si>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</si>
  <si>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</si>
  <si>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</si>
  <si>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</si>
  <si>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</si>
  <si>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</si>
  <si>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</si>
  <si>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</si>
  <si>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</si>
  <si>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</si>
  <si>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</si>
  <si>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</si>
  <si>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</si>
  <si>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</si>
  <si>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</si>
  <si>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</si>
  <si>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</si>
  <si>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</si>
  <si>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</si>
  <si>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</si>
  <si>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</si>
  <si>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</si>
  <si>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</si>
  <si>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</si>
  <si>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</si>
  <si>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</si>
  <si>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</si>
  <si>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</si>
  <si>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</si>
  <si>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</si>
  <si>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</si>
  <si>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</si>
  <si>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</si>
  <si>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</si>
  <si>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</si>
  <si>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</si>
  <si>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</si>
  <si>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</si>
  <si>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</si>
  <si>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</si>
  <si>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</si>
  <si>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</si>
  <si>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</si>
  <si>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</si>
  <si>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</si>
  <si>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</si>
  <si>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</si>
  <si>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</si>
  <si>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</si>
  <si>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</si>
  <si>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</si>
  <si>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</si>
  <si>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</si>
  <si>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</si>
  <si>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</si>
  <si>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</si>
  <si>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</si>
  <si>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</si>
  <si>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</si>
  <si>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</si>
  <si>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</si>
  <si>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</si>
  <si>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</si>
  <si>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</si>
  <si>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</si>
  <si>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</si>
  <si>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</si>
  <si>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</si>
  <si>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</si>
  <si>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</si>
  <si>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</si>
  <si>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</si>
  <si>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</si>
  <si>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</si>
  <si>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</si>
  <si>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</si>
  <si>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</si>
  <si>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</si>
  <si>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</si>
  <si>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</si>
  <si>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</si>
  <si>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</si>
  <si>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</si>
  <si>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</si>
  <si>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</si>
  <si>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</si>
  <si>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</si>
  <si>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</si>
  <si>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</si>
  <si>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</si>
  <si>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</si>
  <si>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</si>
  <si>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</si>
  <si>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</si>
  <si>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</si>
  <si>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</si>
  <si>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</si>
  <si>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</si>
  <si>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</si>
  <si>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</si>
  <si>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</si>
  <si>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</si>
  <si>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</si>
  <si>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</si>
  <si>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</si>
  <si>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</si>
  <si>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</si>
  <si>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</si>
  <si>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</si>
  <si>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</si>
  <si>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</si>
  <si>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</si>
  <si>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</si>
  <si>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</si>
  <si>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</si>
  <si>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</si>
  <si>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</si>
  <si>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</si>
  <si>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</si>
  <si>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</si>
  <si>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</si>
  <si>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</si>
  <si>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</si>
  <si>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</si>
  <si>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</si>
  <si>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</si>
  <si>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</si>
  <si>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</si>
  <si>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</si>
  <si>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</si>
  <si>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</si>
  <si>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</si>
  <si>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</si>
  <si>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</si>
  <si>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</si>
  <si>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</si>
  <si>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</si>
  <si>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</si>
  <si>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</si>
  <si>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</si>
  <si>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</si>
  <si>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</si>
  <si>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</si>
  <si>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</si>
  <si>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</si>
  <si>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</si>
  <si>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</si>
  <si>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</si>
  <si>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</si>
  <si>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</si>
  <si>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</si>
  <si>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</si>
  <si>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</si>
  <si>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</si>
  <si>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</si>
  <si>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</si>
  <si>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</si>
  <si>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</si>
  <si>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</si>
  <si>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</si>
  <si>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</si>
  <si>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</si>
  <si>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</si>
  <si>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</si>
  <si>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</si>
  <si>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</si>
  <si>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</si>
  <si>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</si>
  <si>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</si>
  <si>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</si>
  <si>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</si>
  <si>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</si>
  <si>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</si>
  <si>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</si>
  <si>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</si>
  <si>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</si>
  <si>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</si>
  <si>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</si>
  <si>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</si>
  <si>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</si>
  <si>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</si>
  <si>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</si>
  <si>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</si>
  <si>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</si>
  <si>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</si>
  <si>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</si>
  <si>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</si>
  <si>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</si>
  <si>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</si>
  <si>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</si>
  <si>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</si>
  <si>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</si>
  <si>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</si>
  <si>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</si>
  <si>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</si>
  <si>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</si>
  <si>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</si>
  <si>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</si>
  <si>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</si>
  <si>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</si>
  <si>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</si>
  <si>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</si>
  <si>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</si>
  <si>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</si>
  <si>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</si>
  <si>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</si>
  <si>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</si>
  <si>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</si>
  <si>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</si>
  <si>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</si>
  <si>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</si>
  <si>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</si>
  <si>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</si>
  <si>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</si>
  <si>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</si>
  <si>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</si>
  <si>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</si>
  <si>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</si>
  <si>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</si>
  <si>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</si>
  <si>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</si>
  <si>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</si>
  <si>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</si>
  <si>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</si>
  <si>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</si>
  <si>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</si>
  <si>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</si>
  <si>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</si>
  <si>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</si>
  <si>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</si>
  <si>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</si>
  <si>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</si>
  <si>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</si>
  <si>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</si>
  <si>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</si>
  <si>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</si>
  <si>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</si>
  <si>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</si>
  <si>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</si>
  <si>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</si>
  <si>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</si>
  <si>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</si>
  <si>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</si>
  <si>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</si>
  <si>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</si>
  <si>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</si>
  <si>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</si>
  <si>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</si>
  <si>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</si>
  <si>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</si>
  <si>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</si>
  <si>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</si>
  <si>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</si>
  <si>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</si>
  <si>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</si>
  <si>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</si>
  <si>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</si>
  <si>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</si>
  <si>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</si>
  <si>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</si>
  <si>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</si>
  <si>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</si>
  <si>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</si>
  <si>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</si>
  <si>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</si>
  <si>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</si>
  <si>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</si>
  <si>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</si>
  <si>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</si>
  <si>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</si>
  <si>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</si>
  <si>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</si>
  <si>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</si>
  <si>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</si>
  <si>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</si>
  <si>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</si>
  <si>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</si>
  <si>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</si>
  <si>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</si>
  <si>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</si>
  <si>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</si>
  <si>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</si>
  <si>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</si>
  <si>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</si>
  <si>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</si>
  <si>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</si>
  <si>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</si>
  <si>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</si>
  <si>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</si>
  <si>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</si>
  <si>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</si>
  <si>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</si>
  <si>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</si>
  <si>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</si>
  <si>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</si>
  <si>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</si>
  <si>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</si>
  <si>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</si>
  <si>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</si>
  <si>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</si>
  <si>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</si>
  <si>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</si>
  <si>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</si>
  <si>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</si>
  <si>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</si>
  <si>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</si>
  <si>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</si>
  <si>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</si>
  <si>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</si>
  <si>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</si>
  <si>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</si>
  <si>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</si>
  <si>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</si>
  <si>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</si>
  <si>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</si>
  <si>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</si>
  <si>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</si>
  <si>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</si>
  <si>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</si>
  <si>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</si>
  <si>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</si>
  <si>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</si>
  <si>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</si>
  <si>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</si>
  <si>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</si>
  <si>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</si>
  <si>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</si>
  <si>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</si>
  <si>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</si>
  <si>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</si>
  <si>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</si>
  <si>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</si>
  <si>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</si>
  <si>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</si>
  <si>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</si>
  <si>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</si>
  <si>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</si>
  <si>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</si>
  <si>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</si>
  <si>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</si>
  <si>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</si>
  <si>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</si>
  <si>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</si>
  <si>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</si>
  <si>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</si>
  <si>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</si>
  <si>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</si>
  <si>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</si>
  <si>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</si>
  <si>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</si>
  <si>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</si>
  <si>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</si>
  <si>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</si>
  <si>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</si>
  <si>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</si>
  <si>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</si>
  <si>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</si>
  <si>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</si>
  <si>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</si>
  <si>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</si>
  <si>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</si>
  <si>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</si>
  <si>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</si>
  <si>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</si>
  <si>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</si>
  <si>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</si>
  <si>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</si>
  <si>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</si>
  <si>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</si>
  <si>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</si>
  <si>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</si>
  <si>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</si>
  <si>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</si>
  <si>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</si>
  <si>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</si>
  <si>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</si>
  <si>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</si>
  <si>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</si>
  <si>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</si>
  <si>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</si>
  <si>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</si>
  <si>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</si>
  <si>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</si>
  <si>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</si>
  <si>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</si>
  <si>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</si>
  <si>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</si>
  <si>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</si>
  <si>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</si>
  <si>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</si>
  <si>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</si>
  <si>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</si>
  <si>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</si>
  <si>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</si>
  <si>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</si>
  <si>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</si>
  <si>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</si>
  <si>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</si>
  <si>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</si>
  <si>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</si>
  <si>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</si>
  <si>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</si>
  <si>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</si>
  <si>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</si>
  <si>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</si>
  <si>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</si>
  <si>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</si>
  <si>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</si>
  <si>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</si>
  <si>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</si>
  <si>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</si>
  <si>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</si>
  <si>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</si>
  <si>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</si>
  <si>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</si>
  <si>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</si>
  <si>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</si>
  <si>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</si>
  <si>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</si>
  <si>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</si>
  <si>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</si>
  <si>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</si>
  <si>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</si>
  <si>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</si>
  <si>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</si>
  <si>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</si>
  <si>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</si>
  <si>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</si>
  <si>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</si>
  <si>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</si>
  <si>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</si>
  <si>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</si>
  <si>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</si>
  <si>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</si>
  <si>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</si>
  <si>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</si>
  <si>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</si>
  <si>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</si>
  <si>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</si>
  <si>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</si>
  <si>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</si>
  <si>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</si>
  <si>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</si>
  <si>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</si>
  <si>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</si>
  <si>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</si>
  <si>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</si>
  <si>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</si>
  <si>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</si>
  <si>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</si>
  <si>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</si>
  <si>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</si>
  <si>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</si>
  <si>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</si>
  <si>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</si>
  <si>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</si>
  <si>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</si>
  <si>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</si>
  <si>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</si>
  <si>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</si>
  <si>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</si>
  <si>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</si>
  <si>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</si>
  <si>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</si>
  <si>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</si>
  <si>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</si>
  <si>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</si>
  <si>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</si>
  <si>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</si>
  <si>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</si>
  <si>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</si>
  <si>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</si>
  <si>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</si>
  <si>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</si>
  <si>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</si>
  <si>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</si>
  <si>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</si>
  <si>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</si>
  <si>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</si>
  <si>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</si>
  <si>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</si>
  <si>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</si>
  <si>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</si>
  <si>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</si>
  <si>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</si>
  <si>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</si>
  <si>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</si>
  <si>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</si>
  <si>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</si>
  <si>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</si>
  <si>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</si>
  <si>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</si>
  <si>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</si>
  <si>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</si>
  <si>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</si>
  <si>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</si>
  <si>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</si>
  <si>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</si>
  <si>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</si>
  <si>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</si>
  <si>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</si>
  <si>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</si>
  <si>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</si>
  <si>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</si>
  <si>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</si>
  <si>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</si>
  <si>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</si>
  <si>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</si>
  <si>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</si>
  <si>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</si>
  <si>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</si>
  <si>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</si>
  <si>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</si>
  <si>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</si>
  <si>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</si>
  <si>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</si>
  <si>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</si>
  <si>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</si>
  <si>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</si>
  <si>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</si>
  <si>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</si>
  <si>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</si>
  <si>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</si>
  <si>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</si>
  <si>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</si>
  <si>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</si>
  <si>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</si>
  <si>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</si>
  <si>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</si>
  <si>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</si>
  <si>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</si>
  <si>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</si>
  <si>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</si>
  <si>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</si>
  <si>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</si>
  <si>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</si>
  <si>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</si>
  <si>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</si>
  <si>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</si>
  <si>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</si>
  <si>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</si>
  <si>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</si>
  <si>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</si>
  <si>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</si>
  <si>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</si>
  <si>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</si>
  <si>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</si>
  <si>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</si>
  <si>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</si>
  <si>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</si>
  <si>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</si>
  <si>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</si>
  <si>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</si>
  <si>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</si>
  <si>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</si>
  <si>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</si>
  <si>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</si>
  <si>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</si>
  <si>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</si>
  <si>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</si>
  <si>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</si>
  <si>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</si>
  <si>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</si>
  <si>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</si>
  <si>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</si>
  <si>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</si>
  <si>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</si>
  <si>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</si>
  <si>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</si>
  <si>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</si>
  <si>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</si>
  <si>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</si>
  <si>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</si>
  <si>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</si>
  <si>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</si>
  <si>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</si>
  <si>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</si>
  <si>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</si>
  <si>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</si>
  <si>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</si>
  <si>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</si>
  <si>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</si>
  <si>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</si>
  <si>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</si>
  <si>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</si>
  <si>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</si>
  <si>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</si>
  <si>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</si>
  <si>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</si>
  <si>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</si>
  <si>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</si>
  <si>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</si>
  <si>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</si>
  <si>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</si>
  <si>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</si>
  <si>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</si>
  <si>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</si>
  <si>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</si>
  <si>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</si>
  <si>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</si>
  <si>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</si>
  <si>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</si>
  <si>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</si>
  <si>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</si>
  <si>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</si>
  <si>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</si>
  <si>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</si>
  <si>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</si>
  <si>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</si>
  <si>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</si>
  <si>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</si>
  <si>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</si>
  <si>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</si>
  <si>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</si>
  <si>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</si>
  <si>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</si>
  <si>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</si>
  <si>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</si>
  <si>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</si>
  <si>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</si>
  <si>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</si>
  <si>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</si>
  <si>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</si>
  <si>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</si>
  <si>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</si>
  <si>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</si>
  <si>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</si>
  <si>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</si>
  <si>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</si>
  <si>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</si>
  <si>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</si>
  <si>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</si>
  <si>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</si>
  <si>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</si>
  <si>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</si>
  <si>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</si>
  <si>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</si>
  <si>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</si>
  <si>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</si>
  <si>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</si>
  <si>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</si>
  <si>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</si>
  <si>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</si>
  <si>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</si>
  <si>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</si>
  <si>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</si>
  <si>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</si>
  <si>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</si>
  <si>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</si>
  <si>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</si>
  <si>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</si>
  <si>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</si>
  <si>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</si>
  <si>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</si>
  <si>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</si>
  <si>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</si>
  <si>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</si>
  <si>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</si>
  <si>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</si>
  <si>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</si>
  <si>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</si>
  <si>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</si>
  <si>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</si>
  <si>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</si>
  <si>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</si>
  <si>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</si>
  <si>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</si>
  <si>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</si>
  <si>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</si>
  <si>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</si>
  <si>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</si>
  <si>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</si>
  <si>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</si>
  <si>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</si>
  <si>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</si>
  <si>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</si>
  <si>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</si>
  <si>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</si>
  <si>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</si>
  <si>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</si>
  <si>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r>
      <rPr>
        <sz val="11"/>
        <color rgb="FF000000"/>
        <rFont val="华文细黑"/>
        <family val="3"/>
        <charset val="134"/>
      </rPr>
      <t>楼号</t>
    </r>
  </si>
  <si>
    <r>
      <rPr>
        <sz val="11"/>
        <color rgb="FF000000"/>
        <rFont val="华文细黑"/>
        <family val="3"/>
        <charset val="134"/>
      </rPr>
      <t>序号</t>
    </r>
  </si>
  <si>
    <r>
      <rPr>
        <sz val="11"/>
        <color rgb="FF000000"/>
        <rFont val="华文细黑"/>
        <family val="3"/>
        <charset val="134"/>
      </rPr>
      <t>租期起始</t>
    </r>
  </si>
  <si>
    <r>
      <rPr>
        <sz val="11"/>
        <color rgb="FF000000"/>
        <rFont val="华文细黑"/>
        <family val="3"/>
        <charset val="134"/>
      </rPr>
      <t>租期结束</t>
    </r>
  </si>
  <si>
    <r>
      <rPr>
        <sz val="11"/>
        <color rgb="FF000000"/>
        <rFont val="华文细黑"/>
        <family val="3"/>
        <charset val="134"/>
      </rPr>
      <t>租赁面积</t>
    </r>
  </si>
  <si>
    <r>
      <rPr>
        <sz val="11"/>
        <color rgb="FF000000"/>
        <rFont val="华文细黑"/>
        <family val="3"/>
        <charset val="134"/>
      </rPr>
      <t>年租金</t>
    </r>
  </si>
  <si>
    <r>
      <rPr>
        <sz val="11"/>
        <color rgb="FF000000"/>
        <rFont val="华文细黑"/>
        <family val="3"/>
        <charset val="134"/>
      </rPr>
      <t>单价</t>
    </r>
  </si>
  <si>
    <r>
      <rPr>
        <sz val="11"/>
        <color rgb="FF000000"/>
        <rFont val="华文细黑"/>
        <family val="3"/>
        <charset val="134"/>
      </rPr>
      <t>（万元）</t>
    </r>
  </si>
  <si>
    <r>
      <t>(</t>
    </r>
    <r>
      <rPr>
        <sz val="11"/>
        <color rgb="FF000000"/>
        <rFont val="华文细黑"/>
        <family val="3"/>
        <charset val="134"/>
      </rPr>
      <t>㎡</t>
    </r>
    <r>
      <rPr>
        <sz val="11"/>
        <color rgb="FF000000"/>
        <rFont val="Arial"/>
        <family val="2"/>
      </rPr>
      <t>)</t>
    </r>
    <phoneticPr fontId="143" type="noConversion"/>
  </si>
  <si>
    <r>
      <rPr>
        <sz val="11"/>
        <color rgb="FF000000"/>
        <rFont val="华文细黑"/>
        <family val="3"/>
        <charset val="134"/>
      </rPr>
      <t>（元</t>
    </r>
    <r>
      <rPr>
        <sz val="11"/>
        <color rgb="FF000000"/>
        <rFont val="Arial"/>
        <family val="2"/>
      </rPr>
      <t>/</t>
    </r>
    <r>
      <rPr>
        <sz val="11"/>
        <color rgb="FF000000"/>
        <rFont val="华文细黑"/>
        <family val="3"/>
        <charset val="134"/>
      </rPr>
      <t>天</t>
    </r>
    <r>
      <rPr>
        <sz val="11"/>
        <color rgb="FF000000"/>
        <rFont val="Arial"/>
        <family val="2"/>
      </rPr>
      <t>/</t>
    </r>
    <r>
      <rPr>
        <sz val="11"/>
        <color rgb="FF000000"/>
        <rFont val="华文细黑"/>
        <family val="3"/>
        <charset val="134"/>
      </rPr>
      <t>㎡）</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</si>
</sst>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
      <sz val="11"/>
      <color rgb="FF000000"/>
      <name val="华文细黑"/>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62"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10" fontId="0" fillId="0" borderId="0" xfId="0" applyNumberFormat="1">
      <alignment vertical="center"/>
    </xf>
    <xf numFmtId="0" fontId="255" fillId="0" borderId="1" xfId="10" applyFont="1" applyFill="1" applyBorder="1" applyAlignment="1">
      <alignment horizontal="center" vertical="center"/>
    </xf>
    <xf numFmtId="0" fontId="255" fillId="22" borderId="1" xfId="10" applyFont="1" applyFill="1" applyBorder="1" applyAlignment="1">
      <alignment horizontal="center" vertical="center"/>
    </xf>
    <xf numFmtId="0" fontId="255" fillId="22" borderId="1" xfId="10" applyFont="1" applyFill="1" applyBorder="1" applyAlignment="1">
      <alignment horizontal="left" vertical="center"/>
    </xf>
    <xf numFmtId="0" fontId="255" fillId="22" borderId="1" xfId="10" applyFont="1" applyFill="1" applyBorder="1" applyAlignment="1">
      <alignment horizontal="right" vertical="center"/>
    </xf>
    <xf numFmtId="192" fontId="255" fillId="22" borderId="1" xfId="10" applyNumberFormat="1" applyFont="1" applyFill="1" applyBorder="1" applyAlignment="1">
      <alignment horizontal="right" vertical="center"/>
    </xf>
    <xf numFmtId="0" fontId="255" fillId="0" borderId="1" xfId="10" applyFont="1" applyFill="1" applyBorder="1" applyAlignment="1">
      <alignment horizontal="right" vertical="center"/>
    </xf>
    <xf numFmtId="0" fontId="255" fillId="0" borderId="1" xfId="10" applyFont="1" applyFill="1" applyBorder="1" applyAlignment="1">
      <alignment horizontal="left" vertical="center"/>
    </xf>
    <xf numFmtId="192" fontId="255" fillId="0" borderId="1" xfId="10" applyNumberFormat="1" applyFont="1" applyFill="1" applyBorder="1" applyAlignment="1">
      <alignment horizontal="right" vertical="center"/>
    </xf>
    <xf numFmtId="0" fontId="255" fillId="5" borderId="1" xfId="10" applyFont="1" applyFill="1" applyBorder="1" applyAlignment="1">
      <alignment horizontal="center" vertical="center"/>
    </xf>
    <xf numFmtId="0" fontId="255" fillId="5" borderId="1" xfId="10" applyFont="1" applyFill="1" applyBorder="1" applyAlignment="1">
      <alignment horizontal="left" vertical="center"/>
    </xf>
    <xf numFmtId="0" fontId="255" fillId="5" borderId="1" xfId="10" applyFont="1" applyFill="1" applyBorder="1" applyAlignment="1">
      <alignment horizontal="right" vertical="center"/>
    </xf>
    <xf numFmtId="192" fontId="255" fillId="5" borderId="1" xfId="10" applyNumberFormat="1" applyFont="1" applyFill="1" applyBorder="1" applyAlignment="1">
      <alignment horizontal="right" vertical="center"/>
    </xf>
    <xf numFmtId="0" fontId="99" fillId="0" borderId="1" xfId="10" applyFill="1" applyBorder="1">
      <alignment vertical="center"/>
    </xf>
    <xf numFmtId="0" fontId="258" fillId="0" borderId="1" xfId="10" applyFont="1" applyFill="1" applyBorder="1" applyAlignment="1">
      <alignment horizontal="left" vertical="center"/>
    </xf>
    <xf numFmtId="192" fontId="258" fillId="0" borderId="1" xfId="10" applyNumberFormat="1" applyFont="1" applyFill="1" applyBorder="1" applyAlignment="1">
      <alignment horizontal="left" vertical="center"/>
    </xf>
    <xf numFmtId="0" fontId="104" fillId="0" borderId="1" xfId="10" applyFont="1" applyFill="1" applyBorder="1" applyAlignment="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1" xfId="10" applyFont="1" applyFill="1" applyBorder="1" applyAlignment="1">
      <alignment horizontal="center" vertical="center"/>
    </xf>
    <xf numFmtId="0" fontId="258" fillId="0" borderId="1" xfId="10" applyFont="1" applyFill="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99456</v>
      </c>
    </row>
    <row r="21" spans="1:2" s="1597" customFormat="1">
      <c r="A21" s="1595" t="s">
        <v>1236</v>
      </c>
      <c r="B21" s="1596">
        <f ca="1">'预评函-2'!D7</f>
        <v>35676</v>
      </c>
    </row>
    <row r="22" spans="1:2" s="1597" customFormat="1">
      <c r="A22" s="1595" t="s">
        <v>1237</v>
      </c>
      <c r="B22" s="1596" t="str">
        <f ca="1">'预评函-2'!D6</f>
        <v>玖亿玖仟肆佰伍拾陆万元整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99456</v>
      </c>
    </row>
    <row r="31" spans="1:2" s="1597" customFormat="1">
      <c r="A31" s="1595" t="s">
        <v>1275</v>
      </c>
      <c r="B31" s="1596">
        <f ca="1">'预评函-2'!D15</f>
        <v>35676</v>
      </c>
    </row>
    <row r="32" spans="1:2" s="1597" customFormat="1">
      <c r="A32" s="1595" t="s">
        <v>1242</v>
      </c>
      <c r="B32" s="1596" t="str">
        <f ca="1">'预评函-2'!D14</f>
        <v>玖亿玖仟肆佰伍拾陆万元整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27877.57</v>
      </c>
    </row>
    <row r="44" spans="1:2" s="1597" customFormat="1">
      <c r="A44" s="1595" t="s">
        <v>1274</v>
      </c>
      <c r="B44" s="1596" t="str">
        <f>'预评函-3'!C2</f>
        <v>(分摊)土地面积</v>
      </c>
    </row>
    <row r="45" spans="1:2" s="1597" customFormat="1">
      <c r="A45" s="1595" t="s">
        <v>1246</v>
      </c>
      <c r="B45" s="1596">
        <f>'预评函-3'!C4</f>
        <v>34936.35</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3264</v>
      </c>
      <c r="C17" s="2019"/>
    </row>
    <row r="18" spans="1:3">
      <c r="A18" s="2018" t="s">
        <v>1769</v>
      </c>
      <c r="B18" s="2018" t="s">
        <v>3266</v>
      </c>
      <c r="C18" s="2019"/>
    </row>
    <row r="19" spans="1:3">
      <c r="A19" s="2018" t="s">
        <v>1770</v>
      </c>
      <c r="B19" s="2018" t="s">
        <v>3267</v>
      </c>
      <c r="C19" s="2019"/>
    </row>
    <row r="20" spans="1:3">
      <c r="A20" s="2018" t="s">
        <v>1771</v>
      </c>
      <c r="B20" s="2018" t="s">
        <v>3269</v>
      </c>
      <c r="C20" s="2019"/>
    </row>
    <row r="21" spans="1:3">
      <c r="A21" s="2018" t="s">
        <v>1772</v>
      </c>
      <c r="B21" s="2018" t="s">
        <v>3270</v>
      </c>
      <c r="C21" s="2019"/>
    </row>
    <row r="22" spans="1:3">
      <c r="A22" s="2018" t="s">
        <v>1773</v>
      </c>
      <c r="B22" s="2018" t="s">
        <v>3271</v>
      </c>
      <c r="C22" s="2019"/>
    </row>
    <row r="23" spans="1:3">
      <c r="A23" s="2018" t="s">
        <v>1774</v>
      </c>
      <c r="B23" s="2018" t="s">
        <v>3272</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1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18"/>
      <c r="B54" s="2026" t="s">
        <v>864</v>
      </c>
      <c r="C54" s="2023" t="s">
        <v>1282</v>
      </c>
    </row>
    <row r="55" spans="1:4">
      <c r="A55" s="3118"/>
      <c r="B55" s="2026" t="s">
        <v>865</v>
      </c>
      <c r="C55" s="2023" t="s">
        <v>1283</v>
      </c>
    </row>
    <row r="56" spans="1:4">
      <c r="A56" s="3118"/>
      <c r="B56" s="2026" t="s">
        <v>866</v>
      </c>
      <c r="C56" s="2023" t="s">
        <v>1287</v>
      </c>
    </row>
    <row r="57" spans="1:4">
      <c r="A57" s="311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27"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28"/>
      <c r="D1" s="3128"/>
      <c r="E1" s="3128"/>
      <c r="F1" s="3128"/>
      <c r="G1" s="3128"/>
      <c r="H1" s="3128"/>
      <c r="I1" s="3129"/>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3037</v>
      </c>
      <c r="C4" s="1040">
        <f ca="1">SUMIF(注册房地产估价师,B4,估价师及机构信息!B3:B24)</f>
        <v>1419970001</v>
      </c>
      <c r="D4" s="2043" t="s">
        <v>3038</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3039</v>
      </c>
      <c r="C8" s="2059"/>
      <c r="D8" s="3130" t="s">
        <v>1787</v>
      </c>
      <c r="E8" s="2060" t="s">
        <v>3040</v>
      </c>
      <c r="F8" s="2061"/>
      <c r="G8" s="2030"/>
      <c r="H8" s="2030"/>
      <c r="I8" s="2030"/>
      <c r="J8" s="2046"/>
      <c r="K8" s="2047"/>
      <c r="L8" s="2032"/>
      <c r="M8" s="2032"/>
      <c r="N8" s="2033"/>
      <c r="O8" s="2034"/>
      <c r="P8" s="2033"/>
      <c r="Q8" s="2033"/>
      <c r="R8" s="2033"/>
    </row>
    <row r="9" spans="1:19" ht="18" customHeight="1" thickBot="1">
      <c r="A9" s="2044" t="s">
        <v>1788</v>
      </c>
      <c r="B9" s="2062" t="s">
        <v>3041</v>
      </c>
      <c r="C9" s="2063"/>
      <c r="D9" s="3131"/>
      <c r="E9" s="2062" t="s">
        <v>70</v>
      </c>
      <c r="F9" s="2064"/>
      <c r="G9" s="2065"/>
      <c r="H9" s="2065"/>
      <c r="I9" s="2065"/>
      <c r="J9" s="2046"/>
      <c r="K9" s="2057"/>
      <c r="L9" s="2032"/>
      <c r="M9" s="2032"/>
      <c r="N9" s="2033"/>
      <c r="O9" s="2034"/>
      <c r="P9" s="2033"/>
      <c r="Q9" s="2033"/>
      <c r="R9" s="2033"/>
    </row>
    <row r="10" spans="1:19" ht="18" customHeight="1" thickTop="1">
      <c r="A10" s="2066" t="s">
        <v>1789</v>
      </c>
      <c r="B10" s="2067" t="s">
        <v>3042</v>
      </c>
      <c r="C10" s="2068"/>
      <c r="D10" s="2050"/>
      <c r="E10" s="2069" t="s">
        <v>1790</v>
      </c>
      <c r="F10" s="2070" t="s">
        <v>3043</v>
      </c>
      <c r="G10" s="2071"/>
      <c r="H10" s="2072"/>
      <c r="I10" s="2050"/>
      <c r="J10" s="2046"/>
      <c r="K10" s="2057"/>
      <c r="L10" s="2032"/>
      <c r="M10" s="2032"/>
      <c r="N10" s="2033"/>
      <c r="O10" s="2034"/>
      <c r="P10" s="2033"/>
      <c r="Q10" s="2033"/>
      <c r="R10" s="2033"/>
    </row>
    <row r="11" spans="1:19" ht="18" customHeight="1">
      <c r="A11" s="2073" t="s">
        <v>1791</v>
      </c>
      <c r="B11" s="2074" t="s">
        <v>3044</v>
      </c>
      <c r="C11" s="2928" t="s">
        <v>3070</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3046</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37" t="s">
        <v>3047</v>
      </c>
      <c r="C16" s="3138"/>
      <c r="D16" s="3139"/>
      <c r="E16" s="2088" t="s">
        <v>1804</v>
      </c>
      <c r="F16" s="3140" t="s">
        <v>3071</v>
      </c>
      <c r="G16" s="3141"/>
      <c r="H16" s="3141"/>
      <c r="I16" s="3142"/>
      <c r="J16" s="2033"/>
      <c r="K16" s="2085"/>
      <c r="L16" s="2086"/>
      <c r="M16" s="2086"/>
      <c r="N16" s="2087"/>
      <c r="O16" s="2086"/>
      <c r="P16" s="2087"/>
      <c r="Q16" s="2033"/>
      <c r="R16" s="2033"/>
    </row>
    <row r="17" spans="1:22" ht="18" customHeight="1">
      <c r="A17" s="2089" t="s">
        <v>1805</v>
      </c>
      <c r="B17" s="2039" t="s">
        <v>1806</v>
      </c>
      <c r="C17" s="1057">
        <f>'数据-汇总表'!E3</f>
        <v>27877.57</v>
      </c>
      <c r="D17" s="2090" t="s">
        <v>1807</v>
      </c>
      <c r="E17" s="3143" t="s">
        <v>1808</v>
      </c>
      <c r="F17" s="3144"/>
      <c r="G17" s="3144"/>
      <c r="H17" s="3144"/>
      <c r="I17" s="3145"/>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34936.35</v>
      </c>
      <c r="D18" s="2093" t="s">
        <v>1807</v>
      </c>
      <c r="E18" s="3146" t="s">
        <v>1810</v>
      </c>
      <c r="F18" s="3147"/>
      <c r="G18" s="3147"/>
      <c r="H18" s="3147"/>
      <c r="I18" s="3148"/>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3048</v>
      </c>
      <c r="D19" s="2095" t="s">
        <v>1813</v>
      </c>
      <c r="E19" s="2096" t="s">
        <v>3048</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33" t="s">
        <v>1815</v>
      </c>
      <c r="C20" s="3134"/>
      <c r="D20" s="3135" t="s">
        <v>1816</v>
      </c>
      <c r="E20" s="3136"/>
      <c r="F20" s="2100" t="s">
        <v>1817</v>
      </c>
      <c r="G20" s="2046"/>
      <c r="H20" s="2046"/>
      <c r="I20" s="2046"/>
      <c r="J20" s="2046"/>
      <c r="K20" s="3132"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3049</v>
      </c>
      <c r="D22" s="2030"/>
      <c r="E22" s="2030"/>
      <c r="F22" s="2107"/>
      <c r="G22" s="2046"/>
      <c r="H22" s="2046"/>
      <c r="I22" s="2046"/>
      <c r="J22" s="2046"/>
      <c r="K22" s="3132"/>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20" t="s">
        <v>1828</v>
      </c>
      <c r="B27" s="2066" t="s">
        <v>1829</v>
      </c>
      <c r="C27" s="2122" t="s">
        <v>3050</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20"/>
      <c r="B28" s="2039" t="s">
        <v>1830</v>
      </c>
      <c r="C28" s="2124" t="s">
        <v>3051</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20"/>
      <c r="B29" s="2039" t="s">
        <v>1831</v>
      </c>
      <c r="C29" s="2127" t="s">
        <v>3048</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21"/>
      <c r="B30" s="2039" t="s">
        <v>1832</v>
      </c>
      <c r="C30" s="3122"/>
      <c r="D30" s="3123"/>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24" t="s">
        <v>1833</v>
      </c>
      <c r="B31" s="2129" t="s">
        <v>3052</v>
      </c>
      <c r="C31" s="2130" t="str">
        <f>IF(B31="现房","成新及维护状况正常否",IF(B31="在建","工程状态是否正常",IF(B31="土地","是否闲置","-")))</f>
        <v>成新及维护状况正常否</v>
      </c>
      <c r="D31" s="2131"/>
      <c r="E31" s="2930" t="s">
        <v>3053</v>
      </c>
      <c r="F31" s="2046"/>
      <c r="G31" s="2046"/>
      <c r="H31" s="2046"/>
      <c r="I31" s="2046"/>
      <c r="J31" s="2046"/>
      <c r="K31" s="2055"/>
      <c r="L31" s="2032"/>
      <c r="M31" s="2032"/>
      <c r="N31" s="2033"/>
      <c r="O31" s="2034"/>
      <c r="P31" s="2033"/>
      <c r="Q31" s="2033"/>
      <c r="R31" s="2033"/>
      <c r="S31" s="2033"/>
      <c r="T31" s="2033"/>
      <c r="U31" s="2033"/>
      <c r="V31" s="2033"/>
    </row>
    <row r="32" spans="1:22" ht="18" customHeight="1">
      <c r="A32" s="3125"/>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25"/>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3054</v>
      </c>
      <c r="C34" s="2136" t="s">
        <v>3055</v>
      </c>
      <c r="D34" s="2136" t="s">
        <v>3056</v>
      </c>
      <c r="E34" s="2136" t="s">
        <v>3057</v>
      </c>
      <c r="F34" s="2136" t="s">
        <v>3058</v>
      </c>
      <c r="G34" s="2136"/>
      <c r="H34" s="2136"/>
      <c r="I34" s="2046"/>
      <c r="J34" s="2046"/>
      <c r="K34" s="1799">
        <f>COUNTIF(B34:H34,"——")</f>
        <v>0</v>
      </c>
      <c r="L34" s="2077" t="s">
        <v>1835</v>
      </c>
      <c r="M34" s="2077" t="s">
        <v>1836</v>
      </c>
      <c r="N34" s="2077" t="s">
        <v>1837</v>
      </c>
      <c r="O34" s="2077" t="s">
        <v>1838</v>
      </c>
      <c r="P34" s="2077" t="s">
        <v>1839</v>
      </c>
      <c r="Q34" s="2077" t="s">
        <v>1840</v>
      </c>
      <c r="R34" s="2077" t="s">
        <v>1841</v>
      </c>
      <c r="S34" s="3119" t="s">
        <v>1842</v>
      </c>
      <c r="T34" s="2137" t="str">
        <f>NUMBERSTRING(7-K34,1)&amp;"通"</f>
        <v>七通</v>
      </c>
      <c r="U34" s="2033"/>
      <c r="V34" s="2033"/>
    </row>
    <row r="35" spans="1:22" ht="18" customHeight="1">
      <c r="A35" s="2138"/>
      <c r="B35" s="3126" t="s">
        <v>1843</v>
      </c>
      <c r="C35" s="3126"/>
      <c r="D35" s="3126"/>
      <c r="E35" s="3126"/>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19"/>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27877.57</v>
      </c>
      <c r="BA5" s="17">
        <f t="shared" si="1"/>
        <v>27877.57</v>
      </c>
      <c r="BB5" s="17">
        <f t="shared" si="1"/>
        <v>27877.57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34936.35</v>
      </c>
      <c r="AZ6" s="15" t="s">
        <v>3</v>
      </c>
      <c r="BA6" s="15">
        <f>ROUND($AY$6*BA5/$AZ$5,2)</f>
        <v>34936.35</v>
      </c>
      <c r="BB6" s="15">
        <f>ROUND($AY$6*BB5/$AZ$5,2)</f>
        <v>34936.35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3059</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3060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3235</v>
      </c>
      <c r="D13" s="2216" t="s">
        <v>3234</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34936.35</v>
      </c>
      <c r="AZ13" s="15">
        <f>BA13+BL13</f>
        <v>27877.57</v>
      </c>
      <c r="BA13" s="15">
        <f>SUM(BB13:BK13)</f>
        <v>27877.57</v>
      </c>
      <c r="BB13" s="15">
        <f>IF($D13="是",I13-J13,0)</f>
        <v>27877.57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3236</v>
      </c>
      <c r="D14" s="2216" t="s">
        <v>3048</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3237</v>
      </c>
      <c r="D15" s="2216" t="s">
        <v>3048</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28.5">
      <c r="A3" s="3149"/>
      <c r="B3" s="3149"/>
      <c r="C3" s="3149"/>
      <c r="D3" s="3150"/>
      <c r="E3" s="31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60" t="s">
        <v>1939</v>
      </c>
      <c r="B2" s="3160"/>
      <c r="C2" s="3160"/>
      <c r="D2" s="970" t="s">
        <v>1915</v>
      </c>
      <c r="E2" s="2230" t="s">
        <v>1916</v>
      </c>
      <c r="F2" s="1395"/>
      <c r="G2" s="2231"/>
      <c r="H2" s="2232"/>
      <c r="I2" s="2233" t="s">
        <v>1940</v>
      </c>
      <c r="J2" s="1395"/>
      <c r="K2" s="1395"/>
      <c r="L2" s="1395"/>
      <c r="M2" s="1395"/>
      <c r="N2" s="1430"/>
      <c r="O2" s="1395"/>
      <c r="P2" s="1395"/>
    </row>
    <row r="3" spans="1:16" ht="15.75" thickBot="1">
      <c r="A3" s="3161" t="s">
        <v>1913</v>
      </c>
      <c r="B3" s="3161"/>
      <c r="C3" s="3161"/>
      <c r="D3" s="45">
        <f>'数据-基础表'!AY6</f>
        <v>34936.35</v>
      </c>
      <c r="E3" s="45">
        <f>'数据-基础表'!AZ5</f>
        <v>27877.57</v>
      </c>
      <c r="F3" s="1395"/>
      <c r="G3" s="1402"/>
      <c r="H3" s="1250" t="s">
        <v>1914</v>
      </c>
      <c r="I3" s="54">
        <f>ROUND('数据-基础表'!B3/'数据-基础表'!A3,2)</f>
        <v>0.8</v>
      </c>
      <c r="J3" s="1395"/>
      <c r="K3" s="1395"/>
      <c r="L3" s="1395"/>
      <c r="M3" s="1395"/>
      <c r="N3" s="1430"/>
      <c r="O3" s="1395"/>
      <c r="P3" s="1395"/>
    </row>
    <row r="4" spans="1:16" ht="15">
      <c r="A4" s="3162"/>
      <c r="B4" s="3163"/>
      <c r="C4" s="3164"/>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65" t="s">
        <v>1918</v>
      </c>
      <c r="C5" s="3165"/>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65" t="s">
        <v>1919</v>
      </c>
      <c r="C6" s="3165"/>
      <c r="D6" s="47">
        <f>ROUND($D$3*E6/$E$3,2)</f>
        <v>34936.35</v>
      </c>
      <c r="E6" s="48">
        <f>E3-E5</f>
        <v>27877.57</v>
      </c>
      <c r="F6" s="1395"/>
      <c r="G6" s="2238" t="s">
        <v>1920</v>
      </c>
      <c r="H6" s="1402" t="s">
        <v>1921</v>
      </c>
      <c r="I6" s="942">
        <f>ROUND(F31/D31,2)</f>
        <v>0.8</v>
      </c>
      <c r="J6" s="1395"/>
      <c r="K6" s="1395"/>
      <c r="L6" s="1395"/>
      <c r="M6" s="1395"/>
      <c r="N6" s="1395"/>
      <c r="O6" s="1395"/>
      <c r="P6" s="1395"/>
    </row>
    <row r="7" spans="1:16" ht="15">
      <c r="A7" s="3157"/>
      <c r="B7" s="3158"/>
      <c r="C7" s="3159"/>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34936.35</v>
      </c>
      <c r="E8" s="50">
        <f>SUMIF('数据-基础表'!BB10:BK10,"地上",'数据-基础表'!BB5:BK5)</f>
        <v>27877.57</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34936.35</v>
      </c>
      <c r="E16" s="52">
        <f>SUM(E8:E15)</f>
        <v>27877.57</v>
      </c>
      <c r="F16" s="1395"/>
      <c r="G16" s="2240"/>
      <c r="H16" s="2243" t="s">
        <v>1943</v>
      </c>
      <c r="I16" s="2244"/>
      <c r="J16" s="1395"/>
      <c r="K16" s="3154" t="s">
        <v>1943</v>
      </c>
      <c r="L16" s="3155"/>
      <c r="M16" s="3155"/>
      <c r="N16" s="3155"/>
      <c r="O16" s="3155"/>
      <c r="P16" s="3156"/>
    </row>
    <row r="17" spans="1:19" ht="15">
      <c r="A17" s="2245" t="s">
        <v>1944</v>
      </c>
      <c r="B17" s="2246" t="s">
        <v>1945</v>
      </c>
      <c r="C17" s="2247" t="s">
        <v>1946</v>
      </c>
      <c r="D17" s="2248" t="s">
        <v>1934</v>
      </c>
      <c r="E17" s="2249" t="s">
        <v>1935</v>
      </c>
      <c r="F17" s="2250"/>
      <c r="G17" s="2251"/>
      <c r="H17" s="2252" t="s">
        <v>1947</v>
      </c>
      <c r="I17" s="2253" t="s">
        <v>1932</v>
      </c>
      <c r="J17" s="1395"/>
      <c r="K17" s="3151" t="s">
        <v>1948</v>
      </c>
      <c r="L17" s="3152"/>
      <c r="M17" s="3153"/>
      <c r="N17" s="3151" t="s">
        <v>1949</v>
      </c>
      <c r="O17" s="3152"/>
      <c r="P17" s="3153"/>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t="s">
        <v>3238</v>
      </c>
      <c r="D19" s="47">
        <f>ROUND($D$3*E19/$E$3,2)</f>
        <v>34936.35</v>
      </c>
      <c r="E19" s="55">
        <f t="shared" ref="E19:E26" si="1">SUM(F19:G19)</f>
        <v>27877.57</v>
      </c>
      <c r="F19" s="56">
        <f>'数据-基础表'!I13</f>
        <v>27877.57</v>
      </c>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34936.35</v>
      </c>
      <c r="S19" s="1251">
        <f t="shared" si="5"/>
        <v>27877.57</v>
      </c>
    </row>
    <row r="20" spans="1:19">
      <c r="A20" s="2265"/>
      <c r="B20" s="49" t="s">
        <v>1961</v>
      </c>
      <c r="C20" s="3032"/>
      <c r="D20" s="47">
        <f t="shared" ref="D20:D26" si="6">ROUND($D$3*E20/$E$3,2)</f>
        <v>0</v>
      </c>
      <c r="E20" s="55">
        <f t="shared" si="1"/>
        <v>0</v>
      </c>
      <c r="F20" s="56"/>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49" t="s">
        <v>1961</v>
      </c>
      <c r="C21" s="3032"/>
      <c r="D21" s="47">
        <f t="shared" si="6"/>
        <v>0</v>
      </c>
      <c r="E21" s="55">
        <f t="shared" si="1"/>
        <v>0</v>
      </c>
      <c r="F21" s="56"/>
      <c r="G21" s="57"/>
      <c r="H21" s="723">
        <f t="shared" si="7"/>
        <v>0</v>
      </c>
      <c r="I21" s="50">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49" t="s">
        <v>1961</v>
      </c>
      <c r="C22" s="3040"/>
      <c r="D22" s="47">
        <f t="shared" si="6"/>
        <v>0</v>
      </c>
      <c r="E22" s="55">
        <f t="shared" si="1"/>
        <v>0</v>
      </c>
      <c r="F22" s="60"/>
      <c r="G22" s="61"/>
      <c r="H22" s="723">
        <f t="shared" si="7"/>
        <v>0</v>
      </c>
      <c r="I22" s="50">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34936.35</v>
      </c>
      <c r="E27" s="1397">
        <f>IF(SUM(E19:E26)='数据-基础表'!BA5,SUM(E19:E26),IF(F27="地上面积有误","面积有误","地下面积有误"))</f>
        <v>27877.57</v>
      </c>
      <c r="F27" s="1396">
        <f>IF(SUM(F19:F26)=E8,SUM(F19:F26),"地上面积有误")</f>
        <v>27877.57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34936.35</v>
      </c>
      <c r="S27" s="1250">
        <f>IF(SUM(S19:S26)=$E$3,SUM(S19:S26),SUM(S19:S26)&amp;"误差"&amp;ROUND(SUM(S19:S26)-E3,2))</f>
        <v>27877.57</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34936.35</v>
      </c>
      <c r="E31" s="729">
        <f>E27+E30</f>
        <v>27877.57</v>
      </c>
      <c r="F31" s="730">
        <f>F27+F30</f>
        <v>27877.57</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3241</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t="str">
        <f>'数据-汇总表'!C19</f>
        <v>凯富大厦</v>
      </c>
      <c r="B6" s="2309" t="str">
        <f>IF(A6=0,"","经营性")</f>
        <v>经营性</v>
      </c>
      <c r="C6" s="2310" t="s">
        <v>6</v>
      </c>
      <c r="D6" s="1054">
        <f>SUMIF(项目基本情况!D$12:I$12,C6,项目基本情况!D$14:I$14)</f>
        <v>50</v>
      </c>
      <c r="E6" s="1051">
        <f>IF(B6="","",SUMIF(项目基本情况!D$12:I$12,C6,项目基本情况!D$13:I$13))</f>
        <v>55865</v>
      </c>
      <c r="F6" s="71">
        <f>SUMIF(项目基本情况!D$12:I$12,C6,项目基本情况!D$15:I$15)</f>
        <v>35.11</v>
      </c>
      <c r="G6" s="72">
        <f>IF(ISERROR(ROUND(POWER(1+H6,D6-F6)*(POWER(1+H6,F6)-1)/(POWER(1+H6,D6)-1),3)),0,ROUND(POWER(1+H6,D6-F6)*(POWER(1+H6,F6)-1)/(POWER(1+H6,D6)-1),3))</f>
        <v>0.89800000000000002</v>
      </c>
      <c r="H6" s="802">
        <v>0.05</v>
      </c>
      <c r="I6" s="802">
        <v>5.5E-2</v>
      </c>
      <c r="J6" s="73">
        <v>8.5000000000000006E-2</v>
      </c>
      <c r="K6" s="1254">
        <f>SUMIF('数据-汇总表'!C$19:C$33,A6,'数据-汇总表'!E$19:E$33)</f>
        <v>27877.57</v>
      </c>
      <c r="L6" s="3053">
        <v>2800</v>
      </c>
      <c r="M6" s="74">
        <f t="shared" ref="M6:M14" si="0">ROUND(K6*L6/10000,0)</f>
        <v>7806</v>
      </c>
      <c r="N6" s="801">
        <f>市场租金整理!A5</f>
        <v>0.8</v>
      </c>
      <c r="O6" s="74" t="str">
        <f>IF($N$5="成新度","——",ROUND(M6*N6,0))</f>
        <v>——</v>
      </c>
      <c r="P6" s="75" t="str">
        <f>IF($N$5="成新度","——",M6-O6)</f>
        <v>——</v>
      </c>
      <c r="Q6" s="804">
        <v>0.2</v>
      </c>
      <c r="R6" s="76">
        <f ca="1">SUMIF('数据-汇总表'!C$19:C$33,A6,'数据-汇总表'!R$19:R$27)</f>
        <v>34936.35</v>
      </c>
      <c r="S6" s="53">
        <f>IF('数据-汇总表'!$I$17="按面积比例",SUMIF('数据-汇总表'!C$19:C$33,A6,'数据-汇总表'!K$19:K$33),SUMIF('数据-汇总表'!C$19:C$33,A6,'数据-汇总表'!N$19:N$33))</f>
        <v>0</v>
      </c>
      <c r="T6" s="1446">
        <f>ROUND($L$14*S6/10000,0)</f>
        <v>0</v>
      </c>
      <c r="U6" s="77">
        <f>凯富大厦租约整理!G26</f>
        <v>4.9400000000000004</v>
      </c>
      <c r="V6" s="78">
        <v>0</v>
      </c>
      <c r="W6" s="78">
        <v>0</v>
      </c>
      <c r="X6" s="1264"/>
      <c r="Y6" s="3055">
        <f>N6</f>
        <v>0.8</v>
      </c>
      <c r="Z6" s="80">
        <f>市场租金整理!F4</f>
        <v>6.57</v>
      </c>
      <c r="AA6" s="73">
        <f>市场租金整理!B2</f>
        <v>2.5000000000000001E-2</v>
      </c>
      <c r="AB6" s="73">
        <v>0.1</v>
      </c>
      <c r="AC6" s="1264"/>
      <c r="AD6" s="81">
        <f>市场租金整理!F5</f>
        <v>0.67</v>
      </c>
      <c r="AE6" s="1265">
        <f ca="1">IF(AN6="",0,SUMIF(INDIRECT("'"&amp;AN6&amp;"'"&amp;"!E:E"),$AE$5,INDIRECT("'"&amp;AN6&amp;"'"&amp;"!F:F")))</f>
        <v>35.11</v>
      </c>
      <c r="AF6" s="1808">
        <f>凯富大厦租约整理!G25</f>
        <v>4.8899999999999997</v>
      </c>
      <c r="AG6" s="146">
        <f ca="1">IF(AF6="",0,AE6-AF6)</f>
        <v>30.22</v>
      </c>
      <c r="AH6" s="82"/>
      <c r="AI6" s="84">
        <v>365</v>
      </c>
      <c r="AJ6" s="85"/>
      <c r="AK6" s="86">
        <v>0.02</v>
      </c>
      <c r="AL6" s="87">
        <v>2E-3</v>
      </c>
      <c r="AM6" s="88">
        <v>0.02</v>
      </c>
      <c r="AN6" s="2311" t="s">
        <v>3265</v>
      </c>
      <c r="AO6" s="54">
        <f ca="1">SUMIF(INDIRECT("'"&amp;AN6&amp;"'"&amp;"!A:A"),"总价",INDIRECT("'"&amp;AN6&amp;"'"&amp;"!B:B"))</f>
        <v>94959</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4">
        <f>SUMIF('数据-汇总表'!C$19:C$33,A7,'数据-汇总表'!E$19:E$33)</f>
        <v>0</v>
      </c>
      <c r="L7" s="803"/>
      <c r="M7" s="74">
        <f>ROUND(K7*L7/10000,0)</f>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6">
        <f t="shared" ref="T7:T13" si="5">ROUND($L$14*S7/10000,0)</f>
        <v>0</v>
      </c>
      <c r="U7" s="77"/>
      <c r="V7" s="78"/>
      <c r="W7" s="78"/>
      <c r="X7" s="1264"/>
      <c r="Y7" s="79"/>
      <c r="Z7" s="80"/>
      <c r="AA7" s="73"/>
      <c r="AB7" s="73"/>
      <c r="AC7" s="1264"/>
      <c r="AD7" s="81"/>
      <c r="AE7" s="1265">
        <f t="shared" ref="AE7:AE13" ca="1" si="6">IF(AN7="",0,SUMIF(INDIRECT("'"&amp;AN7&amp;"'"&amp;"!E:E"),$AE$5,INDIRECT("'"&amp;AN7&amp;"'"&amp;"!F:F")))</f>
        <v>0</v>
      </c>
      <c r="AF7" s="1808"/>
      <c r="AG7" s="146">
        <f t="shared" ref="AG7:AG13" si="7">IF(AF7="",0,AE7-AF7)</f>
        <v>0</v>
      </c>
      <c r="AH7" s="82"/>
      <c r="AI7" s="84"/>
      <c r="AJ7" s="85"/>
      <c r="AK7" s="86"/>
      <c r="AL7" s="87"/>
      <c r="AM7" s="88"/>
      <c r="AN7" s="2311"/>
      <c r="AO7" s="54" t="e">
        <f t="shared" ref="AO7:AO13" ca="1" si="8">SUMIF(INDIRECT("'"&amp;AN7&amp;"'"&amp;"!A:A"),"总价",INDIRECT("'"&amp;AN7&amp;"'"&amp;"!B:B"))</f>
        <v>#REF!</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6">
        <f t="shared" si="5"/>
        <v>0</v>
      </c>
      <c r="U8" s="805"/>
      <c r="V8" s="806"/>
      <c r="W8" s="806"/>
      <c r="X8" s="1264"/>
      <c r="Y8" s="807"/>
      <c r="Z8" s="80"/>
      <c r="AA8" s="73"/>
      <c r="AB8" s="73"/>
      <c r="AC8" s="1264"/>
      <c r="AD8" s="81"/>
      <c r="AE8" s="1265">
        <f t="shared" ca="1" si="6"/>
        <v>0</v>
      </c>
      <c r="AF8" s="1808"/>
      <c r="AG8" s="146">
        <f t="shared" si="7"/>
        <v>0</v>
      </c>
      <c r="AH8" s="808"/>
      <c r="AI8" s="84"/>
      <c r="AJ8" s="85"/>
      <c r="AK8" s="809"/>
      <c r="AL8" s="810"/>
      <c r="AM8" s="811"/>
      <c r="AN8" s="2311"/>
      <c r="AO8" s="54" t="e">
        <f t="shared" ca="1" si="8"/>
        <v>#REF!</v>
      </c>
      <c r="AP8" s="2312">
        <f t="shared" ref="AP8:AP13" si="11">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ROUND(K9*L9/10000,0)</f>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6">
        <f t="shared" si="5"/>
        <v>0</v>
      </c>
      <c r="U9" s="77"/>
      <c r="V9" s="78"/>
      <c r="W9" s="78"/>
      <c r="X9" s="1264"/>
      <c r="Y9" s="79"/>
      <c r="Z9" s="80"/>
      <c r="AA9" s="73"/>
      <c r="AB9" s="73"/>
      <c r="AC9" s="1264"/>
      <c r="AD9" s="81"/>
      <c r="AE9" s="1265">
        <f t="shared" ca="1" si="6"/>
        <v>0</v>
      </c>
      <c r="AF9" s="1808"/>
      <c r="AG9" s="146">
        <f t="shared" si="7"/>
        <v>0</v>
      </c>
      <c r="AH9" s="82"/>
      <c r="AI9" s="84"/>
      <c r="AJ9" s="85"/>
      <c r="AK9" s="86"/>
      <c r="AL9" s="87"/>
      <c r="AM9" s="88"/>
      <c r="AN9" s="2311"/>
      <c r="AO9" s="54" t="e">
        <f t="shared" ca="1" si="8"/>
        <v>#REF!</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1"/>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1"/>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1"/>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1"/>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27877.57</v>
      </c>
      <c r="L16" s="101">
        <f>ROUND(M16*10000/SUM(K6:K14),0)</f>
        <v>2800</v>
      </c>
      <c r="M16" s="101">
        <f>SUM(M6:M14)</f>
        <v>7806</v>
      </c>
      <c r="N16" s="102">
        <f>ROUND(SUMPRODUCT(M6:M14,N6:N14)/M16,3)</f>
        <v>0.8</v>
      </c>
      <c r="O16" s="101">
        <f>SUM(O6:O14)</f>
        <v>0</v>
      </c>
      <c r="P16" s="101">
        <f>SUM(P6:P14)</f>
        <v>0</v>
      </c>
      <c r="Q16" s="103">
        <f>ROUND(SUMPRODUCT(Q6:Q13,K6:K13)/SUMPRODUCT((Q6:Q13&gt;0)*(K6:K13)),2)</f>
        <v>0.2</v>
      </c>
      <c r="R16" s="1258">
        <f ca="1">SUM(R6:R13)</f>
        <v>34936.35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4">
        <v>0.5</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0.5</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0.5</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0.5</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66" t="s">
        <v>2084</v>
      </c>
      <c r="B1" s="3167"/>
      <c r="C1" s="3167"/>
      <c r="D1" s="3167"/>
      <c r="E1" s="3167"/>
      <c r="F1" s="3167"/>
      <c r="G1" s="316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3338</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3277</v>
      </c>
      <c r="H4" s="2370"/>
      <c r="I4" s="2370"/>
      <c r="J4" s="2370"/>
      <c r="K4" s="2370"/>
      <c r="L4" s="2370"/>
      <c r="M4" s="2370"/>
      <c r="N4" s="2370"/>
      <c r="O4" s="2370"/>
      <c r="P4" s="2370"/>
      <c r="Q4" s="2370"/>
      <c r="R4" s="2370"/>
    </row>
    <row r="5" spans="1:29" ht="94.5">
      <c r="A5" s="431"/>
      <c r="B5" s="1799" t="s">
        <v>2094</v>
      </c>
      <c r="C5" s="3041" t="s">
        <v>3276</v>
      </c>
      <c r="D5" s="2373"/>
      <c r="E5" s="2376"/>
      <c r="F5" s="1799" t="s">
        <v>2095</v>
      </c>
      <c r="G5" s="3042" t="s">
        <v>3278</v>
      </c>
      <c r="H5" s="2370"/>
      <c r="I5" s="2370"/>
      <c r="J5" s="2370"/>
      <c r="K5" s="2370"/>
      <c r="L5" s="2370"/>
      <c r="M5" s="2370"/>
      <c r="N5" s="2370"/>
      <c r="O5" s="2370"/>
      <c r="P5" s="2370"/>
      <c r="Q5" s="2370"/>
      <c r="R5" s="2370"/>
    </row>
    <row r="6" spans="1:29" ht="67.5">
      <c r="A6" s="431"/>
      <c r="B6" s="1799" t="s">
        <v>2096</v>
      </c>
      <c r="C6" s="3042" t="s">
        <v>3277</v>
      </c>
      <c r="D6" s="2373"/>
      <c r="E6" s="2376"/>
      <c r="F6" s="1799" t="s">
        <v>2097</v>
      </c>
      <c r="G6" s="3042" t="s">
        <v>3339</v>
      </c>
      <c r="H6" s="2370"/>
      <c r="I6" s="2370"/>
      <c r="J6" s="2370"/>
      <c r="K6" s="2370"/>
      <c r="L6" s="2370"/>
      <c r="M6" s="2370"/>
      <c r="N6" s="2370"/>
      <c r="O6" s="2370"/>
      <c r="P6" s="2370"/>
      <c r="Q6" s="2370"/>
      <c r="R6" s="2370"/>
    </row>
    <row r="7" spans="1:29" ht="108.75" thickBot="1">
      <c r="A7" s="431"/>
      <c r="B7" s="1799" t="s">
        <v>2095</v>
      </c>
      <c r="C7" s="3042" t="s">
        <v>3278</v>
      </c>
      <c r="D7" s="2377"/>
      <c r="E7" s="2378"/>
      <c r="F7" s="2379" t="s">
        <v>2098</v>
      </c>
      <c r="G7" s="3050" t="s">
        <v>3340</v>
      </c>
      <c r="H7" s="2370"/>
      <c r="I7" s="2370"/>
      <c r="J7" s="2370"/>
      <c r="K7" s="2370"/>
      <c r="L7" s="2370"/>
      <c r="M7" s="2370"/>
      <c r="N7" s="2370"/>
      <c r="O7" s="2370"/>
      <c r="P7" s="2370"/>
      <c r="Q7" s="2370"/>
      <c r="R7" s="2370"/>
    </row>
    <row r="8" spans="1:29" ht="27">
      <c r="A8" s="431"/>
      <c r="B8" s="1799" t="s">
        <v>2097</v>
      </c>
      <c r="C8" s="3042" t="s">
        <v>3339</v>
      </c>
      <c r="D8" s="2377"/>
      <c r="E8" s="2377"/>
      <c r="F8" s="1136"/>
      <c r="G8" s="1136"/>
      <c r="H8" s="2370"/>
      <c r="I8" s="2370"/>
      <c r="J8" s="2370"/>
      <c r="K8" s="2370"/>
      <c r="L8" s="2370"/>
      <c r="M8" s="2370"/>
      <c r="N8" s="2370"/>
      <c r="O8" s="2370"/>
      <c r="P8" s="2370"/>
      <c r="Q8" s="2370"/>
      <c r="R8" s="2370"/>
    </row>
    <row r="9" spans="1:29" ht="81">
      <c r="A9" s="431"/>
      <c r="B9" s="1799" t="s">
        <v>2099</v>
      </c>
      <c r="C9" s="3041" t="s">
        <v>3279</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42" customWidth="1"/>
    <col min="2" max="9" width="15.75" style="1742" customWidth="1"/>
    <col min="10" max="16384" width="9" style="1742"/>
  </cols>
  <sheetData>
    <row r="1" spans="1:10" ht="16.5">
      <c r="A1" s="1747" t="s">
        <v>1366</v>
      </c>
      <c r="B1" s="1747">
        <f>SUM(B14:B23)</f>
        <v>53308.28</v>
      </c>
      <c r="C1" s="1746"/>
      <c r="D1" s="1746"/>
      <c r="E1" s="1746"/>
      <c r="F1" s="1746"/>
      <c r="G1" s="1744"/>
    </row>
    <row r="2" spans="1:10" ht="16.5">
      <c r="A2" s="1747" t="s">
        <v>1354</v>
      </c>
      <c r="B2" s="1747">
        <f>SUM(C14:C23)</f>
        <v>73103.61</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185891</v>
      </c>
      <c r="C5" s="1747">
        <f ca="1">ROUND(B5*10000/$B$1,0)</f>
        <v>34871</v>
      </c>
      <c r="D5" s="1747">
        <f ca="1">ROUND(B5*10000/$B$2,0)</f>
        <v>25428</v>
      </c>
      <c r="E5" s="1746"/>
      <c r="F5" s="1744"/>
      <c r="G5" s="1744"/>
    </row>
    <row r="6" spans="1:10" ht="16.5">
      <c r="A6" s="1747" t="s">
        <v>1357</v>
      </c>
      <c r="B6" s="1747">
        <f ca="1">SUM(G14:G23)</f>
        <v>99456</v>
      </c>
      <c r="C6" s="1747">
        <f ca="1">ROUND(B6*10000/$B$1,0)</f>
        <v>18657</v>
      </c>
      <c r="D6" s="1747">
        <f ca="1">ROUND(B6*10000/$B$2,0)</f>
        <v>13605</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27877.57</v>
      </c>
      <c r="C14" s="1745">
        <f>'结果表-凯富'!C118</f>
        <v>34936.35</v>
      </c>
      <c r="D14" s="1745">
        <f ca="1">'结果表-凯富'!H118</f>
        <v>99456</v>
      </c>
      <c r="E14" s="1745">
        <f ca="1">ROUND(D14*10000/B14,0)</f>
        <v>35676</v>
      </c>
      <c r="F14" s="1745">
        <f ca="1">ROUND(D14*10000/C14,0)</f>
        <v>28468</v>
      </c>
      <c r="G14" s="1745">
        <f ca="1">'结果表-凯富'!D122</f>
        <v>99456</v>
      </c>
      <c r="H14" s="1745" t="str">
        <f>'结果表-凯富'!D124</f>
        <v>——</v>
      </c>
      <c r="I14" s="1745" t="str">
        <f>'结果表-凯富'!D126</f>
        <v>——</v>
      </c>
      <c r="J14" s="1744"/>
    </row>
    <row r="15" spans="1:10" ht="16.5">
      <c r="A15" s="1743" t="s">
        <v>1350</v>
      </c>
      <c r="B15" s="1750">
        <f>'[1]结果表-办公'!$L$18</f>
        <v>25430.71</v>
      </c>
      <c r="C15" s="1750">
        <f>'[1]结果表-办公'!$L$19</f>
        <v>38167.26</v>
      </c>
      <c r="D15" s="1750">
        <f>'[1]结果表-办公'!$G$19</f>
        <v>86435</v>
      </c>
      <c r="E15" s="1745">
        <f t="shared" ref="E15:E23" si="0">ROUND(D15*10000/B15,0)</f>
        <v>33988</v>
      </c>
      <c r="F15" s="1745">
        <f t="shared" ref="F15:F23" si="1">ROUND(D15*10000/C15,0)</f>
        <v>22646</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3275</v>
      </c>
      <c r="D1" s="2418"/>
      <c r="E1" s="2418"/>
      <c r="F1" s="2420" t="s">
        <v>2115</v>
      </c>
      <c r="G1" s="2074" t="s">
        <v>3052</v>
      </c>
      <c r="H1" s="2421" t="str">
        <f>IF(G1="现房","——","估价对象范围")</f>
        <v>——</v>
      </c>
      <c r="I1" s="2422"/>
    </row>
    <row r="2" spans="1:12" ht="21.75" customHeight="1" thickBot="1">
      <c r="A2" s="3201" t="str">
        <f>项目基本情况!S2</f>
        <v>北京市朝阳区酒仙桥北路7号北侧房地产</v>
      </c>
      <c r="B2" s="3202"/>
      <c r="C2" s="3202"/>
      <c r="D2" s="3202"/>
      <c r="E2" s="3202"/>
      <c r="F2" s="3202"/>
      <c r="G2" s="3202"/>
      <c r="H2" s="3202"/>
      <c r="I2" s="3203"/>
    </row>
    <row r="3" spans="1:12" ht="12.75">
      <c r="A3" s="3205" t="s">
        <v>2117</v>
      </c>
      <c r="B3" s="3206"/>
      <c r="C3" s="3206"/>
      <c r="D3" s="3206"/>
      <c r="E3" s="3206"/>
      <c r="F3" s="3206"/>
      <c r="G3" s="3206"/>
      <c r="H3" s="3206"/>
      <c r="I3" s="3206"/>
    </row>
    <row r="4" spans="1:12" ht="14.25">
      <c r="A4" s="2425" t="s">
        <v>2118</v>
      </c>
      <c r="B4" s="2426" t="s">
        <v>2119</v>
      </c>
      <c r="C4" s="2427" t="s">
        <v>3263</v>
      </c>
      <c r="D4" s="2427" t="s">
        <v>3265</v>
      </c>
      <c r="E4" s="3198" t="s">
        <v>2120</v>
      </c>
      <c r="F4" s="3199"/>
      <c r="G4" s="3199"/>
      <c r="H4" s="3199"/>
      <c r="I4" s="3210"/>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81" t="s">
        <v>2121</v>
      </c>
      <c r="B5" s="3119">
        <v>25</v>
      </c>
      <c r="C5" s="3207"/>
      <c r="D5" s="3204"/>
      <c r="E5" s="139" t="s">
        <v>2122</v>
      </c>
      <c r="F5" s="2429"/>
      <c r="G5" s="2429"/>
      <c r="H5" s="2429"/>
      <c r="I5" s="1835"/>
    </row>
    <row r="6" spans="1:12" ht="12.75">
      <c r="A6" s="3181"/>
      <c r="B6" s="3119"/>
      <c r="C6" s="3209"/>
      <c r="D6" s="3204"/>
      <c r="E6" s="139" t="s">
        <v>2123</v>
      </c>
      <c r="F6" s="2429"/>
      <c r="G6" s="2429"/>
      <c r="H6" s="2429"/>
      <c r="I6" s="1835"/>
    </row>
    <row r="7" spans="1:12" ht="12.75">
      <c r="A7" s="3181"/>
      <c r="B7" s="3119"/>
      <c r="C7" s="3208"/>
      <c r="D7" s="3204"/>
      <c r="E7" s="139" t="s">
        <v>2124</v>
      </c>
      <c r="F7" s="2429"/>
      <c r="G7" s="2429"/>
      <c r="H7" s="2429"/>
      <c r="I7" s="1835"/>
    </row>
    <row r="8" spans="1:12" ht="12.75">
      <c r="A8" s="3181" t="s">
        <v>2125</v>
      </c>
      <c r="B8" s="3119">
        <v>15</v>
      </c>
      <c r="C8" s="3207"/>
      <c r="D8" s="3204"/>
      <c r="E8" s="139" t="s">
        <v>2126</v>
      </c>
      <c r="F8" s="2429"/>
      <c r="G8" s="2429"/>
      <c r="H8" s="2429"/>
      <c r="I8" s="1835"/>
    </row>
    <row r="9" spans="1:12" ht="12.75">
      <c r="A9" s="3181"/>
      <c r="B9" s="3119"/>
      <c r="C9" s="3208"/>
      <c r="D9" s="3204"/>
      <c r="E9" s="139" t="s">
        <v>2127</v>
      </c>
      <c r="F9" s="2429"/>
      <c r="G9" s="2429"/>
      <c r="H9" s="2429"/>
      <c r="I9" s="1835"/>
    </row>
    <row r="10" spans="1:12" ht="12.75">
      <c r="A10" s="3181" t="s">
        <v>2128</v>
      </c>
      <c r="B10" s="3119">
        <v>15</v>
      </c>
      <c r="C10" s="3207"/>
      <c r="D10" s="3204"/>
      <c r="E10" s="139" t="s">
        <v>2129</v>
      </c>
      <c r="F10" s="2429"/>
      <c r="G10" s="2429"/>
      <c r="H10" s="2429"/>
      <c r="I10" s="1835"/>
    </row>
    <row r="11" spans="1:12" ht="12.75">
      <c r="A11" s="3181"/>
      <c r="B11" s="3119"/>
      <c r="C11" s="3208"/>
      <c r="D11" s="3204"/>
      <c r="E11" s="139" t="s">
        <v>2130</v>
      </c>
      <c r="F11" s="2429"/>
      <c r="G11" s="2429"/>
      <c r="H11" s="2429"/>
      <c r="I11" s="1835"/>
    </row>
    <row r="12" spans="1:12" ht="12.75">
      <c r="A12" s="3181" t="s">
        <v>2131</v>
      </c>
      <c r="B12" s="3119">
        <v>15</v>
      </c>
      <c r="C12" s="3207"/>
      <c r="D12" s="3204"/>
      <c r="E12" s="139" t="s">
        <v>2132</v>
      </c>
      <c r="F12" s="2429"/>
      <c r="G12" s="2429"/>
      <c r="H12" s="2429"/>
      <c r="I12" s="1835"/>
    </row>
    <row r="13" spans="1:12" ht="12.75">
      <c r="A13" s="3181"/>
      <c r="B13" s="3119"/>
      <c r="C13" s="3208"/>
      <c r="D13" s="3204"/>
      <c r="E13" s="139" t="s">
        <v>2133</v>
      </c>
      <c r="F13" s="2429"/>
      <c r="G13" s="2429"/>
      <c r="H13" s="2429"/>
      <c r="I13" s="1835"/>
    </row>
    <row r="14" spans="1:12" ht="12.75">
      <c r="A14" s="3181" t="s">
        <v>2134</v>
      </c>
      <c r="B14" s="3119">
        <v>30</v>
      </c>
      <c r="C14" s="3184">
        <v>5</v>
      </c>
      <c r="D14" s="3232">
        <v>5</v>
      </c>
      <c r="E14" s="139" t="s">
        <v>2135</v>
      </c>
      <c r="F14" s="2429"/>
      <c r="G14" s="2429"/>
      <c r="H14" s="2429"/>
      <c r="I14" s="1835"/>
    </row>
    <row r="15" spans="1:12" ht="12.75">
      <c r="A15" s="3181"/>
      <c r="B15" s="3119"/>
      <c r="C15" s="3185"/>
      <c r="D15" s="3232"/>
      <c r="E15" s="139" t="s">
        <v>2136</v>
      </c>
      <c r="F15" s="2429"/>
      <c r="G15" s="2429"/>
      <c r="H15" s="2429"/>
      <c r="I15" s="1835"/>
    </row>
    <row r="16" spans="1:12" ht="12.75">
      <c r="A16" s="3181"/>
      <c r="B16" s="3119"/>
      <c r="C16" s="3186"/>
      <c r="D16" s="3232"/>
      <c r="E16" s="139" t="s">
        <v>2137</v>
      </c>
      <c r="F16" s="2429"/>
      <c r="G16" s="2429"/>
      <c r="H16" s="2429"/>
      <c r="I16" s="1835"/>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f ca="1">SUMIF(INDIRECT("'"&amp;C4&amp;"'"&amp;"!A:A"),'结果表-凯富'!B19,INDIRECT("'"&amp;C4&amp;"'"&amp;"!B:B"))</f>
        <v>103953</v>
      </c>
      <c r="D19" s="143">
        <f ca="1">SUMIF(INDIRECT("'"&amp;D4&amp;"'"&amp;"!A:A"),'结果表-凯富'!B19,INDIRECT("'"&amp;D4&amp;"'"&amp;"!B:B"))</f>
        <v>94959</v>
      </c>
      <c r="E19" s="2434" t="s">
        <v>2145</v>
      </c>
      <c r="F19" s="2435" t="s">
        <v>2144</v>
      </c>
      <c r="G19" s="144">
        <f ca="1">ROUND(C19*$C$18+D19*$D$18,0)</f>
        <v>99456</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f ca="1">SUMIF(INDIRECT("'"&amp;C4&amp;"'"&amp;"!A:A"),'结果表-凯富'!B20,INDIRECT("'"&amp;C4&amp;"'"&amp;"!B:B"))</f>
        <v>37289</v>
      </c>
      <c r="D20" s="146">
        <f ca="1">SUMIF(INDIRECT("'"&amp;D4&amp;"'"&amp;"!A:A"),'结果表-凯富'!B20,INDIRECT("'"&amp;D4&amp;"'"&amp;"!B:B"))</f>
        <v>34063</v>
      </c>
      <c r="E20" s="2437"/>
      <c r="F20" s="1250" t="s">
        <v>2148</v>
      </c>
      <c r="G20" s="147">
        <f ca="1">ROUND(C20*$C$18+D20*$D$18,0)</f>
        <v>35676</v>
      </c>
      <c r="H20" s="983" t="s">
        <v>2149</v>
      </c>
      <c r="I20" s="137"/>
    </row>
    <row r="21" spans="1:35" ht="15" customHeight="1" thickBot="1">
      <c r="A21" s="1003"/>
      <c r="B21" s="2438" t="s">
        <v>2150</v>
      </c>
      <c r="C21" s="789">
        <f ca="1">ROUND(C19*10000/L19,0)</f>
        <v>29755</v>
      </c>
      <c r="D21" s="790">
        <f ca="1">ROUND(D19*10000/L19,0)</f>
        <v>27181</v>
      </c>
      <c r="E21" s="1003"/>
      <c r="F21" s="2438" t="s">
        <v>2150</v>
      </c>
      <c r="G21" s="148">
        <f ca="1">ROUND(G19*10000/L19,0)</f>
        <v>28468</v>
      </c>
      <c r="H21" s="2439" t="s">
        <v>2149</v>
      </c>
      <c r="I21" s="137"/>
    </row>
    <row r="22" spans="1:35" ht="15" thickBot="1">
      <c r="A22" s="2283" t="s">
        <v>2151</v>
      </c>
      <c r="B22" s="2440"/>
      <c r="C22" s="2441"/>
      <c r="D22" s="791">
        <f ca="1">IF(C19&lt;D19,D19/C19-1,C19/D19-1)</f>
        <v>9.471456102107223E-2</v>
      </c>
      <c r="E22" s="137"/>
      <c r="F22" s="137"/>
      <c r="G22" s="137"/>
      <c r="H22" s="137"/>
      <c r="I22" s="137"/>
    </row>
    <row r="23" spans="1:35" ht="13.5" thickBot="1">
      <c r="A23" s="2418"/>
      <c r="B23" s="2418"/>
      <c r="C23" s="2418"/>
      <c r="D23" s="2418"/>
      <c r="E23" s="137"/>
      <c r="F23" s="137"/>
      <c r="G23" s="137"/>
      <c r="H23" s="137"/>
      <c r="I23" s="137"/>
    </row>
    <row r="24" spans="1:35" ht="14.25">
      <c r="A24" s="3175" t="s">
        <v>2152</v>
      </c>
      <c r="B24" s="2435" t="s">
        <v>2144</v>
      </c>
      <c r="C24" s="144">
        <f>IF(B30=0,0,D30)</f>
        <v>0</v>
      </c>
      <c r="D24" s="2442"/>
      <c r="E24" s="137"/>
      <c r="F24" s="137"/>
      <c r="G24" s="137"/>
      <c r="H24" s="137"/>
      <c r="I24" s="137"/>
    </row>
    <row r="25" spans="1:35" ht="14.25">
      <c r="A25" s="3176"/>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99456</v>
      </c>
      <c r="D32" s="2449" t="s">
        <v>2159</v>
      </c>
      <c r="E32" s="137"/>
      <c r="F32" s="137"/>
      <c r="G32" s="137"/>
      <c r="H32" s="137"/>
      <c r="I32" s="137"/>
    </row>
    <row r="33" spans="1:15" ht="15">
      <c r="A33" s="960" t="s">
        <v>2160</v>
      </c>
      <c r="B33" s="2450"/>
      <c r="C33" s="2451"/>
      <c r="D33" s="2452"/>
      <c r="E33" s="2453" t="s">
        <v>2161</v>
      </c>
      <c r="F33" s="2454"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93" t="s">
        <v>2166</v>
      </c>
      <c r="B36" s="2461" t="s">
        <v>2167</v>
      </c>
      <c r="C36" s="154"/>
      <c r="D36" s="2462"/>
      <c r="E36" s="2463"/>
      <c r="F36" s="2464"/>
      <c r="G36" s="137"/>
      <c r="H36" s="137"/>
      <c r="I36" s="137"/>
    </row>
    <row r="37" spans="1:15" ht="15.75" thickBot="1">
      <c r="A37" s="3194"/>
      <c r="B37" s="2269" t="s">
        <v>2168</v>
      </c>
      <c r="C37" s="156"/>
      <c r="D37" s="1395"/>
      <c r="E37" s="1395"/>
      <c r="F37" s="2464"/>
      <c r="G37" s="137"/>
      <c r="H37" s="137"/>
      <c r="I37" s="137"/>
    </row>
    <row r="38" spans="1:15" ht="15.75" thickBot="1">
      <c r="A38" s="3195"/>
      <c r="B38" s="2465" t="s">
        <v>2169</v>
      </c>
      <c r="C38" s="727"/>
      <c r="D38" s="2466" t="s">
        <v>2170</v>
      </c>
      <c r="E38" s="1395"/>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72" t="s">
        <v>2180</v>
      </c>
      <c r="B45" s="3173"/>
      <c r="C45" s="3174"/>
      <c r="D45" s="164">
        <f ca="1">ROUND(H101*F45,0)</f>
        <v>99456</v>
      </c>
      <c r="E45" s="165" t="s">
        <v>2181</v>
      </c>
      <c r="F45" s="166">
        <v>1</v>
      </c>
      <c r="G45" s="167" t="s">
        <v>2182</v>
      </c>
      <c r="H45" s="137"/>
      <c r="I45" s="137"/>
      <c r="J45" s="3236" t="s">
        <v>2183</v>
      </c>
      <c r="K45" s="3236"/>
      <c r="L45" s="3236"/>
      <c r="M45" s="3236"/>
      <c r="N45" s="3236"/>
      <c r="O45" s="3236"/>
    </row>
    <row r="46" spans="1:15" ht="14.25" customHeight="1">
      <c r="A46" s="3169" t="s">
        <v>2184</v>
      </c>
      <c r="B46" s="3170"/>
      <c r="C46" s="3170"/>
      <c r="D46" s="3170"/>
      <c r="E46" s="3170"/>
      <c r="F46" s="3170"/>
      <c r="G46" s="3171"/>
      <c r="H46" s="2480"/>
      <c r="I46" s="168"/>
      <c r="J46" s="1813">
        <v>1</v>
      </c>
      <c r="K46" s="3236" t="s">
        <v>2185</v>
      </c>
      <c r="L46" s="3236"/>
      <c r="M46" s="3256"/>
      <c r="N46" s="3256"/>
      <c r="O46" s="3256"/>
    </row>
    <row r="47" spans="1:15" ht="12" customHeight="1">
      <c r="A47" s="169" t="s">
        <v>2186</v>
      </c>
      <c r="B47" s="170"/>
      <c r="C47" s="171"/>
      <c r="D47" s="172" t="s">
        <v>2187</v>
      </c>
      <c r="E47" s="23" t="s">
        <v>2188</v>
      </c>
      <c r="F47" s="173" t="s">
        <v>2189</v>
      </c>
      <c r="G47" s="174" t="s">
        <v>2190</v>
      </c>
      <c r="H47" s="2480"/>
      <c r="I47" s="168"/>
      <c r="J47" s="1813">
        <v>2</v>
      </c>
      <c r="K47" s="3236" t="s">
        <v>2191</v>
      </c>
      <c r="L47" s="3236"/>
      <c r="M47" s="3257">
        <f>'数据-取费表'!B2</f>
        <v>43047</v>
      </c>
      <c r="N47" s="3257"/>
      <c r="O47" s="3257"/>
    </row>
    <row r="48" spans="1:15" ht="25.5">
      <c r="A48" s="3200" t="s">
        <v>2192</v>
      </c>
      <c r="B48" s="3183"/>
      <c r="C48" s="3183"/>
      <c r="D48" s="139">
        <f>IF(H48="情况1",0,IF(H48="情况2",D52,IF(H48="情况3",D53,IF(H48="情况4",D54))))</f>
        <v>0</v>
      </c>
      <c r="E48" s="1802" t="str">
        <f>IF(H48="情况4","(销售额-原购置价)×税（费）率","销售额×税（费）率")</f>
        <v>销售额×税（费）率</v>
      </c>
      <c r="F48" s="175" t="str">
        <f>IF(H48="情况1","免征",'数据-取费表'!B41)</f>
        <v>免征</v>
      </c>
      <c r="G48" s="2481" t="s">
        <v>2193</v>
      </c>
      <c r="H48" s="2482" t="s">
        <v>2194</v>
      </c>
      <c r="I48" s="2480"/>
      <c r="J48" s="1813">
        <v>3</v>
      </c>
      <c r="K48" s="3236" t="s">
        <v>2195</v>
      </c>
      <c r="L48" s="3236"/>
      <c r="M48" s="3258">
        <f ca="1">H101</f>
        <v>99456</v>
      </c>
      <c r="N48" s="3258"/>
      <c r="O48" s="3258"/>
    </row>
    <row r="49" spans="1:35" ht="25.5" customHeight="1">
      <c r="A49" s="176" t="s">
        <v>2196</v>
      </c>
      <c r="B49" s="3168" t="s">
        <v>2197</v>
      </c>
      <c r="C49" s="3168"/>
      <c r="D49" s="177">
        <v>0</v>
      </c>
      <c r="E49" s="22" t="s">
        <v>2198</v>
      </c>
      <c r="F49" s="27" t="s">
        <v>34</v>
      </c>
      <c r="G49" s="3242"/>
      <c r="H49" s="137"/>
      <c r="I49" s="2483"/>
      <c r="J49" s="1813">
        <v>4</v>
      </c>
      <c r="K49" s="3236" t="str">
        <f>IF(项目基本情况!E8="房地产抵押价值","房地产抵押价值","抵押担保权已注销时的房地产抵押价值")</f>
        <v>房地产抵押价值</v>
      </c>
      <c r="L49" s="3236"/>
      <c r="M49" s="3258">
        <f ca="1">IF(项目基本情况!E8="房地产抵押价值",H107,H109)</f>
        <v>99456</v>
      </c>
      <c r="N49" s="3258"/>
      <c r="O49" s="3258"/>
    </row>
    <row r="50" spans="1:35" ht="25.5" customHeight="1">
      <c r="A50" s="178"/>
      <c r="B50" s="3168" t="s">
        <v>2199</v>
      </c>
      <c r="C50" s="3168"/>
      <c r="D50" s="179"/>
      <c r="E50" s="30"/>
      <c r="F50" s="180"/>
      <c r="G50" s="3243"/>
      <c r="H50" s="137"/>
      <c r="I50" s="2483"/>
      <c r="J50" s="3236" t="s">
        <v>2200</v>
      </c>
      <c r="K50" s="3236"/>
      <c r="L50" s="3236"/>
      <c r="M50" s="3236"/>
      <c r="N50" s="3236"/>
      <c r="O50" s="3236"/>
    </row>
    <row r="51" spans="1:35" ht="12" customHeight="1">
      <c r="A51" s="181"/>
      <c r="B51" s="3168" t="s">
        <v>2201</v>
      </c>
      <c r="C51" s="3168"/>
      <c r="D51" s="182"/>
      <c r="E51" s="29"/>
      <c r="F51" s="180"/>
      <c r="G51" s="3244"/>
      <c r="H51" s="137"/>
      <c r="I51" s="2483"/>
      <c r="J51" s="2484" t="s">
        <v>2202</v>
      </c>
      <c r="K51" s="3236" t="s">
        <v>2203</v>
      </c>
      <c r="L51" s="3236"/>
      <c r="M51" s="2484" t="s">
        <v>2204</v>
      </c>
      <c r="N51" s="2484" t="s">
        <v>2205</v>
      </c>
      <c r="O51" s="2484" t="s">
        <v>2206</v>
      </c>
    </row>
    <row r="52" spans="1:35" ht="24" customHeight="1">
      <c r="A52" s="183" t="s">
        <v>2207</v>
      </c>
      <c r="B52" s="3168" t="s">
        <v>2208</v>
      </c>
      <c r="C52" s="3168"/>
      <c r="D52" s="182">
        <f ca="1">ROUND(D45*'数据-取费表'!B41/(1+'数据-取费表'!C42),0)</f>
        <v>5304</v>
      </c>
      <c r="E52" s="11" t="s">
        <v>2209</v>
      </c>
      <c r="F52" s="184">
        <f>'数据-取费表'!B41</f>
        <v>5.6000000000000001E-2</v>
      </c>
      <c r="G52" s="2485"/>
      <c r="H52" s="137"/>
      <c r="I52" s="2483"/>
      <c r="J52" s="1813">
        <v>1</v>
      </c>
      <c r="K52" s="3237" t="s">
        <v>2210</v>
      </c>
      <c r="L52" s="3237"/>
      <c r="M52" s="1755">
        <f>D48</f>
        <v>0</v>
      </c>
      <c r="N52" s="1813" t="str">
        <f>E48</f>
        <v>销售额×税（费）率</v>
      </c>
      <c r="O52" s="1756" t="str">
        <f>F48</f>
        <v>免征</v>
      </c>
    </row>
    <row r="53" spans="1:35" ht="12" customHeight="1">
      <c r="A53" s="183" t="s">
        <v>2211</v>
      </c>
      <c r="B53" s="3191" t="s">
        <v>2212</v>
      </c>
      <c r="C53" s="3192"/>
      <c r="D53" s="182">
        <f ca="1">ROUND(D45*'数据-取费表'!B41/(1+'数据-取费表'!C42),0)</f>
        <v>5304</v>
      </c>
      <c r="E53" s="11" t="s">
        <v>2209</v>
      </c>
      <c r="F53" s="184">
        <f>'数据-取费表'!B41</f>
        <v>5.6000000000000001E-2</v>
      </c>
      <c r="G53" s="2485"/>
      <c r="H53" s="137"/>
      <c r="I53" s="2483"/>
      <c r="J53" s="1813">
        <v>2</v>
      </c>
      <c r="K53" s="3237" t="s">
        <v>2213</v>
      </c>
      <c r="L53" s="3237"/>
      <c r="M53" s="1755">
        <f t="shared" ref="M53:O54" ca="1" si="0">D55</f>
        <v>50</v>
      </c>
      <c r="N53" s="1813" t="str">
        <f t="shared" si="0"/>
        <v>销售额×税（费）率</v>
      </c>
      <c r="O53" s="1756">
        <f t="shared" si="0"/>
        <v>5.0000000000000001E-4</v>
      </c>
    </row>
    <row r="54" spans="1:35" ht="12" customHeight="1">
      <c r="A54" s="183" t="s">
        <v>2214</v>
      </c>
      <c r="B54" s="3191" t="s">
        <v>2215</v>
      </c>
      <c r="C54" s="3192"/>
      <c r="D54" s="182">
        <f ca="1">C68</f>
        <v>5304</v>
      </c>
      <c r="E54" s="29" t="s">
        <v>2216</v>
      </c>
      <c r="F54" s="184">
        <f>'数据-取费表'!B41</f>
        <v>5.6000000000000001E-2</v>
      </c>
      <c r="G54" s="2485"/>
      <c r="H54" s="2486"/>
      <c r="I54" s="2483"/>
      <c r="J54" s="1813">
        <v>3</v>
      </c>
      <c r="K54" s="3237" t="s">
        <v>2217</v>
      </c>
      <c r="L54" s="3237"/>
      <c r="M54" s="1755">
        <f t="shared" ca="1" si="0"/>
        <v>56292</v>
      </c>
      <c r="N54" s="1813" t="str">
        <f t="shared" si="0"/>
        <v>增值额×税（费）率</v>
      </c>
      <c r="O54" s="1757" t="str">
        <f t="shared" si="0"/>
        <v>——</v>
      </c>
    </row>
    <row r="55" spans="1:35" ht="24" customHeight="1">
      <c r="A55" s="3182" t="s">
        <v>2218</v>
      </c>
      <c r="B55" s="3183"/>
      <c r="C55" s="3183"/>
      <c r="D55" s="185">
        <f ca="1">IF(H55="个人住宅",0,ROUND(D45*I55,0))</f>
        <v>50</v>
      </c>
      <c r="E55" s="11" t="s">
        <v>2219</v>
      </c>
      <c r="F55" s="184">
        <f>IF(H55="正常",I55,"免征")</f>
        <v>5.0000000000000001E-4</v>
      </c>
      <c r="G55" s="2485"/>
      <c r="H55" s="2482" t="s">
        <v>2220</v>
      </c>
      <c r="I55" s="186">
        <f>'数据-取费表'!B49</f>
        <v>5.0000000000000001E-4</v>
      </c>
      <c r="J55" s="1813" t="str">
        <f>IF(H59="非个人房产","",4)</f>
        <v/>
      </c>
      <c r="K55" s="3237" t="str">
        <f>IF(H59="非个人房产","——","个人所得税")</f>
        <v>——</v>
      </c>
      <c r="L55" s="3237"/>
      <c r="M55" s="1758" t="str">
        <f>D59</f>
        <v>——</v>
      </c>
      <c r="N55" s="1811" t="str">
        <f>E59</f>
        <v>——</v>
      </c>
      <c r="O55" s="1759" t="str">
        <f>F59</f>
        <v>——</v>
      </c>
    </row>
    <row r="56" spans="1:35" ht="24.75">
      <c r="A56" s="3182" t="s">
        <v>2221</v>
      </c>
      <c r="B56" s="3183"/>
      <c r="C56" s="3183"/>
      <c r="D56" s="185">
        <f ca="1">IF(H56="个人住宅",D57,D58)</f>
        <v>56292</v>
      </c>
      <c r="E56" s="11" t="s">
        <v>2222</v>
      </c>
      <c r="F56" s="184" t="str">
        <f>IF(H56="正常",F58,"免征")</f>
        <v>——</v>
      </c>
      <c r="G56" s="2487" t="s">
        <v>2223</v>
      </c>
      <c r="H56" s="2488" t="s">
        <v>2220</v>
      </c>
      <c r="I56" s="2489"/>
      <c r="J56" s="1813" t="str">
        <f>IF(项目基本情况!K6="上海银行",IF(J55="",4,J55+1),"")</f>
        <v/>
      </c>
      <c r="K56" s="3260" t="str">
        <f>IF(项目基本情况!K6="上海银行","其他处置费用","")</f>
        <v/>
      </c>
      <c r="L56" s="3261"/>
      <c r="M56" s="1755" t="str">
        <f>IF(项目基本情况!K6="上海银行",M69,"")</f>
        <v/>
      </c>
      <c r="N56" s="3263" t="str">
        <f>IF(项目基本情况!K6="上海银行","包含处置中涉及的律师、诉讼、拍卖、评估等费用","")</f>
        <v/>
      </c>
      <c r="O56" s="3264"/>
    </row>
    <row r="57" spans="1:35" ht="12.75">
      <c r="A57" s="183" t="s">
        <v>2196</v>
      </c>
      <c r="B57" s="3198" t="s">
        <v>2224</v>
      </c>
      <c r="C57" s="3210"/>
      <c r="D57" s="187">
        <v>0</v>
      </c>
      <c r="E57" s="22" t="s">
        <v>2198</v>
      </c>
      <c r="F57" s="155"/>
      <c r="G57" s="2485"/>
      <c r="H57" s="2489"/>
      <c r="I57" s="2489"/>
      <c r="J57" s="3237">
        <f>IF(AND(J55="",J56=""),4,IF(项目基本情况!K6="上海银行",'结果表-凯富'!J56+1,'结果表-凯富'!J55+1))</f>
        <v>4</v>
      </c>
      <c r="K57" s="3237" t="s">
        <v>2225</v>
      </c>
      <c r="L57" s="2490" t="s">
        <v>2226</v>
      </c>
      <c r="M57" s="1760"/>
      <c r="N57" s="1761">
        <f ca="1">SUMIF(M52:M56,"&lt;9e307")</f>
        <v>56342</v>
      </c>
      <c r="O57" s="2491"/>
      <c r="P57" s="1754">
        <f ca="1">N57/M49</f>
        <v>0.56650176962676968</v>
      </c>
    </row>
    <row r="58" spans="1:35" ht="24.75">
      <c r="A58" s="183" t="s">
        <v>2207</v>
      </c>
      <c r="B58" s="3198" t="s">
        <v>2227</v>
      </c>
      <c r="C58" s="3199"/>
      <c r="D58" s="185">
        <f ca="1">IF(H58="转让取得",C81,C97)</f>
        <v>56292</v>
      </c>
      <c r="E58" s="11" t="s">
        <v>2222</v>
      </c>
      <c r="F58" s="23" t="s">
        <v>34</v>
      </c>
      <c r="G58" s="2485"/>
      <c r="H58" s="2488" t="s">
        <v>2228</v>
      </c>
      <c r="I58" s="2489"/>
      <c r="J58" s="3237"/>
      <c r="K58" s="3237"/>
      <c r="L58" s="2490" t="s">
        <v>2229</v>
      </c>
      <c r="M58" s="1762"/>
      <c r="N58" s="2492" t="str">
        <f ca="1">NUMBERSTRING(INT(N57*10000),2)&amp;"元整"</f>
        <v>伍亿陆仟叁佰肆拾贰万元整</v>
      </c>
      <c r="O58" s="2493"/>
    </row>
    <row r="59" spans="1:35" ht="24.75" thickBot="1">
      <c r="A59" s="3240" t="s">
        <v>2230</v>
      </c>
      <c r="B59" s="3241"/>
      <c r="C59" s="3241"/>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38">
        <f>J57+1</f>
        <v>5</v>
      </c>
      <c r="K59" s="3237" t="s">
        <v>2232</v>
      </c>
      <c r="L59" s="1813" t="s">
        <v>2226</v>
      </c>
      <c r="M59" s="1763"/>
      <c r="N59" s="1764">
        <f ca="1">M49-N57</f>
        <v>43114</v>
      </c>
      <c r="O59" s="2495"/>
    </row>
    <row r="60" spans="1:35" ht="12" customHeight="1">
      <c r="A60" s="2496"/>
      <c r="B60" s="2418"/>
      <c r="C60" s="2418"/>
      <c r="D60" s="2418"/>
      <c r="E60" s="2169"/>
      <c r="F60" s="2489"/>
      <c r="G60" s="2489"/>
      <c r="H60" s="2497"/>
      <c r="I60" s="137"/>
      <c r="J60" s="3239"/>
      <c r="K60" s="3237"/>
      <c r="L60" s="2490" t="s">
        <v>2229</v>
      </c>
      <c r="M60" s="1762"/>
      <c r="N60" s="2492" t="str">
        <f ca="1">NUMBERSTRING(INT(N59*10000),2)&amp;"元整"</f>
        <v>肆亿叁仟壹佰壹拾肆万元整</v>
      </c>
      <c r="O60" s="2493"/>
    </row>
    <row r="61" spans="1:35" ht="13.5" thickBot="1">
      <c r="A61" s="3180" t="s">
        <v>2233</v>
      </c>
      <c r="B61" s="3180"/>
      <c r="C61" s="3180"/>
      <c r="D61" s="3180"/>
      <c r="E61" s="3180"/>
      <c r="F61" s="2489"/>
      <c r="G61" s="2489"/>
      <c r="H61" s="2497"/>
      <c r="I61" s="137"/>
      <c r="J61" s="1813">
        <f>J59+1</f>
        <v>6</v>
      </c>
      <c r="K61" s="3237" t="s">
        <v>2234</v>
      </c>
      <c r="L61" s="3237"/>
      <c r="M61" s="1765"/>
      <c r="N61" s="1766">
        <f ca="1">ROUND(N59*10000/'数据-汇总表'!E3,0)</f>
        <v>15465</v>
      </c>
      <c r="O61" s="2498"/>
    </row>
    <row r="62" spans="1:35" ht="12.75">
      <c r="A62" s="3196" t="s">
        <v>2235</v>
      </c>
      <c r="B62" s="3197"/>
      <c r="C62" s="1805"/>
      <c r="D62" s="1805" t="s">
        <v>2236</v>
      </c>
      <c r="E62" s="192" t="s">
        <v>2237</v>
      </c>
      <c r="F62" s="2489"/>
      <c r="G62" s="2489"/>
      <c r="H62" s="2497"/>
      <c r="I62" s="137"/>
    </row>
    <row r="63" spans="1:35" ht="12.75">
      <c r="A63" s="203" t="s">
        <v>775</v>
      </c>
      <c r="B63" s="193" t="s">
        <v>2238</v>
      </c>
      <c r="C63" s="194">
        <f ca="1">ROUND((C64+C65)/(1+'数据-取费表'!C42),0)</f>
        <v>94720</v>
      </c>
      <c r="D63" s="195"/>
      <c r="E63" s="196"/>
      <c r="F63" s="2489"/>
      <c r="G63" s="2489"/>
      <c r="H63" s="2497"/>
      <c r="I63" s="137"/>
      <c r="J63" s="3262" t="s">
        <v>2239</v>
      </c>
      <c r="K63" s="2499" t="s">
        <v>2240</v>
      </c>
      <c r="L63" s="1753">
        <f ca="1">IF(M49&gt;10000,M49*0.5%,IF(AND(M49&gt;1000,M49&lt;=10000),M49*1%,IF(AND(M49&gt;100,M49&lt;=1000),M49*3%,IF(AND(M49&gt;10,M49&lt;=100),M49*5%,M49*8%))))</f>
        <v>497.28000000000003</v>
      </c>
      <c r="M63" s="23">
        <f ca="1">ROUND(L63,1)</f>
        <v>497.3</v>
      </c>
      <c r="Z63" s="2423"/>
      <c r="AI63" s="2424"/>
    </row>
    <row r="64" spans="1:35" ht="14.25" customHeight="1">
      <c r="A64" s="197" t="s">
        <v>770</v>
      </c>
      <c r="B64" s="198" t="s">
        <v>2241</v>
      </c>
      <c r="C64" s="199">
        <f ca="1">D45</f>
        <v>99456</v>
      </c>
      <c r="D64" s="200" t="s">
        <v>32</v>
      </c>
      <c r="E64" s="201"/>
      <c r="F64" s="2489"/>
      <c r="G64" s="2489"/>
      <c r="H64" s="2497"/>
      <c r="I64" s="137"/>
      <c r="J64" s="3262"/>
      <c r="K64" s="2499" t="s">
        <v>2242</v>
      </c>
      <c r="L64" s="1753">
        <f ca="1">IF(M49&gt;2000,M49*0.5%,IF(AND(M49&gt;1000,M49&lt;=2000),M49*0.6%,IF(AND(M49&gt;500,M49&lt;=1000),M49*0.7%,IF(AND(M49&gt;200,M49&lt;=500),M49*0.8%,IF(AND(M49&gt;100,M49&lt;=200),M49*0.9%,IF(AND(M49&gt;50,M49&lt;=100),M49*1%,IF(AND(M49&gt;20,M49&lt;=50),M49*1.5%,IF(AND(M49&gt;10,M49&lt;=20),M49*2%,IF(AND(M49&gt;1,M49&lt;=10),M49*2.5%)))))))))</f>
        <v>497.28000000000003</v>
      </c>
      <c r="M64" s="23">
        <f t="shared" ref="M64:M65" ca="1" si="1">ROUND(L64,1)</f>
        <v>497.3</v>
      </c>
      <c r="N64" s="137" t="s">
        <v>2243</v>
      </c>
      <c r="Z64" s="2423"/>
      <c r="AI64" s="2424"/>
    </row>
    <row r="65" spans="1:35" ht="14.25" customHeight="1">
      <c r="A65" s="197" t="s">
        <v>771</v>
      </c>
      <c r="B65" s="198" t="s">
        <v>2244</v>
      </c>
      <c r="C65" s="202"/>
      <c r="D65" s="200"/>
      <c r="E65" s="201"/>
      <c r="F65" s="2489"/>
      <c r="G65" s="2489"/>
      <c r="H65" s="2497"/>
      <c r="I65" s="137"/>
      <c r="J65" s="3262"/>
      <c r="K65" s="2499" t="s">
        <v>2245</v>
      </c>
      <c r="L65" s="1753">
        <f ca="1">IF(M49&gt;1000,M49*0.1%,IF(AND(M49&gt;500,M49&lt;=1000),M49*0.5%,IF(AND(M49&gt;50,M49&lt;=500),M49*1%,IF(AND(M49&gt;1,M49&lt;=50),M49*1.5%))))</f>
        <v>99.456000000000003</v>
      </c>
      <c r="M65" s="23">
        <f t="shared" ca="1" si="1"/>
        <v>99.5</v>
      </c>
      <c r="N65" s="137" t="s">
        <v>2243</v>
      </c>
      <c r="Z65" s="2423"/>
      <c r="AI65" s="2424"/>
    </row>
    <row r="66" spans="1:35" ht="14.25" customHeight="1">
      <c r="A66" s="203" t="s">
        <v>772</v>
      </c>
      <c r="B66" s="204" t="s">
        <v>2246</v>
      </c>
      <c r="C66" s="205"/>
      <c r="D66" s="206" t="s">
        <v>32</v>
      </c>
      <c r="E66" s="1777" t="s">
        <v>1372</v>
      </c>
      <c r="F66" s="2489"/>
      <c r="G66" s="2489"/>
      <c r="H66" s="2497"/>
      <c r="I66" s="137"/>
      <c r="J66" s="3262"/>
      <c r="K66" s="2499" t="s">
        <v>2247</v>
      </c>
      <c r="L66" s="1753">
        <f ca="1">M49*0.5%</f>
        <v>497.28000000000003</v>
      </c>
      <c r="M66" s="23">
        <f ca="1">IF(L66&gt;0.5,0.5,ROUND(L66,0))</f>
        <v>0.5</v>
      </c>
      <c r="N66" s="137" t="s">
        <v>2248</v>
      </c>
      <c r="Z66" s="2423"/>
      <c r="AI66" s="2424"/>
    </row>
    <row r="67" spans="1:35" ht="14.25" customHeight="1">
      <c r="A67" s="203" t="s">
        <v>773</v>
      </c>
      <c r="B67" s="204" t="s">
        <v>2249</v>
      </c>
      <c r="C67" s="207">
        <f ca="1">C63-C66</f>
        <v>94720</v>
      </c>
      <c r="D67" s="200" t="s">
        <v>32</v>
      </c>
      <c r="E67" s="201"/>
      <c r="F67" s="2489"/>
      <c r="G67" s="2489"/>
      <c r="H67" s="2497"/>
      <c r="I67" s="137"/>
      <c r="J67" s="3262"/>
      <c r="K67" s="2499" t="s">
        <v>2250</v>
      </c>
      <c r="L67" s="1753">
        <f ca="1">IF(M49&gt;=10000,(8.25+(M49-10000)*0.01%),IF(AND(M49&gt;=8000,M49&lt;10000),(7.85+(M49-8000)*0.02%),IF(AND(M49&gt;=5000,M49&lt;8000),(6.65+(M49-5000)*0.04%),IF(AND(M49&gt;=2000,M49&lt;5000),(4.25+(PM49-2000)*0.08%),IF(AND(M49&gt;=1000,M49&lt;2000),(2.75+(M49-1000)*0.15%),IF(AND(M49&gt;=100,M49&lt;1000),(0.5+(M49-100)*0.25%),IF(AND(M49&gt;0,M49&lt;100),M49*0.5%)))))))</f>
        <v>17.195599999999999</v>
      </c>
      <c r="M67" s="23">
        <f ca="1">ROUND(L67*0.9,1)</f>
        <v>15.5</v>
      </c>
      <c r="Z67" s="2423"/>
      <c r="AI67" s="2424"/>
    </row>
    <row r="68" spans="1:35" ht="14.25" customHeight="1" thickBot="1">
      <c r="A68" s="208" t="s">
        <v>774</v>
      </c>
      <c r="B68" s="209" t="s">
        <v>2251</v>
      </c>
      <c r="C68" s="210">
        <f ca="1">IF(C67&lt;=0,0,ROUND(C67*D68,0))</f>
        <v>5304</v>
      </c>
      <c r="D68" s="211">
        <f>'数据-取费表'!B41</f>
        <v>5.6000000000000001E-2</v>
      </c>
      <c r="E68" s="212"/>
      <c r="F68" s="2489"/>
      <c r="G68" s="2489"/>
      <c r="H68" s="2497"/>
      <c r="I68" s="137"/>
      <c r="J68" s="3262"/>
      <c r="K68" s="2499" t="s">
        <v>2252</v>
      </c>
      <c r="L68" s="1753">
        <f ca="1">IF(M49&gt;10000,M49*0.5%,IF(AND(M49&gt;5000,M49&lt;=10000),M49*1%,IF(AND(M49&gt;1000,M49&lt;=5000),M49*2%,IF(AND(M49&gt;200,M49&lt;=1000),M49*3%,M49*5%))))</f>
        <v>497.28000000000003</v>
      </c>
      <c r="M68" s="23">
        <f ca="1">ROUND(L68,1)</f>
        <v>497.3</v>
      </c>
      <c r="Z68" s="2423"/>
      <c r="AI68" s="2424"/>
    </row>
    <row r="69" spans="1:35" s="2446" customFormat="1" ht="16.5" customHeight="1">
      <c r="A69" s="2500"/>
      <c r="B69" s="2501"/>
      <c r="C69" s="2502"/>
      <c r="D69" s="2503"/>
      <c r="E69" s="2504"/>
      <c r="F69" s="2169"/>
      <c r="G69" s="2169"/>
      <c r="H69" s="2168"/>
      <c r="I69" s="2418"/>
      <c r="J69" s="3262"/>
      <c r="K69" s="2499" t="s">
        <v>2253</v>
      </c>
      <c r="L69" s="2505"/>
      <c r="M69" s="23">
        <f ca="1">ROUND(SUM(M63:M68),0)</f>
        <v>1607</v>
      </c>
      <c r="N69" s="1754">
        <f ca="1">M69/M49</f>
        <v>1.615789897039897E-2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20" t="s">
        <v>2254</v>
      </c>
      <c r="B70" s="3221"/>
      <c r="C70" s="3221"/>
      <c r="D70" s="3221"/>
      <c r="E70" s="3221"/>
      <c r="F70" s="3221"/>
      <c r="G70" s="3221"/>
      <c r="H70" s="322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6" t="s">
        <v>2235</v>
      </c>
      <c r="B71" s="3197"/>
      <c r="C71" s="1805"/>
      <c r="D71" s="1805"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94720</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568</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91" t="s">
        <v>2263</v>
      </c>
      <c r="F76" s="3168"/>
      <c r="G76" s="3168"/>
      <c r="H76" s="321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3" t="s">
        <v>2266</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568</v>
      </c>
      <c r="D78" s="226">
        <f>'数据-取费表'!B43</f>
        <v>6.000000000000001E-3</v>
      </c>
      <c r="E78" s="3177" t="s">
        <v>2268</v>
      </c>
      <c r="F78" s="3178"/>
      <c r="G78" s="3178"/>
      <c r="H78" s="31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94152</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165.7605633802817</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56292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0" t="s">
        <v>2272</v>
      </c>
      <c r="B83" s="3221"/>
      <c r="C83" s="3221"/>
      <c r="D83" s="3221"/>
      <c r="E83" s="3221"/>
      <c r="F83" s="3221"/>
      <c r="G83" s="3221"/>
      <c r="H83" s="322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6" t="s">
        <v>2235</v>
      </c>
      <c r="B84" s="3197"/>
      <c r="C84" s="1805"/>
      <c r="D84" s="1805"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94720</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568</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1"/>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77" t="s">
        <v>2281</v>
      </c>
      <c r="F91" s="3178"/>
      <c r="G91" s="3178"/>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77" t="s">
        <v>2285</v>
      </c>
      <c r="F92" s="3178"/>
      <c r="G92" s="3178"/>
      <c r="H92" s="31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568</v>
      </c>
      <c r="D93" s="226">
        <f>'数据-取费表'!B43</f>
        <v>6.000000000000001E-3</v>
      </c>
      <c r="E93" s="3177" t="s">
        <v>2268</v>
      </c>
      <c r="F93" s="3178"/>
      <c r="G93" s="3178"/>
      <c r="H93" s="31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88" t="s">
        <v>2289</v>
      </c>
      <c r="F94" s="3189"/>
      <c r="G94" s="3189"/>
      <c r="H94" s="31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94152</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165.7605633802817</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56292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62" t="s">
        <v>2291</v>
      </c>
      <c r="B100" s="3163"/>
      <c r="C100" s="3163"/>
      <c r="D100" s="3179"/>
      <c r="E100" s="3163" t="s">
        <v>2292</v>
      </c>
      <c r="F100" s="3163"/>
      <c r="G100" s="3163"/>
      <c r="H100" s="3179"/>
      <c r="I100" s="137"/>
    </row>
    <row r="101" spans="1:35" ht="18.75" customHeight="1">
      <c r="A101" s="3245" t="s">
        <v>2293</v>
      </c>
      <c r="B101" s="3246"/>
      <c r="C101" s="736" t="str">
        <f>C4</f>
        <v>比较法-凯富</v>
      </c>
      <c r="D101" s="737" t="str">
        <f>D4</f>
        <v>收益法-凯富</v>
      </c>
      <c r="E101" s="3259" t="s">
        <v>2294</v>
      </c>
      <c r="F101" s="3212"/>
      <c r="G101" s="2520" t="s">
        <v>2295</v>
      </c>
      <c r="H101" s="1048">
        <f ca="1">H118</f>
        <v>99456</v>
      </c>
      <c r="I101" s="137"/>
    </row>
    <row r="102" spans="1:35" ht="18.75" customHeight="1">
      <c r="A102" s="3214" t="s">
        <v>2296</v>
      </c>
      <c r="B102" s="2520" t="s">
        <v>2295</v>
      </c>
      <c r="C102" s="736">
        <f ca="1">C19</f>
        <v>103953</v>
      </c>
      <c r="D102" s="737">
        <f ca="1">D19</f>
        <v>94959</v>
      </c>
      <c r="E102" s="3259"/>
      <c r="F102" s="3212"/>
      <c r="G102" s="2520" t="s">
        <v>2297</v>
      </c>
      <c r="H102" s="371">
        <f ca="1">I118</f>
        <v>35676</v>
      </c>
      <c r="I102" s="137"/>
    </row>
    <row r="103" spans="1:35" ht="42.75" customHeight="1">
      <c r="A103" s="3214"/>
      <c r="B103" s="2520" t="s">
        <v>2297</v>
      </c>
      <c r="C103" s="738">
        <f ca="1">C20</f>
        <v>37289</v>
      </c>
      <c r="D103" s="739">
        <f ca="1">D20</f>
        <v>34063</v>
      </c>
      <c r="E103" s="3254" t="s">
        <v>2298</v>
      </c>
      <c r="F103" s="3255"/>
      <c r="G103" s="2521" t="s">
        <v>2299</v>
      </c>
      <c r="H103" s="1048">
        <f>IF(D36="正常操作",H104+H105+H106,H105+H106)</f>
        <v>0</v>
      </c>
      <c r="I103" s="137"/>
    </row>
    <row r="104" spans="1:35" ht="18.75" customHeight="1">
      <c r="A104" s="3214" t="s">
        <v>2300</v>
      </c>
      <c r="B104" s="2522" t="s">
        <v>2295</v>
      </c>
      <c r="C104" s="740">
        <f ca="1">H118</f>
        <v>99456</v>
      </c>
      <c r="D104" s="741"/>
      <c r="E104" s="2269" t="s">
        <v>2301</v>
      </c>
      <c r="F104" s="2261"/>
      <c r="G104" s="2521" t="s">
        <v>2299</v>
      </c>
      <c r="H104" s="1049">
        <f>IF(D36="同一抵押权人同一抵押物续贷",C36&amp;"（未扣减，详见特别提示）",C36)</f>
        <v>0</v>
      </c>
      <c r="I104" s="137"/>
    </row>
    <row r="105" spans="1:35" ht="18.75" customHeight="1" thickBot="1">
      <c r="A105" s="3215"/>
      <c r="B105" s="2523" t="s">
        <v>2297</v>
      </c>
      <c r="C105" s="742">
        <f ca="1">I118</f>
        <v>35676</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211" t="str">
        <f>IF(项目基本情况!E8="已注销","——","3.房地产抵押价值")</f>
        <v>3.房地产抵押价值</v>
      </c>
      <c r="F107" s="3212"/>
      <c r="G107" s="2520" t="s">
        <v>2295</v>
      </c>
      <c r="H107" s="1048">
        <f ca="1">IF(E107="——","——",H101-H103)</f>
        <v>99456</v>
      </c>
      <c r="I107" s="137"/>
    </row>
    <row r="108" spans="1:35" ht="18.75" customHeight="1">
      <c r="A108" s="137"/>
      <c r="B108" s="137"/>
      <c r="C108" s="137"/>
      <c r="D108" s="137"/>
      <c r="E108" s="3211"/>
      <c r="F108" s="3212"/>
      <c r="G108" s="2520" t="s">
        <v>2297</v>
      </c>
      <c r="H108" s="371">
        <f ca="1">ROUND(H107*10000/'数据-汇总表'!E3,0)</f>
        <v>35676</v>
      </c>
      <c r="I108" s="137"/>
    </row>
    <row r="109" spans="1:35" ht="18.75" customHeight="1">
      <c r="A109" s="137"/>
      <c r="B109" s="137"/>
      <c r="C109" s="137"/>
      <c r="D109" s="137"/>
      <c r="E109" s="3211" t="str">
        <f>IF(项目基本情况!E8="已注销及未注销","4.抵押担保权已注销时的房地产抵押价值",IF(项目基本情况!E8="已注销","3.抵押担保权已注销时的房地产抵押价值","——"))</f>
        <v>——</v>
      </c>
      <c r="F109" s="3212"/>
      <c r="G109" s="2520" t="s">
        <v>2295</v>
      </c>
      <c r="H109" s="348" t="str">
        <f>IF(E109="——","——",H101-H105-H106)</f>
        <v>——</v>
      </c>
      <c r="I109" s="137"/>
    </row>
    <row r="110" spans="1:35" ht="18.75" customHeight="1">
      <c r="A110" s="137"/>
      <c r="B110" s="137"/>
      <c r="C110" s="137"/>
      <c r="D110" s="137"/>
      <c r="E110" s="3211"/>
      <c r="F110" s="3212"/>
      <c r="G110" s="2520" t="s">
        <v>2297</v>
      </c>
      <c r="H110" s="371" t="str">
        <f>IF(H109="——","——",ROUND(H109*10000/'数据-汇总表'!E3,0))</f>
        <v>——</v>
      </c>
      <c r="I110" s="137"/>
    </row>
    <row r="111" spans="1:35" ht="18.75" customHeight="1">
      <c r="A111" s="137"/>
      <c r="B111" s="137"/>
      <c r="C111" s="137"/>
      <c r="D111" s="137"/>
      <c r="E111" s="3247" t="str">
        <f>IF(项目基本情况!E9="抵押净值",IF(OR(项目基本情况!E8="已注销",项目基本情况!E8="房地产抵押价值"),"4.抵押净值","5.抵押净值"),"——")</f>
        <v>——</v>
      </c>
      <c r="F111" s="3248"/>
      <c r="G111" s="2520" t="s">
        <v>2295</v>
      </c>
      <c r="H111" s="1048" t="str">
        <f>IF(E111="——","——",N59)</f>
        <v>——</v>
      </c>
      <c r="I111" s="137"/>
    </row>
    <row r="112" spans="1:35" ht="18.75" customHeight="1" thickBot="1">
      <c r="A112" s="137"/>
      <c r="B112" s="137"/>
      <c r="C112" s="137"/>
      <c r="D112" s="137"/>
      <c r="E112" s="3249"/>
      <c r="F112" s="3250"/>
      <c r="G112" s="2525" t="s">
        <v>2297</v>
      </c>
      <c r="H112" s="790" t="str">
        <f>IF(E111="——","——",N61)</f>
        <v>——</v>
      </c>
      <c r="I112" s="137"/>
    </row>
    <row r="113" spans="1:11" ht="18.75" customHeight="1">
      <c r="A113" s="137"/>
      <c r="B113" s="137"/>
      <c r="C113" s="137"/>
      <c r="D113" s="137"/>
      <c r="E113" s="3216" t="s">
        <v>2303</v>
      </c>
      <c r="F113" s="3216"/>
      <c r="G113" s="3216"/>
      <c r="H113" s="3216"/>
      <c r="I113" s="137"/>
    </row>
    <row r="114" spans="1:11" ht="3.75" customHeight="1">
      <c r="A114" s="2418"/>
      <c r="B114" s="2418"/>
      <c r="C114" s="2418"/>
      <c r="D114" s="2418"/>
      <c r="E114" s="2496"/>
      <c r="F114" s="2496"/>
      <c r="G114" s="2496"/>
      <c r="H114" s="2496"/>
      <c r="I114" s="2418"/>
    </row>
    <row r="115" spans="1:11" ht="18.75" customHeight="1">
      <c r="A115" s="3229" t="s">
        <v>2305</v>
      </c>
      <c r="B115" s="3230"/>
      <c r="C115" s="3230"/>
      <c r="D115" s="3230"/>
      <c r="E115" s="3230"/>
      <c r="F115" s="3230"/>
      <c r="G115" s="3230"/>
      <c r="H115" s="3230"/>
      <c r="I115" s="3231"/>
    </row>
    <row r="116" spans="1:11" ht="27" customHeight="1">
      <c r="A116" s="3119" t="s">
        <v>2306</v>
      </c>
      <c r="B116" s="3217" t="s">
        <v>2307</v>
      </c>
      <c r="C116" s="3217" t="s">
        <v>2308</v>
      </c>
      <c r="D116" s="3234" t="s">
        <v>2309</v>
      </c>
      <c r="E116" s="3235"/>
      <c r="F116" s="3225" t="s">
        <v>2310</v>
      </c>
      <c r="G116" s="3225"/>
      <c r="H116" s="3119" t="s">
        <v>2311</v>
      </c>
      <c r="I116" s="3119"/>
    </row>
    <row r="117" spans="1:11" ht="18.75" customHeight="1">
      <c r="A117" s="3119"/>
      <c r="B117" s="3218"/>
      <c r="C117" s="3218"/>
      <c r="D117" s="1799" t="s">
        <v>2312</v>
      </c>
      <c r="E117" s="1799" t="s">
        <v>2313</v>
      </c>
      <c r="F117" s="1799" t="s">
        <v>2312</v>
      </c>
      <c r="G117" s="1799" t="s">
        <v>2314</v>
      </c>
      <c r="H117" s="1799" t="s">
        <v>2312</v>
      </c>
      <c r="I117" s="1799" t="s">
        <v>2314</v>
      </c>
    </row>
    <row r="118" spans="1:11" ht="24.75" customHeight="1">
      <c r="A118" s="2526" t="str">
        <f>项目基本情况!S2</f>
        <v>北京市朝阳区酒仙桥北路7号北侧房地产</v>
      </c>
      <c r="B118" s="1799">
        <f>M18</f>
        <v>27877.57</v>
      </c>
      <c r="C118" s="1799">
        <f>M19</f>
        <v>34936.35</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99456</v>
      </c>
      <c r="I118" s="1799">
        <f ca="1">ROUND(IF(D32="楼面单价",C32,H118*10000/B118),0)</f>
        <v>35676</v>
      </c>
    </row>
    <row r="119" spans="1:11" ht="18.75" customHeight="1">
      <c r="A119" s="3119" t="s">
        <v>2315</v>
      </c>
      <c r="B119" s="3119"/>
      <c r="C119" s="3119"/>
      <c r="D119" s="3222" t="e">
        <f ca="1">NUMBERSTRING(INT(D118*10000),2)&amp;"元整"</f>
        <v>#REF!</v>
      </c>
      <c r="E119" s="3224"/>
      <c r="F119" s="3222" t="e">
        <f ca="1">NUMBERSTRING(INT(F118*10000),2)&amp;"元整"</f>
        <v>#REF!</v>
      </c>
      <c r="G119" s="3224"/>
      <c r="H119" s="3222" t="str">
        <f ca="1">NUMBERSTRING(INT(H118*10000),2)&amp;"元整"</f>
        <v>玖亿玖仟肆佰伍拾陆万元整</v>
      </c>
      <c r="I119" s="3224"/>
    </row>
    <row r="120" spans="1:11" ht="18.75" customHeight="1">
      <c r="A120" s="3251" t="str">
        <f>IF(项目基本情况!B9="房地产市场价值","",MID(E103,3,LEN(E103)-2))</f>
        <v/>
      </c>
      <c r="B120" s="3252"/>
      <c r="C120" s="3253"/>
      <c r="D120" s="3251">
        <f>H103</f>
        <v>0</v>
      </c>
      <c r="E120" s="3252"/>
      <c r="F120" s="3252"/>
      <c r="G120" s="3252"/>
      <c r="H120" s="3252"/>
      <c r="I120" s="3253"/>
      <c r="K120" s="2423" t="str">
        <f>IF(D120=0,"故，本次评估不存在"&amp;A120,"故，本次评估"&amp;A120&amp;"为人民币"&amp;D120&amp;"万元整。")</f>
        <v>故，本次评估不存在</v>
      </c>
    </row>
    <row r="121" spans="1:11" ht="18.75" customHeight="1">
      <c r="A121" s="3226" t="s">
        <v>2315</v>
      </c>
      <c r="B121" s="3227"/>
      <c r="C121" s="3228"/>
      <c r="D121" s="3222" t="str">
        <f>IF(D120=0,"零元整",NUMBERSTRING(INT(D120*10000),2)&amp;"元整")</f>
        <v>零元整</v>
      </c>
      <c r="E121" s="3223"/>
      <c r="F121" s="3223"/>
      <c r="G121" s="3223"/>
      <c r="H121" s="3223"/>
      <c r="I121" s="3224"/>
    </row>
    <row r="122" spans="1:11" ht="18.75" customHeight="1">
      <c r="A122" s="3213" t="str">
        <f>IF(项目基本情况!B9="房地产市场价值","",MID(E107,3,LEN(E107)-2))</f>
        <v/>
      </c>
      <c r="B122" s="3213"/>
      <c r="C122" s="3213"/>
      <c r="D122" s="3251">
        <f ca="1">H107</f>
        <v>99456</v>
      </c>
      <c r="E122" s="3252"/>
      <c r="F122" s="3252"/>
      <c r="G122" s="3252"/>
      <c r="H122" s="3252"/>
      <c r="I122" s="3253"/>
    </row>
    <row r="123" spans="1:11" ht="18.75" customHeight="1">
      <c r="A123" s="3119" t="s">
        <v>2315</v>
      </c>
      <c r="B123" s="3119"/>
      <c r="C123" s="3119"/>
      <c r="D123" s="3222" t="str">
        <f ca="1">NUMBERSTRING(INT(D122*10000),2)&amp;"元整"</f>
        <v>玖亿玖仟肆佰伍拾陆万元整</v>
      </c>
      <c r="E123" s="3223"/>
      <c r="F123" s="3223"/>
      <c r="G123" s="3223"/>
      <c r="H123" s="3223"/>
      <c r="I123" s="3224"/>
    </row>
    <row r="124" spans="1:11" ht="18.75" customHeight="1">
      <c r="A124" s="3213" t="str">
        <f>IF(项目基本情况!B9="房地产市场价值","",MID(E109,3,LEN(E109)-2))</f>
        <v/>
      </c>
      <c r="B124" s="3213"/>
      <c r="C124" s="3213"/>
      <c r="D124" s="3251" t="str">
        <f>H109</f>
        <v>——</v>
      </c>
      <c r="E124" s="3252"/>
      <c r="F124" s="3252"/>
      <c r="G124" s="3252"/>
      <c r="H124" s="3252"/>
      <c r="I124" s="3253"/>
    </row>
    <row r="125" spans="1:11" ht="18.75" customHeight="1">
      <c r="A125" s="3119" t="s">
        <v>2315</v>
      </c>
      <c r="B125" s="3119"/>
      <c r="C125" s="3119"/>
      <c r="D125" s="3222" t="e">
        <f>NUMBERSTRING(INT(D124*10000),2)&amp;"元整"</f>
        <v>#VALUE!</v>
      </c>
      <c r="E125" s="3223"/>
      <c r="F125" s="3223"/>
      <c r="G125" s="3223"/>
      <c r="H125" s="3223"/>
      <c r="I125" s="3224"/>
    </row>
    <row r="126" spans="1:11" ht="18.75" customHeight="1">
      <c r="A126" s="3213" t="str">
        <f>IF(项目基本情况!B9="房地产市场价值","",MID(E111,3,LEN(E111)-2))</f>
        <v/>
      </c>
      <c r="B126" s="3213"/>
      <c r="C126" s="3213"/>
      <c r="D126" s="3251" t="str">
        <f>H111</f>
        <v>——</v>
      </c>
      <c r="E126" s="3252"/>
      <c r="F126" s="3252"/>
      <c r="G126" s="3252"/>
      <c r="H126" s="3252"/>
      <c r="I126" s="3253"/>
    </row>
    <row r="127" spans="1:11" ht="18.75" customHeight="1">
      <c r="A127" s="3119" t="s">
        <v>2315</v>
      </c>
      <c r="B127" s="3119"/>
      <c r="C127" s="3119"/>
      <c r="D127" s="3222" t="e">
        <f>NUMBERSTRING(INT(D126*10000),2)&amp;"元整"</f>
        <v>#VALUE!</v>
      </c>
      <c r="E127" s="3223"/>
      <c r="F127" s="3223"/>
      <c r="G127" s="3223"/>
      <c r="H127" s="3223"/>
      <c r="I127" s="3224"/>
    </row>
    <row r="128" spans="1:11" ht="21.75" customHeight="1">
      <c r="A128" s="3233" t="s">
        <v>2316</v>
      </c>
      <c r="B128" s="3233"/>
      <c r="C128" s="3233"/>
      <c r="D128" s="3233"/>
      <c r="E128" s="3233"/>
      <c r="F128" s="3233"/>
      <c r="G128" s="3233"/>
      <c r="H128" s="3233"/>
      <c r="I128" s="3233"/>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2" sqref="C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3310</v>
      </c>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f ca="1">IF(C2="——",ROUND(C50*D3/10000,0),ROUND(C50*D3/10000,0)-D2)</f>
        <v>103953</v>
      </c>
      <c r="C2" s="2588" t="s">
        <v>3329</v>
      </c>
      <c r="D2" s="1368">
        <f ca="1">SUMIF(INDIRECT("'"&amp;F2&amp;"'"&amp;"!A:A"),"承租人权益价值",INDIRECT("'"&amp;F2&amp;"'"&amp;"!c:c"))</f>
        <v>2001</v>
      </c>
      <c r="E2" s="2589" t="s">
        <v>2326</v>
      </c>
      <c r="F2" s="2590" t="s">
        <v>3265</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 ca="1">IF(C2="——",C50,ROUND(B2*10000/D3,0))</f>
        <v>37289</v>
      </c>
      <c r="C3" s="400" t="s">
        <v>2642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287" t="s">
        <v>2649</v>
      </c>
      <c r="Q4" s="3288"/>
      <c r="R4" s="3293" t="s">
        <v>2645</v>
      </c>
      <c r="S4" s="3294"/>
      <c r="T4" s="3293" t="s">
        <v>2646</v>
      </c>
      <c r="U4" s="3294"/>
      <c r="V4" s="3299" t="s">
        <v>2647</v>
      </c>
      <c r="W4" s="3299"/>
      <c r="X4" s="2672"/>
      <c r="Y4" s="3293" t="s">
        <v>2649</v>
      </c>
      <c r="Z4" s="3294"/>
      <c r="AA4" s="3312" t="s">
        <v>2645</v>
      </c>
      <c r="AB4" s="3312" t="s">
        <v>2646</v>
      </c>
      <c r="AC4" s="3280" t="s">
        <v>2647</v>
      </c>
    </row>
    <row r="5" spans="1:29" ht="15">
      <c r="A5" s="404"/>
      <c r="B5" s="405"/>
      <c r="C5" s="3309" t="s">
        <v>2540</v>
      </c>
      <c r="D5" s="3304"/>
      <c r="E5" s="3315" t="s">
        <v>3317</v>
      </c>
      <c r="F5" s="3316"/>
      <c r="G5" s="3303" t="s">
        <v>3318</v>
      </c>
      <c r="H5" s="3304"/>
      <c r="I5" s="3303" t="s">
        <v>3319</v>
      </c>
      <c r="J5" s="3304"/>
      <c r="K5" s="610"/>
      <c r="L5" s="1133"/>
      <c r="M5" s="1134"/>
      <c r="N5" s="1134"/>
      <c r="O5" s="1134"/>
      <c r="P5" s="3289"/>
      <c r="Q5" s="3290"/>
      <c r="R5" s="3295"/>
      <c r="S5" s="3296"/>
      <c r="T5" s="3295"/>
      <c r="U5" s="3296"/>
      <c r="V5" s="3300"/>
      <c r="W5" s="3300"/>
      <c r="X5" s="1817"/>
      <c r="Y5" s="3295"/>
      <c r="Z5" s="3296"/>
      <c r="AA5" s="3313"/>
      <c r="AB5" s="3313"/>
      <c r="AC5" s="3281"/>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291"/>
      <c r="Q6" s="3292"/>
      <c r="R6" s="3295"/>
      <c r="S6" s="3296"/>
      <c r="T6" s="3297"/>
      <c r="U6" s="3298"/>
      <c r="V6" s="3300"/>
      <c r="W6" s="3300"/>
      <c r="X6" s="1817"/>
      <c r="Y6" s="3297"/>
      <c r="Z6" s="3298"/>
      <c r="AA6" s="3314"/>
      <c r="AB6" s="3314"/>
      <c r="AC6" s="3282"/>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305" t="s">
        <v>2547</v>
      </c>
      <c r="Q7" s="3308"/>
      <c r="R7" s="770" t="s">
        <v>17</v>
      </c>
      <c r="S7" s="771">
        <f t="shared" ref="S7:S15" si="0">F7</f>
        <v>99</v>
      </c>
      <c r="T7" s="770" t="s">
        <v>17</v>
      </c>
      <c r="U7" s="771">
        <f t="shared" ref="U7:U15" si="1">H7</f>
        <v>100</v>
      </c>
      <c r="V7" s="770" t="s">
        <v>17</v>
      </c>
      <c r="W7" s="771">
        <f t="shared" ref="W7:W15" si="2">J7</f>
        <v>100</v>
      </c>
      <c r="X7" s="772"/>
      <c r="Y7" s="3307" t="s">
        <v>2547</v>
      </c>
      <c r="Z7" s="3306"/>
      <c r="AA7" s="773">
        <f>D7/F7</f>
        <v>1.0101010101010102</v>
      </c>
      <c r="AB7" s="773">
        <f>D7/H7</f>
        <v>1</v>
      </c>
      <c r="AC7" s="2673">
        <f>D7/J7</f>
        <v>1</v>
      </c>
    </row>
    <row r="8" spans="1:29" s="116" customFormat="1" ht="15.75" thickBot="1">
      <c r="A8" s="408" t="s">
        <v>2548</v>
      </c>
      <c r="B8" s="409"/>
      <c r="C8" s="414" t="s">
        <v>2650</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305" t="s">
        <v>2550</v>
      </c>
      <c r="Q8" s="3306"/>
      <c r="R8" s="770" t="s">
        <v>17</v>
      </c>
      <c r="S8" s="771">
        <f t="shared" si="0"/>
        <v>100</v>
      </c>
      <c r="T8" s="770" t="s">
        <v>17</v>
      </c>
      <c r="U8" s="771">
        <f t="shared" si="1"/>
        <v>100</v>
      </c>
      <c r="V8" s="770" t="s">
        <v>17</v>
      </c>
      <c r="W8" s="771">
        <f t="shared" si="2"/>
        <v>100</v>
      </c>
      <c r="X8" s="772"/>
      <c r="Y8" s="3307" t="s">
        <v>2550</v>
      </c>
      <c r="Z8" s="3306"/>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65" t="s">
        <v>2553</v>
      </c>
      <c r="Q9" s="1799" t="str">
        <f t="shared" ref="Q9:Q15" si="6">B9</f>
        <v>用途</v>
      </c>
      <c r="R9" s="770" t="s">
        <v>17</v>
      </c>
      <c r="S9" s="771">
        <f t="shared" si="0"/>
        <v>110</v>
      </c>
      <c r="T9" s="770" t="s">
        <v>17</v>
      </c>
      <c r="U9" s="771">
        <f t="shared" si="1"/>
        <v>110</v>
      </c>
      <c r="V9" s="770" t="s">
        <v>17</v>
      </c>
      <c r="W9" s="771">
        <f t="shared" si="2"/>
        <v>110</v>
      </c>
      <c r="X9" s="772"/>
      <c r="Y9" s="3119" t="s">
        <v>2554</v>
      </c>
      <c r="Z9" s="54" t="str">
        <f t="shared" ref="Z9:Z15" si="7">Q9</f>
        <v>用途</v>
      </c>
      <c r="AA9" s="773">
        <f t="shared" si="3"/>
        <v>0.90909090909090906</v>
      </c>
      <c r="AB9" s="773">
        <f t="shared" si="4"/>
        <v>0.90909090909090906</v>
      </c>
      <c r="AC9" s="2673">
        <f t="shared" si="5"/>
        <v>0.90909090909090906</v>
      </c>
    </row>
    <row r="10" spans="1:29" s="427" customFormat="1" ht="27">
      <c r="A10" s="421"/>
      <c r="B10" s="422"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65"/>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2673">
        <f t="shared" si="5"/>
        <v>1</v>
      </c>
    </row>
    <row r="11" spans="1:29" ht="15">
      <c r="A11" s="428"/>
      <c r="B11" s="422"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5"/>
      <c r="Q11" s="1799" t="str">
        <f t="shared" si="6"/>
        <v>容积率</v>
      </c>
      <c r="R11" s="770" t="s">
        <v>17</v>
      </c>
      <c r="S11" s="771">
        <f t="shared" si="0"/>
        <v>100</v>
      </c>
      <c r="T11" s="770" t="s">
        <v>17</v>
      </c>
      <c r="U11" s="771">
        <f t="shared" si="1"/>
        <v>100</v>
      </c>
      <c r="V11" s="770" t="s">
        <v>17</v>
      </c>
      <c r="W11" s="771">
        <f t="shared" si="2"/>
        <v>100</v>
      </c>
      <c r="X11" s="772"/>
      <c r="Y11" s="3119"/>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5"/>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5"/>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5"/>
      <c r="Q14" s="1799">
        <f t="shared" si="6"/>
        <v>111</v>
      </c>
      <c r="R14" s="770" t="s">
        <v>17</v>
      </c>
      <c r="S14" s="771">
        <f t="shared" si="0"/>
        <v>100</v>
      </c>
      <c r="T14" s="770" t="s">
        <v>17</v>
      </c>
      <c r="U14" s="771">
        <f t="shared" si="1"/>
        <v>100</v>
      </c>
      <c r="V14" s="770" t="s">
        <v>17</v>
      </c>
      <c r="W14" s="771">
        <f t="shared" si="2"/>
        <v>100</v>
      </c>
      <c r="X14" s="772"/>
      <c r="Y14" s="3119"/>
      <c r="Z14" s="54">
        <f t="shared" si="7"/>
        <v>111</v>
      </c>
      <c r="AA14" s="773">
        <f t="shared" si="3"/>
        <v>1</v>
      </c>
      <c r="AB14" s="773">
        <f t="shared" si="4"/>
        <v>1</v>
      </c>
      <c r="AC14" s="2673">
        <f t="shared" si="5"/>
        <v>1</v>
      </c>
    </row>
    <row r="15" spans="1:29" ht="71.25">
      <c r="A15" s="440" t="s">
        <v>2557</v>
      </c>
      <c r="B15" s="62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71" t="s">
        <v>2558</v>
      </c>
      <c r="Q15" s="1814" t="str">
        <f t="shared" si="6"/>
        <v>办公集聚程度</v>
      </c>
      <c r="R15" s="774" t="s">
        <v>17</v>
      </c>
      <c r="S15" s="775">
        <f t="shared" si="0"/>
        <v>100</v>
      </c>
      <c r="T15" s="774" t="s">
        <v>17</v>
      </c>
      <c r="U15" s="775">
        <f t="shared" si="1"/>
        <v>100</v>
      </c>
      <c r="V15" s="774" t="s">
        <v>17</v>
      </c>
      <c r="W15" s="775">
        <f t="shared" si="2"/>
        <v>100</v>
      </c>
      <c r="X15" s="1817"/>
      <c r="Y15" s="3273" t="s">
        <v>2558</v>
      </c>
      <c r="Z15" s="1818" t="str">
        <f t="shared" si="7"/>
        <v>办公集聚程度</v>
      </c>
      <c r="AA15" s="1815">
        <f t="shared" si="3"/>
        <v>1</v>
      </c>
      <c r="AB15" s="181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72"/>
      <c r="Q16" s="1814"/>
      <c r="R16" s="774"/>
      <c r="S16" s="775"/>
      <c r="T16" s="774"/>
      <c r="U16" s="775"/>
      <c r="V16" s="774"/>
      <c r="W16" s="775"/>
      <c r="X16" s="1817"/>
      <c r="Y16" s="3274"/>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72"/>
      <c r="Q17" s="1814" t="str">
        <f>B17</f>
        <v>交通便捷度</v>
      </c>
      <c r="R17" s="774" t="s">
        <v>17</v>
      </c>
      <c r="S17" s="775">
        <f>F17</f>
        <v>100</v>
      </c>
      <c r="T17" s="774" t="s">
        <v>17</v>
      </c>
      <c r="U17" s="775">
        <f>H17</f>
        <v>100</v>
      </c>
      <c r="V17" s="774" t="s">
        <v>17</v>
      </c>
      <c r="W17" s="775">
        <f>J17</f>
        <v>100</v>
      </c>
      <c r="X17" s="1817"/>
      <c r="Y17" s="3274"/>
      <c r="Z17" s="1818" t="str">
        <f>Q17</f>
        <v>交通便捷度</v>
      </c>
      <c r="AA17" s="1815">
        <f t="shared" si="3"/>
        <v>1</v>
      </c>
      <c r="AB17" s="181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72"/>
      <c r="Q18" s="1814"/>
      <c r="R18" s="774"/>
      <c r="S18" s="775"/>
      <c r="T18" s="774"/>
      <c r="U18" s="775"/>
      <c r="V18" s="774"/>
      <c r="W18" s="775"/>
      <c r="X18" s="1817"/>
      <c r="Y18" s="3274"/>
      <c r="Z18" s="1818"/>
      <c r="AA18" s="1815">
        <v>1</v>
      </c>
      <c r="AB18" s="181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72"/>
      <c r="Q19" s="1814" t="str">
        <f>B19</f>
        <v>公共配套设施</v>
      </c>
      <c r="R19" s="774" t="s">
        <v>17</v>
      </c>
      <c r="S19" s="775">
        <f>F19</f>
        <v>100</v>
      </c>
      <c r="T19" s="774" t="s">
        <v>17</v>
      </c>
      <c r="U19" s="775">
        <f>H19</f>
        <v>100</v>
      </c>
      <c r="V19" s="774" t="s">
        <v>17</v>
      </c>
      <c r="W19" s="775">
        <f>J19</f>
        <v>100</v>
      </c>
      <c r="X19" s="1817"/>
      <c r="Y19" s="3274"/>
      <c r="Z19" s="1818" t="str">
        <f>Q19</f>
        <v>公共配套设施</v>
      </c>
      <c r="AA19" s="1815">
        <f t="shared" si="3"/>
        <v>1</v>
      </c>
      <c r="AB19" s="181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72"/>
      <c r="Q20" s="1814"/>
      <c r="R20" s="774"/>
      <c r="S20" s="775"/>
      <c r="T20" s="774"/>
      <c r="U20" s="775"/>
      <c r="V20" s="774"/>
      <c r="W20" s="775"/>
      <c r="X20" s="1817"/>
      <c r="Y20" s="3274"/>
      <c r="Z20" s="1818"/>
      <c r="AA20" s="1815">
        <v>1</v>
      </c>
      <c r="AB20" s="181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72"/>
      <c r="Q21" s="1814" t="str">
        <f>B21</f>
        <v>基础设施水平</v>
      </c>
      <c r="R21" s="774" t="s">
        <v>17</v>
      </c>
      <c r="S21" s="775">
        <f>F21</f>
        <v>100</v>
      </c>
      <c r="T21" s="774" t="s">
        <v>17</v>
      </c>
      <c r="U21" s="775">
        <f>H21</f>
        <v>100</v>
      </c>
      <c r="V21" s="774" t="s">
        <v>17</v>
      </c>
      <c r="W21" s="775">
        <f>J21</f>
        <v>100</v>
      </c>
      <c r="X21" s="1817"/>
      <c r="Y21" s="3274"/>
      <c r="Z21" s="1818" t="str">
        <f>Q21</f>
        <v>基础设施水平</v>
      </c>
      <c r="AA21" s="1815">
        <f t="shared" ref="AA21" si="8">D21/F21</f>
        <v>1</v>
      </c>
      <c r="AB21" s="181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72"/>
      <c r="Q22" s="1814"/>
      <c r="R22" s="774"/>
      <c r="S22" s="775"/>
      <c r="T22" s="774"/>
      <c r="U22" s="775"/>
      <c r="V22" s="774"/>
      <c r="W22" s="775"/>
      <c r="X22" s="1817"/>
      <c r="Y22" s="3274"/>
      <c r="Z22" s="1818"/>
      <c r="AA22" s="1815">
        <v>1</v>
      </c>
      <c r="AB22" s="181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72"/>
      <c r="Q23" s="1814" t="str">
        <f>B23</f>
        <v>环境质量</v>
      </c>
      <c r="R23" s="774" t="s">
        <v>17</v>
      </c>
      <c r="S23" s="775">
        <f>F23</f>
        <v>100</v>
      </c>
      <c r="T23" s="774" t="s">
        <v>17</v>
      </c>
      <c r="U23" s="775">
        <f>H23</f>
        <v>100</v>
      </c>
      <c r="V23" s="774" t="s">
        <v>17</v>
      </c>
      <c r="W23" s="775">
        <f>J23</f>
        <v>100</v>
      </c>
      <c r="X23" s="1817"/>
      <c r="Y23" s="3274"/>
      <c r="Z23" s="1818" t="str">
        <f>Q23</f>
        <v>环境质量</v>
      </c>
      <c r="AA23" s="1815">
        <f t="shared" si="3"/>
        <v>1</v>
      </c>
      <c r="AB23" s="181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72"/>
      <c r="Q24" s="1814"/>
      <c r="R24" s="774"/>
      <c r="S24" s="775"/>
      <c r="T24" s="774"/>
      <c r="U24" s="775"/>
      <c r="V24" s="774"/>
      <c r="W24" s="775"/>
      <c r="X24" s="1817"/>
      <c r="Y24" s="3274"/>
      <c r="Z24" s="1818"/>
      <c r="AA24" s="1815">
        <v>1</v>
      </c>
      <c r="AB24" s="181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72"/>
      <c r="Q25" s="1814" t="str">
        <f>B25</f>
        <v>毗邻道路的类型与等级</v>
      </c>
      <c r="R25" s="774" t="s">
        <v>17</v>
      </c>
      <c r="S25" s="775">
        <f>F25</f>
        <v>100</v>
      </c>
      <c r="T25" s="774" t="s">
        <v>17</v>
      </c>
      <c r="U25" s="775">
        <f>H25</f>
        <v>100</v>
      </c>
      <c r="V25" s="774" t="s">
        <v>17</v>
      </c>
      <c r="W25" s="775">
        <f>J25</f>
        <v>100</v>
      </c>
      <c r="X25" s="1817"/>
      <c r="Y25" s="3274"/>
      <c r="Z25" s="1818" t="str">
        <f>Q25</f>
        <v>毗邻道路的类型与等级</v>
      </c>
      <c r="AA25" s="1815">
        <f t="shared" si="3"/>
        <v>1</v>
      </c>
      <c r="AB25" s="181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72"/>
      <c r="Q26" s="1814"/>
      <c r="R26" s="774"/>
      <c r="S26" s="775"/>
      <c r="T26" s="774"/>
      <c r="U26" s="775"/>
      <c r="V26" s="774"/>
      <c r="W26" s="775"/>
      <c r="X26" s="1817"/>
      <c r="Y26" s="3274"/>
      <c r="Z26" s="1818"/>
      <c r="AA26" s="1815">
        <v>1</v>
      </c>
      <c r="AB26" s="181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2"/>
      <c r="Q27" s="1814" t="str">
        <f t="shared" ref="Q27:Q47" si="11">B27</f>
        <v>楼层</v>
      </c>
      <c r="R27" s="774" t="s">
        <v>17</v>
      </c>
      <c r="S27" s="775">
        <f>F27</f>
        <v>100</v>
      </c>
      <c r="T27" s="774" t="s">
        <v>17</v>
      </c>
      <c r="U27" s="775">
        <f>H27</f>
        <v>100</v>
      </c>
      <c r="V27" s="774" t="s">
        <v>17</v>
      </c>
      <c r="W27" s="775">
        <f>J27</f>
        <v>100</v>
      </c>
      <c r="X27" s="1817"/>
      <c r="Y27" s="3274"/>
      <c r="Z27" s="1818" t="str">
        <f>Q27</f>
        <v>楼层</v>
      </c>
      <c r="AA27" s="1815">
        <f t="shared" si="3"/>
        <v>1</v>
      </c>
      <c r="AB27" s="181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72"/>
      <c r="Q28" s="1799" t="str">
        <f t="shared" si="11"/>
        <v>朝向</v>
      </c>
      <c r="R28" s="770" t="s">
        <v>17</v>
      </c>
      <c r="S28" s="771">
        <f>F28</f>
        <v>100</v>
      </c>
      <c r="T28" s="770" t="s">
        <v>17</v>
      </c>
      <c r="U28" s="771">
        <f>H28</f>
        <v>100</v>
      </c>
      <c r="V28" s="770" t="s">
        <v>17</v>
      </c>
      <c r="W28" s="771">
        <f>J28</f>
        <v>100</v>
      </c>
      <c r="X28" s="772"/>
      <c r="Y28" s="3274"/>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72"/>
      <c r="Q29" s="1814">
        <f t="shared" si="11"/>
        <v>111</v>
      </c>
      <c r="R29" s="774" t="s">
        <v>17</v>
      </c>
      <c r="S29" s="775">
        <f t="shared" ref="S29:S47" si="12">F29</f>
        <v>100</v>
      </c>
      <c r="T29" s="774" t="s">
        <v>17</v>
      </c>
      <c r="U29" s="775">
        <f t="shared" ref="U29:U47" si="13">H29</f>
        <v>100</v>
      </c>
      <c r="V29" s="774" t="s">
        <v>17</v>
      </c>
      <c r="W29" s="775">
        <f t="shared" ref="W29:W47" si="14">J29</f>
        <v>100</v>
      </c>
      <c r="X29" s="1817"/>
      <c r="Y29" s="3274"/>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72"/>
      <c r="Q30" s="1814">
        <f t="shared" si="11"/>
        <v>111</v>
      </c>
      <c r="R30" s="774" t="s">
        <v>17</v>
      </c>
      <c r="S30" s="775">
        <f t="shared" si="12"/>
        <v>100</v>
      </c>
      <c r="T30" s="774" t="s">
        <v>17</v>
      </c>
      <c r="U30" s="775">
        <f t="shared" si="13"/>
        <v>100</v>
      </c>
      <c r="V30" s="774" t="s">
        <v>17</v>
      </c>
      <c r="W30" s="775">
        <f t="shared" si="14"/>
        <v>100</v>
      </c>
      <c r="X30" s="1817"/>
      <c r="Y30" s="3274"/>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72"/>
      <c r="Q31" s="1814">
        <f t="shared" si="11"/>
        <v>111</v>
      </c>
      <c r="R31" s="774" t="s">
        <v>17</v>
      </c>
      <c r="S31" s="775">
        <f t="shared" si="12"/>
        <v>100</v>
      </c>
      <c r="T31" s="774" t="s">
        <v>17</v>
      </c>
      <c r="U31" s="775">
        <f t="shared" si="13"/>
        <v>100</v>
      </c>
      <c r="V31" s="774" t="s">
        <v>17</v>
      </c>
      <c r="W31" s="775">
        <f t="shared" si="14"/>
        <v>100</v>
      </c>
      <c r="X31" s="1817"/>
      <c r="Y31" s="3274"/>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72"/>
      <c r="Q32" s="1814">
        <f t="shared" si="11"/>
        <v>111</v>
      </c>
      <c r="R32" s="774" t="s">
        <v>17</v>
      </c>
      <c r="S32" s="775">
        <f t="shared" si="12"/>
        <v>100</v>
      </c>
      <c r="T32" s="774" t="s">
        <v>17</v>
      </c>
      <c r="U32" s="775">
        <f t="shared" si="13"/>
        <v>100</v>
      </c>
      <c r="V32" s="774" t="s">
        <v>17</v>
      </c>
      <c r="W32" s="775">
        <f t="shared" si="14"/>
        <v>100</v>
      </c>
      <c r="X32" s="1817"/>
      <c r="Y32" s="3274"/>
      <c r="Z32" s="1818">
        <f t="shared" si="15"/>
        <v>111</v>
      </c>
      <c r="AA32" s="1815">
        <f t="shared" si="3"/>
        <v>1</v>
      </c>
      <c r="AB32" s="181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75" t="s">
        <v>2563</v>
      </c>
      <c r="Q33" s="1814" t="str">
        <f t="shared" si="11"/>
        <v>建筑类型</v>
      </c>
      <c r="R33" s="774" t="s">
        <v>17</v>
      </c>
      <c r="S33" s="775">
        <f t="shared" si="12"/>
        <v>100</v>
      </c>
      <c r="T33" s="774" t="s">
        <v>17</v>
      </c>
      <c r="U33" s="775">
        <f t="shared" si="13"/>
        <v>100</v>
      </c>
      <c r="V33" s="774" t="s">
        <v>17</v>
      </c>
      <c r="W33" s="775">
        <f t="shared" si="14"/>
        <v>100</v>
      </c>
      <c r="X33" s="1817"/>
      <c r="Y33" s="3278" t="s">
        <v>2563</v>
      </c>
      <c r="Z33" s="1818" t="str">
        <f t="shared" si="15"/>
        <v>建筑类型</v>
      </c>
      <c r="AA33" s="1815">
        <f t="shared" si="3"/>
        <v>1</v>
      </c>
      <c r="AB33" s="1815">
        <f t="shared" si="4"/>
        <v>1</v>
      </c>
      <c r="AC33" s="2676">
        <f t="shared" si="5"/>
        <v>1</v>
      </c>
    </row>
    <row r="34" spans="1:29" s="471" customFormat="1" ht="15">
      <c r="A34" s="468"/>
      <c r="B34" s="422" t="s">
        <v>2564</v>
      </c>
      <c r="C34" s="469">
        <f>'数据-汇总表'!F19</f>
        <v>27877.57</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76"/>
      <c r="Q34" s="776" t="str">
        <f t="shared" si="11"/>
        <v>项目建筑规模</v>
      </c>
      <c r="R34" s="777" t="s">
        <v>17</v>
      </c>
      <c r="S34" s="778">
        <f t="shared" si="12"/>
        <v>105</v>
      </c>
      <c r="T34" s="777" t="s">
        <v>17</v>
      </c>
      <c r="U34" s="778">
        <f t="shared" si="13"/>
        <v>104</v>
      </c>
      <c r="V34" s="777" t="s">
        <v>17</v>
      </c>
      <c r="W34" s="778">
        <f t="shared" si="14"/>
        <v>101</v>
      </c>
      <c r="X34" s="779"/>
      <c r="Y34" s="3278"/>
      <c r="Z34" s="780" t="str">
        <f t="shared" si="15"/>
        <v>项目建筑规模</v>
      </c>
      <c r="AA34" s="1815">
        <f t="shared" si="3"/>
        <v>0.95238095238095233</v>
      </c>
      <c r="AB34" s="1815">
        <f t="shared" si="4"/>
        <v>0.96153846153846156</v>
      </c>
      <c r="AC34" s="2676">
        <f t="shared" si="5"/>
        <v>0.99009900990099009</v>
      </c>
    </row>
    <row r="35" spans="1:29" ht="15">
      <c r="A35" s="472"/>
      <c r="B35" s="422"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76"/>
      <c r="Q35" s="1814" t="str">
        <f t="shared" si="11"/>
        <v>建筑结构</v>
      </c>
      <c r="R35" s="774" t="s">
        <v>17</v>
      </c>
      <c r="S35" s="775">
        <f t="shared" si="12"/>
        <v>100</v>
      </c>
      <c r="T35" s="774" t="s">
        <v>17</v>
      </c>
      <c r="U35" s="775">
        <f t="shared" si="13"/>
        <v>100</v>
      </c>
      <c r="V35" s="774" t="s">
        <v>17</v>
      </c>
      <c r="W35" s="775">
        <f t="shared" si="14"/>
        <v>100</v>
      </c>
      <c r="X35" s="1817"/>
      <c r="Y35" s="3278"/>
      <c r="Z35" s="1818" t="str">
        <f t="shared" si="15"/>
        <v>建筑结构</v>
      </c>
      <c r="AA35" s="1815">
        <f t="shared" si="3"/>
        <v>1</v>
      </c>
      <c r="AB35" s="1815">
        <f t="shared" si="4"/>
        <v>1</v>
      </c>
      <c r="AC35" s="2676">
        <f t="shared" si="5"/>
        <v>1</v>
      </c>
    </row>
    <row r="36" spans="1:29" ht="15">
      <c r="A36" s="472"/>
      <c r="B36" s="422"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76"/>
      <c r="Q36" s="1814" t="str">
        <f t="shared" si="11"/>
        <v>公共部分装修</v>
      </c>
      <c r="R36" s="774" t="s">
        <v>17</v>
      </c>
      <c r="S36" s="775">
        <f t="shared" si="12"/>
        <v>100</v>
      </c>
      <c r="T36" s="774" t="s">
        <v>17</v>
      </c>
      <c r="U36" s="775">
        <f t="shared" si="13"/>
        <v>100</v>
      </c>
      <c r="V36" s="774" t="s">
        <v>17</v>
      </c>
      <c r="W36" s="775">
        <f t="shared" si="14"/>
        <v>100</v>
      </c>
      <c r="X36" s="1817"/>
      <c r="Y36" s="3278"/>
      <c r="Z36" s="1818" t="str">
        <f t="shared" si="15"/>
        <v>公共部分装修</v>
      </c>
      <c r="AA36" s="1815">
        <f t="shared" si="3"/>
        <v>1</v>
      </c>
      <c r="AB36" s="1815">
        <f t="shared" si="4"/>
        <v>1</v>
      </c>
      <c r="AC36" s="2676">
        <f t="shared" si="5"/>
        <v>1</v>
      </c>
    </row>
    <row r="37" spans="1:29" ht="15">
      <c r="A37" s="472"/>
      <c r="B37" s="422"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276"/>
      <c r="Q37" s="1814" t="str">
        <f t="shared" si="11"/>
        <v>成新度</v>
      </c>
      <c r="R37" s="774" t="s">
        <v>17</v>
      </c>
      <c r="S37" s="775">
        <f t="shared" si="12"/>
        <v>100</v>
      </c>
      <c r="T37" s="774" t="s">
        <v>17</v>
      </c>
      <c r="U37" s="775">
        <f t="shared" si="13"/>
        <v>100</v>
      </c>
      <c r="V37" s="774" t="s">
        <v>17</v>
      </c>
      <c r="W37" s="775">
        <f t="shared" si="14"/>
        <v>98</v>
      </c>
      <c r="X37" s="1817"/>
      <c r="Y37" s="3278"/>
      <c r="Z37" s="1818" t="str">
        <f t="shared" si="15"/>
        <v>成新度</v>
      </c>
      <c r="AA37" s="1815">
        <f t="shared" si="3"/>
        <v>1</v>
      </c>
      <c r="AB37" s="1815">
        <f t="shared" si="4"/>
        <v>1</v>
      </c>
      <c r="AC37" s="2676">
        <f t="shared" si="5"/>
        <v>1.0204081632653061</v>
      </c>
    </row>
    <row r="38" spans="1:29" s="116" customFormat="1" ht="15">
      <c r="A38" s="473"/>
      <c r="B38" s="422"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276"/>
      <c r="Q38" s="1799" t="str">
        <f t="shared" si="11"/>
        <v>写字楼等级</v>
      </c>
      <c r="R38" s="770" t="s">
        <v>17</v>
      </c>
      <c r="S38" s="771">
        <f t="shared" si="12"/>
        <v>100</v>
      </c>
      <c r="T38" s="770" t="s">
        <v>17</v>
      </c>
      <c r="U38" s="771">
        <f t="shared" si="13"/>
        <v>100</v>
      </c>
      <c r="V38" s="770" t="s">
        <v>17</v>
      </c>
      <c r="W38" s="771">
        <f t="shared" si="14"/>
        <v>100</v>
      </c>
      <c r="X38" s="772"/>
      <c r="Y38" s="3278"/>
      <c r="Z38" s="54" t="str">
        <f t="shared" si="15"/>
        <v>写字楼等级</v>
      </c>
      <c r="AA38" s="773">
        <f t="shared" si="3"/>
        <v>1</v>
      </c>
      <c r="AB38" s="773">
        <f t="shared" si="4"/>
        <v>1</v>
      </c>
      <c r="AC38" s="2673">
        <f t="shared" si="5"/>
        <v>1</v>
      </c>
    </row>
    <row r="39" spans="1:29" ht="15">
      <c r="A39" s="472"/>
      <c r="B39" s="422"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76" t="s">
        <v>2563</v>
      </c>
      <c r="Q39" s="1814" t="str">
        <f t="shared" si="11"/>
        <v>物业管理</v>
      </c>
      <c r="R39" s="774" t="s">
        <v>17</v>
      </c>
      <c r="S39" s="775">
        <f t="shared" si="12"/>
        <v>100</v>
      </c>
      <c r="T39" s="774" t="s">
        <v>17</v>
      </c>
      <c r="U39" s="775">
        <f t="shared" si="13"/>
        <v>100</v>
      </c>
      <c r="V39" s="774" t="s">
        <v>17</v>
      </c>
      <c r="W39" s="775">
        <f t="shared" si="14"/>
        <v>100</v>
      </c>
      <c r="X39" s="1817"/>
      <c r="Y39" s="3278" t="s">
        <v>2563</v>
      </c>
      <c r="Z39" s="1818" t="str">
        <f t="shared" si="15"/>
        <v>物业管理</v>
      </c>
      <c r="AA39" s="1815">
        <f t="shared" si="3"/>
        <v>1</v>
      </c>
      <c r="AB39" s="1815">
        <f t="shared" si="4"/>
        <v>1</v>
      </c>
      <c r="AC39" s="2676">
        <f t="shared" si="5"/>
        <v>1</v>
      </c>
    </row>
    <row r="40" spans="1:29" ht="15">
      <c r="A40" s="472"/>
      <c r="B40" s="422"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76"/>
      <c r="Q40" s="1814" t="str">
        <f t="shared" si="11"/>
        <v>市政基础设施</v>
      </c>
      <c r="R40" s="774" t="s">
        <v>17</v>
      </c>
      <c r="S40" s="775">
        <f t="shared" si="12"/>
        <v>100</v>
      </c>
      <c r="T40" s="774" t="s">
        <v>17</v>
      </c>
      <c r="U40" s="775">
        <f t="shared" si="13"/>
        <v>100</v>
      </c>
      <c r="V40" s="774" t="s">
        <v>17</v>
      </c>
      <c r="W40" s="775">
        <f t="shared" si="14"/>
        <v>100</v>
      </c>
      <c r="X40" s="1817"/>
      <c r="Y40" s="3278"/>
      <c r="Z40" s="1818" t="str">
        <f t="shared" si="15"/>
        <v>市政基础设施</v>
      </c>
      <c r="AA40" s="1815">
        <f t="shared" si="3"/>
        <v>1</v>
      </c>
      <c r="AB40" s="1815">
        <f t="shared" si="4"/>
        <v>1</v>
      </c>
      <c r="AC40" s="2676">
        <f t="shared" si="5"/>
        <v>1</v>
      </c>
    </row>
    <row r="41" spans="1:29" ht="15">
      <c r="A41" s="472"/>
      <c r="B41" s="422"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76"/>
      <c r="Q41" s="1814" t="str">
        <f t="shared" si="11"/>
        <v>层高</v>
      </c>
      <c r="R41" s="774" t="s">
        <v>17</v>
      </c>
      <c r="S41" s="775">
        <f t="shared" si="12"/>
        <v>100</v>
      </c>
      <c r="T41" s="774" t="s">
        <v>17</v>
      </c>
      <c r="U41" s="775">
        <f t="shared" si="13"/>
        <v>100</v>
      </c>
      <c r="V41" s="774" t="s">
        <v>17</v>
      </c>
      <c r="W41" s="775">
        <f t="shared" si="14"/>
        <v>100</v>
      </c>
      <c r="X41" s="1817"/>
      <c r="Y41" s="3278"/>
      <c r="Z41" s="1818" t="str">
        <f t="shared" si="15"/>
        <v>层高</v>
      </c>
      <c r="AA41" s="1815">
        <f t="shared" si="3"/>
        <v>1</v>
      </c>
      <c r="AB41" s="1815">
        <f t="shared" si="4"/>
        <v>1</v>
      </c>
      <c r="AC41" s="2676">
        <f t="shared" si="5"/>
        <v>1</v>
      </c>
    </row>
    <row r="42" spans="1:29" s="471" customFormat="1" ht="15">
      <c r="A42" s="468"/>
      <c r="B42" s="181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6"/>
      <c r="Q42" s="776" t="str">
        <f t="shared" si="11"/>
        <v>单套建筑面积</v>
      </c>
      <c r="R42" s="777" t="s">
        <v>17</v>
      </c>
      <c r="S42" s="778">
        <f t="shared" si="12"/>
        <v>100</v>
      </c>
      <c r="T42" s="777" t="s">
        <v>17</v>
      </c>
      <c r="U42" s="778">
        <f t="shared" si="13"/>
        <v>100</v>
      </c>
      <c r="V42" s="777" t="s">
        <v>17</v>
      </c>
      <c r="W42" s="778">
        <f t="shared" si="14"/>
        <v>100</v>
      </c>
      <c r="X42" s="779"/>
      <c r="Y42" s="3278"/>
      <c r="Z42" s="780" t="str">
        <f t="shared" si="15"/>
        <v>单套建筑面积</v>
      </c>
      <c r="AA42" s="1815">
        <f t="shared" si="3"/>
        <v>1</v>
      </c>
      <c r="AB42" s="1815">
        <f t="shared" si="4"/>
        <v>1</v>
      </c>
      <c r="AC42" s="2676">
        <f t="shared" si="5"/>
        <v>1</v>
      </c>
    </row>
    <row r="43" spans="1:29" ht="15">
      <c r="A43" s="472"/>
      <c r="B43" s="422"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76"/>
      <c r="Q43" s="1814" t="str">
        <f t="shared" si="11"/>
        <v>内部装修</v>
      </c>
      <c r="R43" s="774" t="s">
        <v>17</v>
      </c>
      <c r="S43" s="775">
        <f t="shared" si="12"/>
        <v>100</v>
      </c>
      <c r="T43" s="774" t="s">
        <v>17</v>
      </c>
      <c r="U43" s="775">
        <f t="shared" si="13"/>
        <v>100</v>
      </c>
      <c r="V43" s="774" t="s">
        <v>17</v>
      </c>
      <c r="W43" s="775">
        <f t="shared" si="14"/>
        <v>100</v>
      </c>
      <c r="X43" s="1817"/>
      <c r="Y43" s="3278"/>
      <c r="Z43" s="1818" t="str">
        <f t="shared" si="15"/>
        <v>内部装修</v>
      </c>
      <c r="AA43" s="1815">
        <f t="shared" si="3"/>
        <v>1</v>
      </c>
      <c r="AB43" s="1815">
        <f t="shared" si="4"/>
        <v>1</v>
      </c>
      <c r="AC43" s="2676">
        <f t="shared" si="5"/>
        <v>1</v>
      </c>
    </row>
    <row r="44" spans="1:29" ht="15">
      <c r="A44" s="472"/>
      <c r="B44" s="422"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76"/>
      <c r="Q44" s="1814" t="str">
        <f t="shared" si="11"/>
        <v>内部装修维护情况</v>
      </c>
      <c r="R44" s="774" t="s">
        <v>17</v>
      </c>
      <c r="S44" s="775">
        <f t="shared" si="12"/>
        <v>100</v>
      </c>
      <c r="T44" s="774" t="s">
        <v>17</v>
      </c>
      <c r="U44" s="775">
        <f t="shared" si="13"/>
        <v>100</v>
      </c>
      <c r="V44" s="774" t="s">
        <v>17</v>
      </c>
      <c r="W44" s="775">
        <f t="shared" si="14"/>
        <v>100</v>
      </c>
      <c r="X44" s="1817"/>
      <c r="Y44" s="3278"/>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76"/>
      <c r="Q45" s="1799">
        <f t="shared" si="11"/>
        <v>111</v>
      </c>
      <c r="R45" s="770" t="s">
        <v>17</v>
      </c>
      <c r="S45" s="771">
        <f t="shared" si="12"/>
        <v>100</v>
      </c>
      <c r="T45" s="770" t="s">
        <v>17</v>
      </c>
      <c r="U45" s="771">
        <f t="shared" si="13"/>
        <v>100</v>
      </c>
      <c r="V45" s="770" t="s">
        <v>17</v>
      </c>
      <c r="W45" s="771">
        <f t="shared" si="14"/>
        <v>100</v>
      </c>
      <c r="X45" s="772"/>
      <c r="Y45" s="3278"/>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6"/>
      <c r="Q46" s="1814">
        <f t="shared" si="11"/>
        <v>111</v>
      </c>
      <c r="R46" s="774" t="s">
        <v>17</v>
      </c>
      <c r="S46" s="775">
        <f t="shared" si="12"/>
        <v>100</v>
      </c>
      <c r="T46" s="774" t="s">
        <v>17</v>
      </c>
      <c r="U46" s="775">
        <f t="shared" si="13"/>
        <v>100</v>
      </c>
      <c r="V46" s="774" t="s">
        <v>17</v>
      </c>
      <c r="W46" s="775">
        <f t="shared" si="14"/>
        <v>100</v>
      </c>
      <c r="X46" s="1817"/>
      <c r="Y46" s="3278"/>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7"/>
      <c r="Q47" s="1814">
        <f t="shared" si="11"/>
        <v>111</v>
      </c>
      <c r="R47" s="774" t="s">
        <v>17</v>
      </c>
      <c r="S47" s="775">
        <f t="shared" si="12"/>
        <v>100</v>
      </c>
      <c r="T47" s="774" t="s">
        <v>17</v>
      </c>
      <c r="U47" s="775">
        <f t="shared" si="13"/>
        <v>100</v>
      </c>
      <c r="V47" s="774" t="s">
        <v>17</v>
      </c>
      <c r="W47" s="775">
        <f t="shared" si="14"/>
        <v>100</v>
      </c>
      <c r="X47" s="1817"/>
      <c r="Y47" s="3279"/>
      <c r="Z47" s="1818">
        <f t="shared" si="15"/>
        <v>111</v>
      </c>
      <c r="AA47" s="1815">
        <f t="shared" si="3"/>
        <v>1</v>
      </c>
      <c r="AB47" s="1815">
        <f t="shared" si="4"/>
        <v>1</v>
      </c>
      <c r="AC47" s="2676">
        <f t="shared" si="5"/>
        <v>1</v>
      </c>
    </row>
    <row r="48" spans="1:29" ht="15">
      <c r="A48" s="479" t="s">
        <v>2575</v>
      </c>
      <c r="B48" s="480"/>
      <c r="C48" s="1410" t="s">
        <v>1</v>
      </c>
      <c r="D48" s="1411"/>
      <c r="E48" s="1412">
        <f>ROUND(47000*95%,0)</f>
        <v>44650</v>
      </c>
      <c r="F48" s="1413"/>
      <c r="G48" s="1414">
        <f>ROUND(43000*95%,0)</f>
        <v>40850</v>
      </c>
      <c r="H48" s="1415"/>
      <c r="I48" s="1412">
        <f>ROUND(45000*95%,0)</f>
        <v>42750</v>
      </c>
      <c r="J48" s="485"/>
      <c r="K48" s="783"/>
      <c r="L48" s="1146"/>
      <c r="M48" s="1134"/>
      <c r="N48" s="1134"/>
      <c r="O48" s="1134"/>
      <c r="P48" s="3265" t="str">
        <f>A48</f>
        <v>成交单价（元/平方米）</v>
      </c>
      <c r="Q48" s="3266"/>
      <c r="R48" s="3267">
        <f>E48</f>
        <v>44650</v>
      </c>
      <c r="S48" s="3267"/>
      <c r="T48" s="3267">
        <f>G48</f>
        <v>40850</v>
      </c>
      <c r="U48" s="3267"/>
      <c r="V48" s="3267">
        <f>I48</f>
        <v>42750</v>
      </c>
      <c r="W48" s="3267"/>
      <c r="X48" s="446"/>
      <c r="Y48" s="781"/>
      <c r="Z48" s="446"/>
      <c r="AA48" s="446"/>
      <c r="AB48" s="446"/>
      <c r="AC48" s="630"/>
    </row>
    <row r="49" spans="1:29" ht="15.75" thickBot="1">
      <c r="A49" s="486" t="s">
        <v>2667</v>
      </c>
      <c r="B49" s="487"/>
      <c r="C49" s="1416">
        <f>R50</f>
        <v>38007</v>
      </c>
      <c r="D49" s="1417"/>
      <c r="E49" s="1418">
        <f>R49</f>
        <v>39048</v>
      </c>
      <c r="F49" s="1418"/>
      <c r="G49" s="1416">
        <f>T49</f>
        <v>35708</v>
      </c>
      <c r="H49" s="1417"/>
      <c r="I49" s="1418">
        <f>V49</f>
        <v>39264</v>
      </c>
      <c r="J49" s="489"/>
      <c r="K49" s="784"/>
      <c r="L49" s="1146"/>
      <c r="M49" s="1134"/>
      <c r="N49" s="1134"/>
      <c r="O49" s="1134"/>
      <c r="P49" s="3265" t="str">
        <f>A49</f>
        <v>比较价值（元/平方米）</v>
      </c>
      <c r="Q49" s="3266"/>
      <c r="R49" s="3267">
        <f>IF(F1="售价",ROUND(PRODUCT(R48,AA7:AA47),0),ROUND(PRODUCT(R48,AA7:AA47),1))</f>
        <v>39048</v>
      </c>
      <c r="S49" s="3267"/>
      <c r="T49" s="3267">
        <f>IF(F1="售价",ROUND(PRODUCT(T48,AB7:AB47),0),ROUND(PRODUCT(T48,AB7:AB47),1))</f>
        <v>35708</v>
      </c>
      <c r="U49" s="3267"/>
      <c r="V49" s="3267">
        <f>IF(F1="售价",ROUND(PRODUCT(V48,AC7:AC47),0),ROUND(PRODUCT(V48,AC7:AC47),1))</f>
        <v>39264</v>
      </c>
      <c r="W49" s="3267"/>
      <c r="X49" s="446"/>
      <c r="Y49" s="446"/>
      <c r="Z49" s="446"/>
      <c r="AA49" s="446"/>
      <c r="AB49" s="446"/>
      <c r="AC49" s="630"/>
    </row>
    <row r="50" spans="1:29" ht="15.75" thickBot="1">
      <c r="A50" s="492" t="s">
        <v>2668</v>
      </c>
      <c r="B50" s="493"/>
      <c r="C50" s="1420">
        <f>R50</f>
        <v>38007</v>
      </c>
      <c r="D50" s="1420"/>
      <c r="E50" s="1420"/>
      <c r="F50" s="1420"/>
      <c r="G50" s="1420"/>
      <c r="H50" s="1420"/>
      <c r="I50" s="1420"/>
      <c r="J50" s="494"/>
      <c r="K50" s="785"/>
      <c r="L50" s="1146"/>
      <c r="M50" s="1134"/>
      <c r="N50" s="1134"/>
      <c r="O50" s="1134"/>
      <c r="P50" s="3268" t="str">
        <f>A50</f>
        <v>估价对象XX用房的比较价值（楼面单价，元/平方米）</v>
      </c>
      <c r="Q50" s="3269"/>
      <c r="R50" s="3270">
        <f>IF(F1="售价",ROUND(AVERAGE(R49:V49),0),ROUND(AVERAGE(R49:V49),1))</f>
        <v>38007</v>
      </c>
      <c r="S50" s="3270"/>
      <c r="T50" s="3270"/>
      <c r="U50" s="3270"/>
      <c r="V50" s="3270"/>
      <c r="W50" s="327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0.1434644540053267</v>
      </c>
      <c r="F53" s="500" t="str">
        <f>IF(OR(E53&gt;=0.3,E53&lt;=-0.3),"超过30%","")</f>
        <v/>
      </c>
      <c r="G53" s="499">
        <f>IF(G48&lt;G49,G49/G48-1,G48/G49-1)</f>
        <v>0.14400134423658573</v>
      </c>
      <c r="H53" s="500" t="str">
        <f>IF(OR(G53&gt;=0.3,G53&lt;=-0.3),"超过30%","")</f>
        <v/>
      </c>
      <c r="I53" s="499">
        <f>IF(I48&lt;I49,I49/I48-1,I48/I49-1)</f>
        <v>8.8783618581907087E-2</v>
      </c>
      <c r="J53" s="500" t="str">
        <f>IF(OR(I53&gt;=0.3,I53&lt;=-0.3),"超过30%","")</f>
        <v/>
      </c>
      <c r="K53" s="1108"/>
      <c r="L53" s="1109"/>
      <c r="M53" s="1147"/>
      <c r="N53" s="1147"/>
      <c r="O53" s="1147"/>
    </row>
    <row r="54" spans="1:29" ht="13.5" customHeight="1">
      <c r="A54" s="1147"/>
      <c r="B54" s="1147"/>
      <c r="C54" s="497" t="s">
        <v>2670</v>
      </c>
      <c r="D54" s="501"/>
      <c r="E54" s="499">
        <f>IF(E49&lt;G49,G49/E49-1,E49/G49-1)</f>
        <v>9.3536462417385557E-2</v>
      </c>
      <c r="F54" s="500" t="str">
        <f>IF(OR(E54&gt;=0.2,E54&lt;=-0.2),"超过20%","")</f>
        <v/>
      </c>
      <c r="G54" s="499">
        <f>IF(G49&lt;I49,I49/G49-1,G49/I49-1)</f>
        <v>9.9585527052761247E-2</v>
      </c>
      <c r="H54" s="500" t="str">
        <f>IF(OR(G54&gt;=0.2,G54&lt;=-0.2),"超过20%","")</f>
        <v/>
      </c>
      <c r="I54" s="499">
        <f>IF(I49&lt;E49,E49/I49-1,I49/E49-1)</f>
        <v>5.5316533497233866E-3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2650</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75" t="str">
        <f>项目基本情况!B1</f>
        <v>北京市朝阳区酒仙桥北路7号北侧房地产市场价值预评估</v>
      </c>
      <c r="C37" s="3075"/>
      <c r="D37" s="3075"/>
      <c r="E37" s="3075"/>
      <c r="F37" s="3075"/>
      <c r="G37" s="3075"/>
      <c r="H37" s="3075"/>
      <c r="I37" s="3075"/>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3275</v>
      </c>
      <c r="D1" s="1824" t="s">
        <v>70</v>
      </c>
      <c r="E1" s="1825" t="s">
        <v>1388</v>
      </c>
      <c r="F1" s="1286">
        <f ca="1">J53</f>
        <v>35.11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94959</v>
      </c>
      <c r="C2" s="1849" t="s">
        <v>1518</v>
      </c>
      <c r="D2" s="1849"/>
      <c r="E2" s="1850"/>
      <c r="F2" s="1851"/>
      <c r="G2" s="1852"/>
      <c r="H2" s="1844"/>
      <c r="I2" s="1844"/>
      <c r="J2" s="1844"/>
      <c r="K2" s="1845"/>
      <c r="L2" s="1844"/>
      <c r="M2" s="1844"/>
    </row>
    <row r="3" spans="1:37" ht="18" customHeight="1" thickBot="1">
      <c r="A3" s="1853" t="s">
        <v>1519</v>
      </c>
      <c r="B3" s="1854">
        <f ca="1">IF(ISERROR(B2*10000/F43),0,ROUND(B2*10000/F43,0))</f>
        <v>34063</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5033</v>
      </c>
      <c r="D5" s="1826" t="s">
        <v>1403</v>
      </c>
      <c r="E5" s="1296"/>
      <c r="F5" s="1297"/>
      <c r="G5" s="1855"/>
      <c r="H5" s="344">
        <v>1</v>
      </c>
      <c r="I5" s="345" t="s">
        <v>1402</v>
      </c>
      <c r="J5" s="1295">
        <f ca="1">J6+J10+J12</f>
        <v>6025</v>
      </c>
      <c r="K5" s="1826" t="s">
        <v>1403</v>
      </c>
      <c r="L5" s="1296"/>
      <c r="M5" s="1297"/>
    </row>
    <row r="6" spans="1:37" ht="18" customHeight="1">
      <c r="A6" s="1294" t="s">
        <v>1035</v>
      </c>
      <c r="B6" s="3319" t="s">
        <v>1404</v>
      </c>
      <c r="C6" s="1299">
        <f ca="1">ROUND(F6*F8*F7*(1-F9)/10000,0)</f>
        <v>5027</v>
      </c>
      <c r="D6" s="164" t="s">
        <v>3030</v>
      </c>
      <c r="E6" s="347" t="s">
        <v>1406</v>
      </c>
      <c r="F6" s="348">
        <f ca="1">INDIRECT("'数据-取费表'!u"&amp;$G$1)</f>
        <v>4.9400000000000004</v>
      </c>
      <c r="G6" s="1855"/>
      <c r="H6" s="1294" t="s">
        <v>1035</v>
      </c>
      <c r="I6" s="3319" t="s">
        <v>1404</v>
      </c>
      <c r="J6" s="346">
        <f ca="1">ROUND(M6*M8*M7*(1-M9)/10000,0)</f>
        <v>6017</v>
      </c>
      <c r="K6" s="164" t="s">
        <v>3029</v>
      </c>
      <c r="L6" s="347" t="s">
        <v>1406</v>
      </c>
      <c r="M6" s="348">
        <f ca="1">INDIRECT("'数据-取费表'!z"&amp;$G$1)</f>
        <v>6.57</v>
      </c>
    </row>
    <row r="7" spans="1:37" ht="18" customHeight="1">
      <c r="A7" s="1298"/>
      <c r="B7" s="3320"/>
      <c r="C7" s="1300"/>
      <c r="D7" s="352"/>
      <c r="E7" s="1301" t="s">
        <v>1407</v>
      </c>
      <c r="F7" s="348">
        <f ca="1">IF(INDIRECT("'数据-取费表'!ah"&amp;$G$1)="",INDIRECT("'数据-取费表'!k"&amp;$G$1),INDIRECT("'数据-取费表'!ah"&amp;$G$1))</f>
        <v>27877.57</v>
      </c>
      <c r="G7" s="1855"/>
      <c r="H7" s="349"/>
      <c r="I7" s="3320"/>
      <c r="J7" s="351"/>
      <c r="K7" s="352"/>
      <c r="L7" s="347" t="s">
        <v>1407</v>
      </c>
      <c r="M7" s="348">
        <f ca="1">F7</f>
        <v>27877.57</v>
      </c>
    </row>
    <row r="8" spans="1:37" ht="18" customHeight="1">
      <c r="A8" s="349"/>
      <c r="B8" s="3320"/>
      <c r="C8" s="351"/>
      <c r="D8" s="352"/>
      <c r="E8" s="347" t="s">
        <v>1408</v>
      </c>
      <c r="F8" s="348">
        <f ca="1">INDIRECT("'数据-取费表'!ai"&amp;$G$1)</f>
        <v>365</v>
      </c>
      <c r="G8" s="1855"/>
      <c r="H8" s="349"/>
      <c r="I8" s="3320"/>
      <c r="J8" s="351"/>
      <c r="K8" s="352"/>
      <c r="L8" s="347" t="s">
        <v>1408</v>
      </c>
      <c r="M8" s="348">
        <f ca="1">INDIRECT("'数据-取费表'!ai"&amp;$G$1)</f>
        <v>365</v>
      </c>
    </row>
    <row r="9" spans="1:37" ht="18" customHeight="1">
      <c r="A9" s="349"/>
      <c r="B9" s="3321"/>
      <c r="C9" s="351"/>
      <c r="D9" s="352"/>
      <c r="E9" s="347" t="s">
        <v>1409</v>
      </c>
      <c r="F9" s="357">
        <f ca="1">INDIRECT("'数据-取费表'!w"&amp;$G$1)</f>
        <v>0</v>
      </c>
      <c r="G9" s="1855"/>
      <c r="H9" s="349"/>
      <c r="I9" s="332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6</v>
      </c>
      <c r="D10" s="1828" t="s">
        <v>3031</v>
      </c>
      <c r="E10" s="358" t="s">
        <v>1412</v>
      </c>
      <c r="F10" s="1369" t="s">
        <v>3328</v>
      </c>
      <c r="G10" s="1855"/>
      <c r="H10" s="1294" t="s">
        <v>1039</v>
      </c>
      <c r="I10" s="1827" t="s">
        <v>1410</v>
      </c>
      <c r="J10" s="346">
        <f ca="1">ROUND(IF(M10="押一",M6*M8*M7/12*M11,IF(M10="押二",M6*M8*M7/12*2*M11,IF(M10="押三",M6*M8*M7/12*3*M11,J11*M11)))/10000,0)</f>
        <v>8</v>
      </c>
      <c r="K10" s="1828" t="s">
        <v>3032</v>
      </c>
      <c r="L10" s="358" t="s">
        <v>1412</v>
      </c>
      <c r="M10" s="3057" t="s">
        <v>3328</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9418</v>
      </c>
      <c r="D13" s="1334" t="s">
        <v>1417</v>
      </c>
      <c r="E13" s="1334" t="s">
        <v>1418</v>
      </c>
      <c r="F13" s="1335">
        <f ca="1">INDIRECT("'数据-取费表'!y"&amp;$G$1)</f>
        <v>0.8</v>
      </c>
      <c r="G13" s="1855"/>
      <c r="H13" s="1332">
        <v>2</v>
      </c>
      <c r="I13" s="1333" t="s">
        <v>1416</v>
      </c>
      <c r="J13" s="1293">
        <f ca="1">ROUND(J14*J15,0)</f>
        <v>7888</v>
      </c>
      <c r="K13" s="1340" t="s">
        <v>1417</v>
      </c>
      <c r="L13" s="1856"/>
      <c r="M13" s="1857"/>
    </row>
    <row r="14" spans="1:37" ht="18" customHeight="1">
      <c r="A14" s="1204" t="s">
        <v>1034</v>
      </c>
      <c r="B14" s="347" t="s">
        <v>1419</v>
      </c>
      <c r="C14" s="363">
        <f ca="1">INDIRECT("'数据-取费表'!m"&amp;$G$1)+INDIRECT("'数据-取费表'!t"&amp;$G$1)</f>
        <v>7806</v>
      </c>
      <c r="D14" s="1804" t="s">
        <v>1420</v>
      </c>
      <c r="E14" s="1798"/>
      <c r="F14" s="364"/>
      <c r="G14" s="1855"/>
      <c r="H14" s="1204" t="s">
        <v>1035</v>
      </c>
      <c r="I14" s="347" t="s">
        <v>1421</v>
      </c>
      <c r="J14" s="23">
        <f ca="1">C29</f>
        <v>11773</v>
      </c>
      <c r="K14" s="14"/>
      <c r="L14" s="982"/>
      <c r="M14" s="983"/>
    </row>
    <row r="15" spans="1:37" s="1862" customFormat="1" ht="18" customHeight="1" thickBot="1">
      <c r="A15" s="1204" t="s">
        <v>1036</v>
      </c>
      <c r="B15" s="347" t="s">
        <v>1422</v>
      </c>
      <c r="C15" s="23">
        <f ca="1">ROUND(C14*F15,0)</f>
        <v>312</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855</v>
      </c>
      <c r="K16" s="1340" t="s">
        <v>1427</v>
      </c>
      <c r="L16" s="1341"/>
      <c r="M16" s="1297"/>
    </row>
    <row r="17" spans="1:37" s="1862" customFormat="1" ht="18" customHeight="1">
      <c r="A17" s="1204" t="s">
        <v>1391</v>
      </c>
      <c r="B17" s="347" t="s">
        <v>1428</v>
      </c>
      <c r="C17" s="23">
        <f ca="1">ROUND(F17*(F43+INDIRECT("'数据-取费表'!S"&amp;$G$1))/10000,0)</f>
        <v>558</v>
      </c>
      <c r="D17" s="347" t="s">
        <v>1429</v>
      </c>
      <c r="E17" s="347" t="s">
        <v>1430</v>
      </c>
      <c r="F17" s="25">
        <f>'数据-取费表'!B35</f>
        <v>200</v>
      </c>
      <c r="G17" s="1858"/>
      <c r="H17" s="1204" t="s">
        <v>1035</v>
      </c>
      <c r="I17" s="347" t="s">
        <v>1431</v>
      </c>
      <c r="J17" s="23">
        <f ca="1">ROUND(IF(项目基本情况!B11="自然人",J5*M17,J18+J19+J20),1)</f>
        <v>483.1</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117</v>
      </c>
      <c r="D18" s="347" t="s">
        <v>1423</v>
      </c>
      <c r="E18" s="347" t="s">
        <v>1424</v>
      </c>
      <c r="F18" s="367">
        <f>'数据-取费表'!B36</f>
        <v>1.4999999999999999E-2</v>
      </c>
      <c r="G18" s="1858"/>
      <c r="H18" s="1204" t="s">
        <v>1034</v>
      </c>
      <c r="I18" s="347" t="s">
        <v>1435</v>
      </c>
      <c r="J18" s="23">
        <f ca="1">ROUND(J5*M18/(1+'数据-取费表'!C42),2)</f>
        <v>321.33</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8793</v>
      </c>
      <c r="D19" s="139" t="s">
        <v>1438</v>
      </c>
      <c r="E19" s="1822"/>
      <c r="F19" s="25"/>
      <c r="G19" s="1855"/>
      <c r="H19" s="1204" t="s">
        <v>1036</v>
      </c>
      <c r="I19" s="347" t="s">
        <v>1439</v>
      </c>
      <c r="J19" s="23">
        <f ca="1">IF(K19="按租金收入计税",ROUND(J5*M19,2),ROUND(C29*M19*0.7,2))</f>
        <v>98.89</v>
      </c>
      <c r="K19" s="1832" t="s">
        <v>1440</v>
      </c>
      <c r="L19" s="347" t="s">
        <v>1424</v>
      </c>
      <c r="M19" s="367">
        <f>IF(K19="按租金收入计税",'数据-取费表'!B51,'数据-取费表'!B50)</f>
        <v>1.2E-2</v>
      </c>
    </row>
    <row r="20" spans="1:37" s="1862" customFormat="1" ht="18" customHeight="1">
      <c r="A20" s="1204" t="s">
        <v>1039</v>
      </c>
      <c r="B20" s="347" t="s">
        <v>1441</v>
      </c>
      <c r="C20" s="23">
        <f ca="1">ROUND(C19*F20,0)</f>
        <v>176</v>
      </c>
      <c r="D20" s="369" t="s">
        <v>1442</v>
      </c>
      <c r="E20" s="347" t="s">
        <v>1424</v>
      </c>
      <c r="F20" s="367">
        <f>'数据-取费表'!B37</f>
        <v>0.02</v>
      </c>
      <c r="G20" s="1858"/>
      <c r="H20" s="1204" t="s">
        <v>1390</v>
      </c>
      <c r="I20" s="164" t="s">
        <v>1443</v>
      </c>
      <c r="J20" s="24">
        <f ca="1">ROUND(M20*M21/10000,2)</f>
        <v>62.89</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34936.35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ROUND(J14*M22,1)</f>
        <v>235.5</v>
      </c>
      <c r="K22" s="1802" t="s">
        <v>1452</v>
      </c>
      <c r="L22" s="347" t="s">
        <v>1424</v>
      </c>
      <c r="M22" s="374">
        <f ca="1">INDIRECT("'数据-取费表'!Ak"&amp;$G$1)</f>
        <v>0.02</v>
      </c>
    </row>
    <row r="23" spans="1:37" s="1862" customFormat="1" ht="18" customHeight="1">
      <c r="A23" s="1204" t="s">
        <v>1034</v>
      </c>
      <c r="B23" s="347" t="s">
        <v>1453</v>
      </c>
      <c r="C23" s="23">
        <f ca="1">IF('数据-取费表'!B22&lt;=1,ROUND(C19*F24*F23/2,0)+ROUND(C20*F24*F23/2,0),ROUND(C19*(POWER((1+F24),F23/2)-1),0)+ROUND(C20*(POWER((1+F24),F23/2)-1),0))</f>
        <v>98</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ROUND(J13*M23,1)</f>
        <v>15.8</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120.5</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f ca="1">J5-J16</f>
        <v>5170</v>
      </c>
      <c r="K25" s="1348" t="s">
        <v>1466</v>
      </c>
      <c r="L25" s="1349"/>
      <c r="M25" s="1350"/>
    </row>
    <row r="26" spans="1:37">
      <c r="A26" s="1204" t="s">
        <v>1034</v>
      </c>
      <c r="B26" s="347" t="s">
        <v>1467</v>
      </c>
      <c r="C26" s="23">
        <f ca="1">ROUND((C19+C20)*F26,0)</f>
        <v>1794</v>
      </c>
      <c r="D26" s="369" t="s">
        <v>1468</v>
      </c>
      <c r="E26" s="358" t="s">
        <v>1469</v>
      </c>
      <c r="F26" s="357">
        <f ca="1">INDIRECT("'数据-取费表'!q"&amp;$G$1)</f>
        <v>0.2</v>
      </c>
      <c r="G26" s="1855"/>
      <c r="H26" s="344" t="s">
        <v>1032</v>
      </c>
      <c r="I26" s="345" t="s">
        <v>1470</v>
      </c>
      <c r="J26" s="346">
        <f ca="1">IF(J5&lt;&gt;0,ROUND(J25*(1-((1+M28)/(1+M26))^M27)/(M26-M28),0),0)</f>
        <v>100263</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30.22</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11773</v>
      </c>
      <c r="D29" s="1345"/>
      <c r="E29" s="1343"/>
      <c r="F29" s="1346"/>
      <c r="G29" s="1858"/>
      <c r="H29" s="380" t="s">
        <v>1033</v>
      </c>
      <c r="I29" s="381" t="s">
        <v>1481</v>
      </c>
      <c r="J29" s="382">
        <f ca="1">ROUND(J26/(1+F40)^F41,0)</f>
        <v>77168</v>
      </c>
      <c r="K29" s="383" t="s">
        <v>1482</v>
      </c>
      <c r="L29" s="384"/>
      <c r="M29" s="385">
        <f ca="1">INDIRECT("'数据-取费表'!k"&amp;$G$1)</f>
        <v>27877.57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785</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ROUND(IF(项目基本情况!B11="自然人",C5*F31,C32+C33+C34),1)</f>
        <v>430.2</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268.43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98.89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62.89</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34936.35</v>
      </c>
      <c r="G35" s="1855"/>
      <c r="H35" s="745"/>
      <c r="I35" s="1864"/>
      <c r="J35" s="1865"/>
      <c r="K35" s="1866"/>
      <c r="L35" s="1863"/>
      <c r="M35" s="1863"/>
    </row>
    <row r="36" spans="1:18" ht="18" customHeight="1">
      <c r="A36" s="1355" t="s">
        <v>1039</v>
      </c>
      <c r="B36" s="347" t="s">
        <v>1451</v>
      </c>
      <c r="C36" s="23">
        <f ca="1">ROUND(C29*F36,1)</f>
        <v>235.5</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3">
        <f ca="1">ROUND(C13*F37,1)</f>
        <v>18.8</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100.7</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4248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17791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4.8899999999999997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6382</v>
      </c>
      <c r="D43" s="383" t="s">
        <v>1490</v>
      </c>
      <c r="E43" s="384" t="s">
        <v>1491</v>
      </c>
      <c r="F43" s="385">
        <f ca="1">INDIRECT("'数据-取费表'!k"&amp;$G$1)</f>
        <v>27877.57</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2001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f ca="1">INDIRECT("'数据-取费表'!d"&amp;$G$1)</f>
        <v>50</v>
      </c>
      <c r="M47" s="1842" t="str">
        <f>IF(ISNUMBER(FIND("住宅",C1)),"住宅","非住宅")</f>
        <v>非住宅</v>
      </c>
      <c r="O47" s="1888" t="s">
        <v>1040</v>
      </c>
      <c r="P47" s="1889" t="s">
        <v>1530</v>
      </c>
      <c r="Q47" s="1890">
        <f ca="1">C40+J29</f>
        <v>94959</v>
      </c>
      <c r="R47" s="1890" t="s">
        <v>1531</v>
      </c>
    </row>
    <row r="48" spans="1:18" s="1846" customFormat="1" ht="28.5" thickBot="1">
      <c r="A48" s="1363" t="s">
        <v>1135</v>
      </c>
      <c r="B48" s="345" t="s">
        <v>1402</v>
      </c>
      <c r="C48" s="1821">
        <f ca="1">C49+C53+C55</f>
        <v>5319</v>
      </c>
      <c r="D48" s="1365"/>
      <c r="E48" s="1366"/>
      <c r="F48" s="1184"/>
      <c r="G48" s="792"/>
      <c r="H48" s="793"/>
      <c r="I48" s="1891" t="s">
        <v>1532</v>
      </c>
      <c r="J48" s="1892" t="s">
        <v>3274</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5312</v>
      </c>
      <c r="D49" s="1279" t="s">
        <v>3033</v>
      </c>
      <c r="E49" s="1834" t="s">
        <v>1493</v>
      </c>
      <c r="F49" s="1284">
        <f>市场租金整理!A4</f>
        <v>5.8</v>
      </c>
      <c r="G49" s="1895"/>
      <c r="H49" s="793"/>
      <c r="I49" s="1891" t="s">
        <v>1536</v>
      </c>
      <c r="J49" s="1896"/>
      <c r="K49" s="1893" t="s">
        <v>1537</v>
      </c>
      <c r="L49" s="1897"/>
      <c r="O49" s="1898" t="s">
        <v>1042</v>
      </c>
      <c r="P49" s="1889" t="s">
        <v>1538</v>
      </c>
      <c r="Q49" s="1890">
        <f ca="1">C29</f>
        <v>11773</v>
      </c>
      <c r="R49" s="1890" t="s">
        <v>1531</v>
      </c>
    </row>
    <row r="50" spans="1:18" s="1846" customFormat="1" ht="13.5" thickBot="1">
      <c r="A50" s="1198"/>
      <c r="B50" s="1201"/>
      <c r="C50" s="1371"/>
      <c r="D50" s="1175"/>
      <c r="E50" s="1280" t="s">
        <v>1407</v>
      </c>
      <c r="F50" s="1281">
        <f ca="1">F7</f>
        <v>27877.57</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56516</v>
      </c>
      <c r="M51" s="1906"/>
      <c r="O51" s="1898" t="s">
        <v>1044</v>
      </c>
      <c r="P51" s="1889" t="s">
        <v>1544</v>
      </c>
      <c r="Q51" s="1901">
        <f>J52</f>
        <v>0</v>
      </c>
      <c r="R51" s="1890"/>
    </row>
    <row r="52" spans="1:18" s="1846" customFormat="1" ht="13.5" thickBot="1">
      <c r="A52" s="1199"/>
      <c r="B52" s="1201"/>
      <c r="C52" s="1202"/>
      <c r="D52" s="1175"/>
      <c r="E52" s="1203" t="s">
        <v>1409</v>
      </c>
      <c r="F52" s="1278">
        <f>'数据-取费表'!AB6</f>
        <v>0.1</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7</v>
      </c>
      <c r="D53" s="1828" t="s">
        <v>3031</v>
      </c>
      <c r="E53" s="358" t="s">
        <v>1412</v>
      </c>
      <c r="F53" s="1369" t="s">
        <v>3328</v>
      </c>
      <c r="I53" s="1909" t="s">
        <v>1549</v>
      </c>
      <c r="J53" s="1910">
        <f ca="1">IF(M47="住宅",J51,IF(D1="——",MIN(J51,L48),IF(D1="在建（套用方法）",MIN(J51,L48-'数据-取费表'!B24),IF(D1="土地（套用方法）",MIN(J51,L48-'数据-取费表'!B20)))))</f>
        <v>35.11</v>
      </c>
      <c r="K53" s="3317" t="s">
        <v>1550</v>
      </c>
      <c r="L53" s="3318"/>
      <c r="O53" s="1888" t="s">
        <v>1046</v>
      </c>
      <c r="P53" s="1889" t="s">
        <v>1551</v>
      </c>
      <c r="Q53" s="1890">
        <f ca="1">Q47+Q48</f>
        <v>94959</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9418</v>
      </c>
      <c r="D56" s="1918"/>
      <c r="E56" s="1919"/>
      <c r="F56" s="1911"/>
      <c r="I56" s="1920" t="s">
        <v>1556</v>
      </c>
      <c r="J56" s="1921" t="s">
        <v>3234</v>
      </c>
      <c r="K56" s="1891" t="s">
        <v>1557</v>
      </c>
      <c r="L56" s="1894" t="str">
        <f ca="1">IF(L48&lt;J51,"——",L48-J53)</f>
        <v>——</v>
      </c>
      <c r="O56" s="1888" t="s">
        <v>1040</v>
      </c>
      <c r="P56" s="1889" t="s">
        <v>1530</v>
      </c>
      <c r="Q56" s="1890">
        <f ca="1">C40+J29</f>
        <v>94959</v>
      </c>
      <c r="R56" s="1890" t="s">
        <v>1531</v>
      </c>
    </row>
    <row r="57" spans="1:18" s="1846" customFormat="1" ht="24.75" thickBot="1">
      <c r="A57" s="1922"/>
      <c r="B57" s="1172" t="s">
        <v>1480</v>
      </c>
      <c r="C57" s="282">
        <f ca="1">C29</f>
        <v>11773</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806</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445.5</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283.68</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IF(项目基本情况!B11="自然人","——",IF(D61="按租金收入计税",ROUND(C48*F61,2),IF(D61="按房产原值计税",ROUND(C57*F61*0.7,2),INDIRECT("'数据-取费表'!Aj"&amp;$G$1))))</f>
        <v>98.89</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4">
        <f ca="1">IF(项目基本情况!B11="自然人","——",ROUND(F62*F63/10000,2))</f>
        <v>62.89</v>
      </c>
      <c r="D62" s="1187" t="s">
        <v>1499</v>
      </c>
      <c r="E62" s="1172" t="s">
        <v>1500</v>
      </c>
      <c r="F62" s="371">
        <f t="shared" si="0"/>
        <v>18</v>
      </c>
      <c r="I62" s="1933" t="s">
        <v>1572</v>
      </c>
      <c r="J62" s="1934" t="s">
        <v>1573</v>
      </c>
      <c r="K62" s="1934" t="s">
        <v>1574</v>
      </c>
      <c r="L62" s="1934" t="s">
        <v>1575</v>
      </c>
      <c r="M62" s="1935" t="s">
        <v>1576</v>
      </c>
      <c r="O62" s="1888" t="s">
        <v>1046</v>
      </c>
      <c r="P62" s="1889" t="s">
        <v>1577</v>
      </c>
      <c r="Q62" s="1890">
        <f ca="1">Q56+Q57</f>
        <v>94959</v>
      </c>
      <c r="R62" s="1890" t="s">
        <v>1047</v>
      </c>
    </row>
    <row r="63" spans="1:18" s="1846" customFormat="1" ht="13.5" thickBot="1">
      <c r="A63" s="372"/>
      <c r="B63" s="1178"/>
      <c r="C63" s="28"/>
      <c r="D63" s="1188"/>
      <c r="E63" s="1172" t="s">
        <v>1501</v>
      </c>
      <c r="F63" s="348">
        <f t="shared" ca="1" si="0"/>
        <v>34936.35</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ROUND(C57*F64,1)</f>
        <v>235.5</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18.8</v>
      </c>
      <c r="D65" s="1186" t="s">
        <v>1456</v>
      </c>
      <c r="E65" s="1172" t="s">
        <v>1457</v>
      </c>
      <c r="F65" s="376">
        <f t="shared" ca="1" si="0"/>
        <v>2E-3</v>
      </c>
      <c r="I65" s="1933" t="s">
        <v>1581</v>
      </c>
      <c r="J65" s="1934">
        <v>40</v>
      </c>
      <c r="K65" s="1934">
        <v>30</v>
      </c>
      <c r="L65" s="1934">
        <v>50</v>
      </c>
      <c r="M65" s="1936">
        <v>0.02</v>
      </c>
      <c r="O65" s="1888" t="s">
        <v>1040</v>
      </c>
      <c r="P65" s="1889" t="s">
        <v>1582</v>
      </c>
      <c r="Q65" s="1890">
        <f ca="1">C40+J29</f>
        <v>94959</v>
      </c>
      <c r="R65" s="1890" t="s">
        <v>1531</v>
      </c>
    </row>
    <row r="66" spans="1:18" s="1846" customFormat="1" ht="16.5" thickBot="1">
      <c r="A66" s="1204" t="s">
        <v>1506</v>
      </c>
      <c r="B66" s="1172" t="s">
        <v>1441</v>
      </c>
      <c r="C66" s="23">
        <f ca="1">ROUND(C48*F66,1)</f>
        <v>106.4</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4513</v>
      </c>
      <c r="D67" s="1185" t="s">
        <v>1466</v>
      </c>
      <c r="E67" s="1190"/>
      <c r="F67" s="1191"/>
      <c r="O67" s="1898" t="s">
        <v>1042</v>
      </c>
      <c r="P67" s="1889" t="s">
        <v>1564</v>
      </c>
      <c r="Q67" s="1937">
        <f ca="1">L51</f>
        <v>56516</v>
      </c>
      <c r="R67" s="1890" t="s">
        <v>1584</v>
      </c>
    </row>
    <row r="68" spans="1:18" s="1846" customFormat="1" ht="16.5" thickBot="1">
      <c r="A68" s="1169" t="s">
        <v>1032</v>
      </c>
      <c r="B68" s="1170" t="s">
        <v>1487</v>
      </c>
      <c r="C68" s="346">
        <f ca="1">ROUND(C67*(1-((1+F70)/(1+F68))^F69)/(F68-F70),0)</f>
        <v>19792</v>
      </c>
      <c r="D68" s="1187" t="s">
        <v>1471</v>
      </c>
      <c r="E68" s="1172" t="s">
        <v>1472</v>
      </c>
      <c r="F68" s="357">
        <f ca="1">F40</f>
        <v>5.5E-2</v>
      </c>
      <c r="O68" s="1898" t="s">
        <v>1043</v>
      </c>
      <c r="P68" s="1938" t="s">
        <v>1585</v>
      </c>
      <c r="Q68" s="1890">
        <f ca="1">ROUND(Q69-Q70*Q71,0)</f>
        <v>3447</v>
      </c>
      <c r="R68" s="1890" t="s">
        <v>1051</v>
      </c>
    </row>
    <row r="69" spans="1:18" s="1846" customFormat="1" ht="13.5" thickBot="1">
      <c r="A69" s="1173"/>
      <c r="B69" s="1174"/>
      <c r="C69" s="351"/>
      <c r="D69" s="1192" t="s">
        <v>1475</v>
      </c>
      <c r="E69" s="1172" t="s">
        <v>1476</v>
      </c>
      <c r="F69" s="379">
        <f ca="1">F41</f>
        <v>4.8899999999999997</v>
      </c>
      <c r="O69" s="1898" t="s">
        <v>1048</v>
      </c>
      <c r="P69" s="1938" t="s">
        <v>1586</v>
      </c>
      <c r="Q69" s="1890">
        <f ca="1">C39</f>
        <v>4248</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f ca="1">C13</f>
        <v>9418</v>
      </c>
      <c r="R70" s="1890" t="s">
        <v>1531</v>
      </c>
    </row>
    <row r="71" spans="1:18" s="1846" customFormat="1" ht="13.5" thickBot="1">
      <c r="A71" s="1193" t="s">
        <v>1033</v>
      </c>
      <c r="B71" s="1194" t="s">
        <v>1489</v>
      </c>
      <c r="C71" s="382">
        <f ca="1">ROUND(C68*10000/F71,0)</f>
        <v>7100</v>
      </c>
      <c r="D71" s="1195" t="s">
        <v>1490</v>
      </c>
      <c r="E71" s="1196" t="s">
        <v>1491</v>
      </c>
      <c r="F71" s="385">
        <f ca="1">F43</f>
        <v>27877.57</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801</v>
      </c>
      <c r="D75" s="1846"/>
      <c r="E75" s="1846"/>
      <c r="F75" s="1846"/>
      <c r="K75" s="1872"/>
      <c r="L75" s="1846"/>
      <c r="O75" s="1888" t="s">
        <v>1046</v>
      </c>
      <c r="P75" s="1889" t="s">
        <v>1551</v>
      </c>
      <c r="Q75" s="1890">
        <f ca="1">Q65+Q66</f>
        <v>94959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0.81099999999999994</v>
      </c>
    </row>
    <row r="80" spans="1:18">
      <c r="B80" s="386" t="s">
        <v>1513</v>
      </c>
      <c r="C80" s="318">
        <f ca="1">ROUND(C75/C39,3)</f>
        <v>0.189</v>
      </c>
    </row>
    <row r="81" spans="2:3">
      <c r="B81" s="314" t="s">
        <v>1514</v>
      </c>
      <c r="C81" s="282"/>
    </row>
    <row r="82" spans="2:3">
      <c r="B82" s="317" t="s">
        <v>1515</v>
      </c>
      <c r="C82" s="319">
        <f ca="1">1-C83</f>
        <v>0.47099999999999997</v>
      </c>
    </row>
    <row r="83" spans="2:3">
      <c r="B83" s="317" t="s">
        <v>1516</v>
      </c>
      <c r="C83" s="318">
        <f ca="1">ROUND(C13/C40,3)</f>
        <v>0.52900000000000003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2116</v>
      </c>
      <c r="H1" s="2421" t="str">
        <f>IF(G1="现房","——","估价对象范围")</f>
        <v>估价对象范围</v>
      </c>
      <c r="I1" s="2422"/>
    </row>
    <row r="2" spans="1:12" ht="21.75" customHeight="1" thickBot="1">
      <c r="A2" s="3201" t="str">
        <f>项目基本情况!S2</f>
        <v>北京市朝阳区酒仙桥北路7号北侧房地产</v>
      </c>
      <c r="B2" s="3202"/>
      <c r="C2" s="3202"/>
      <c r="D2" s="3202"/>
      <c r="E2" s="3202"/>
      <c r="F2" s="3202"/>
      <c r="G2" s="3202"/>
      <c r="H2" s="3202"/>
      <c r="I2" s="3203"/>
    </row>
    <row r="3" spans="1:12" ht="12.75">
      <c r="A3" s="3205" t="s">
        <v>2117</v>
      </c>
      <c r="B3" s="3206"/>
      <c r="C3" s="3206"/>
      <c r="D3" s="3206"/>
      <c r="E3" s="3206"/>
      <c r="F3" s="3206"/>
      <c r="G3" s="3206"/>
      <c r="H3" s="3206"/>
      <c r="I3" s="3206"/>
    </row>
    <row r="4" spans="1:12" ht="14.25">
      <c r="A4" s="2425" t="s">
        <v>2118</v>
      </c>
      <c r="B4" s="2426" t="s">
        <v>2119</v>
      </c>
      <c r="C4" s="2427"/>
      <c r="D4" s="2427"/>
      <c r="E4" s="3198" t="s">
        <v>2120</v>
      </c>
      <c r="F4" s="3199"/>
      <c r="G4" s="3199"/>
      <c r="H4" s="3199"/>
      <c r="I4" s="3210"/>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81" t="s">
        <v>2121</v>
      </c>
      <c r="B5" s="3119">
        <v>25</v>
      </c>
      <c r="C5" s="3207"/>
      <c r="D5" s="3204"/>
      <c r="E5" s="139" t="s">
        <v>2122</v>
      </c>
      <c r="F5" s="2429"/>
      <c r="G5" s="2429"/>
      <c r="H5" s="2429"/>
      <c r="I5" s="1835"/>
    </row>
    <row r="6" spans="1:12" ht="12.75">
      <c r="A6" s="3181"/>
      <c r="B6" s="3119"/>
      <c r="C6" s="3209"/>
      <c r="D6" s="3204"/>
      <c r="E6" s="139" t="s">
        <v>2123</v>
      </c>
      <c r="F6" s="2429"/>
      <c r="G6" s="2429"/>
      <c r="H6" s="2429"/>
      <c r="I6" s="1835"/>
    </row>
    <row r="7" spans="1:12" ht="12.75">
      <c r="A7" s="3181"/>
      <c r="B7" s="3119"/>
      <c r="C7" s="3208"/>
      <c r="D7" s="3204"/>
      <c r="E7" s="139" t="s">
        <v>2124</v>
      </c>
      <c r="F7" s="2429"/>
      <c r="G7" s="2429"/>
      <c r="H7" s="2429"/>
      <c r="I7" s="1835"/>
    </row>
    <row r="8" spans="1:12" ht="12.75">
      <c r="A8" s="3181" t="s">
        <v>2125</v>
      </c>
      <c r="B8" s="3119">
        <v>15</v>
      </c>
      <c r="C8" s="3207"/>
      <c r="D8" s="3204"/>
      <c r="E8" s="139" t="s">
        <v>2126</v>
      </c>
      <c r="F8" s="2429"/>
      <c r="G8" s="2429"/>
      <c r="H8" s="2429"/>
      <c r="I8" s="1835"/>
    </row>
    <row r="9" spans="1:12" ht="12.75">
      <c r="A9" s="3181"/>
      <c r="B9" s="3119"/>
      <c r="C9" s="3208"/>
      <c r="D9" s="3204"/>
      <c r="E9" s="139" t="s">
        <v>2127</v>
      </c>
      <c r="F9" s="2429"/>
      <c r="G9" s="2429"/>
      <c r="H9" s="2429"/>
      <c r="I9" s="1835"/>
    </row>
    <row r="10" spans="1:12" ht="12.75">
      <c r="A10" s="3181" t="s">
        <v>2128</v>
      </c>
      <c r="B10" s="3119">
        <v>15</v>
      </c>
      <c r="C10" s="3207"/>
      <c r="D10" s="3204"/>
      <c r="E10" s="139" t="s">
        <v>2129</v>
      </c>
      <c r="F10" s="2429"/>
      <c r="G10" s="2429"/>
      <c r="H10" s="2429"/>
      <c r="I10" s="1835"/>
    </row>
    <row r="11" spans="1:12" ht="12.75">
      <c r="A11" s="3181"/>
      <c r="B11" s="3119"/>
      <c r="C11" s="3208"/>
      <c r="D11" s="3204"/>
      <c r="E11" s="139" t="s">
        <v>2130</v>
      </c>
      <c r="F11" s="2429"/>
      <c r="G11" s="2429"/>
      <c r="H11" s="2429"/>
      <c r="I11" s="1835"/>
    </row>
    <row r="12" spans="1:12" ht="12.75">
      <c r="A12" s="3181" t="s">
        <v>2131</v>
      </c>
      <c r="B12" s="3119">
        <v>15</v>
      </c>
      <c r="C12" s="3207"/>
      <c r="D12" s="3204"/>
      <c r="E12" s="139" t="s">
        <v>2132</v>
      </c>
      <c r="F12" s="2429"/>
      <c r="G12" s="2429"/>
      <c r="H12" s="2429"/>
      <c r="I12" s="1835"/>
    </row>
    <row r="13" spans="1:12" ht="12.75">
      <c r="A13" s="3181"/>
      <c r="B13" s="3119"/>
      <c r="C13" s="3208"/>
      <c r="D13" s="3204"/>
      <c r="E13" s="139" t="s">
        <v>2133</v>
      </c>
      <c r="F13" s="2429"/>
      <c r="G13" s="2429"/>
      <c r="H13" s="2429"/>
      <c r="I13" s="1835"/>
    </row>
    <row r="14" spans="1:12" ht="12.75">
      <c r="A14" s="3181" t="s">
        <v>2134</v>
      </c>
      <c r="B14" s="3119">
        <v>30</v>
      </c>
      <c r="C14" s="3207"/>
      <c r="D14" s="3204"/>
      <c r="E14" s="139" t="s">
        <v>2135</v>
      </c>
      <c r="F14" s="2429"/>
      <c r="G14" s="2429"/>
      <c r="H14" s="2429"/>
      <c r="I14" s="1835"/>
    </row>
    <row r="15" spans="1:12" ht="12.75">
      <c r="A15" s="3181"/>
      <c r="B15" s="3119"/>
      <c r="C15" s="3209"/>
      <c r="D15" s="3204"/>
      <c r="E15" s="139" t="s">
        <v>2136</v>
      </c>
      <c r="F15" s="2429"/>
      <c r="G15" s="2429"/>
      <c r="H15" s="2429"/>
      <c r="I15" s="1835"/>
    </row>
    <row r="16" spans="1:12" ht="12.75">
      <c r="A16" s="3181"/>
      <c r="B16" s="3119"/>
      <c r="C16" s="3208"/>
      <c r="D16" s="3204"/>
      <c r="E16" s="139" t="s">
        <v>2137</v>
      </c>
      <c r="F16" s="2429"/>
      <c r="G16" s="2429"/>
      <c r="H16" s="2429"/>
      <c r="I16" s="1835"/>
    </row>
    <row r="17" spans="1:35" ht="15">
      <c r="A17" s="2430" t="s">
        <v>2138</v>
      </c>
      <c r="B17" s="63"/>
      <c r="C17" s="140">
        <f>SUM(C5:C16)</f>
        <v>0</v>
      </c>
      <c r="D17" s="140">
        <f>SUM(D5:D16)</f>
        <v>0</v>
      </c>
      <c r="E17" s="137"/>
      <c r="F17" s="137"/>
      <c r="G17" s="137"/>
      <c r="H17" s="137"/>
      <c r="I17" s="137"/>
      <c r="K17" s="2428"/>
      <c r="L17" s="2431" t="s">
        <v>2139</v>
      </c>
      <c r="M17" s="2431" t="s">
        <v>2140</v>
      </c>
    </row>
    <row r="18" spans="1:35" ht="15.75" thickBot="1">
      <c r="A18" s="2432" t="s">
        <v>2141</v>
      </c>
      <c r="B18" s="2433"/>
      <c r="C18" s="141" t="e">
        <f>ROUND(C17/SUM(C17:D17),2)</f>
        <v>#DIV/0!</v>
      </c>
      <c r="D18" s="141" t="e">
        <f>1-C18</f>
        <v>#DIV/0!</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t="e">
        <f ca="1">SUMIF(INDIRECT("'"&amp;C4&amp;"'"&amp;"!A:A"),'结果表-办公'!B19,INDIRECT("'"&amp;C4&amp;"'"&amp;"!B:B"))</f>
        <v>#REF!</v>
      </c>
      <c r="D19" s="143" t="e">
        <f ca="1">SUMIF(INDIRECT("'"&amp;D4&amp;"'"&amp;"!A:A"),'结果表-办公'!B19,INDIRECT("'"&amp;D4&amp;"'"&amp;"!B:B"))</f>
        <v>#REF!</v>
      </c>
      <c r="E19" s="2434" t="s">
        <v>2145</v>
      </c>
      <c r="F19" s="2435" t="s">
        <v>2144</v>
      </c>
      <c r="G19" s="144" t="e">
        <f ca="1">ROUND(C19*$C$18+D19*$D$18,0)</f>
        <v>#REF!</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t="e">
        <f ca="1">SUMIF(INDIRECT("'"&amp;C4&amp;"'"&amp;"!A:A"),'结果表-办公'!B20,INDIRECT("'"&amp;C4&amp;"'"&amp;"!B:B"))</f>
        <v>#REF!</v>
      </c>
      <c r="D20" s="146" t="e">
        <f ca="1">SUMIF(INDIRECT("'"&amp;D4&amp;"'"&amp;"!A:A"),'结果表-办公'!B20,INDIRECT("'"&amp;D4&amp;"'"&amp;"!B:B"))</f>
        <v>#REF!</v>
      </c>
      <c r="E20" s="2437"/>
      <c r="F20" s="1250" t="s">
        <v>2148</v>
      </c>
      <c r="G20" s="147" t="e">
        <f ca="1">ROUND(C20*$C$18+D20*$D$18,0)</f>
        <v>#REF!</v>
      </c>
      <c r="H20" s="983" t="s">
        <v>2149</v>
      </c>
      <c r="I20" s="137"/>
    </row>
    <row r="21" spans="1:35" ht="15" customHeight="1" thickBot="1">
      <c r="A21" s="1003"/>
      <c r="B21" s="2438" t="s">
        <v>2150</v>
      </c>
      <c r="C21" s="789" t="e">
        <f ca="1">ROUND(C19*10000/L19,0)</f>
        <v>#REF!</v>
      </c>
      <c r="D21" s="790" t="e">
        <f ca="1">ROUND(D19*10000/L19,0)</f>
        <v>#REF!</v>
      </c>
      <c r="E21" s="1003"/>
      <c r="F21" s="2438" t="s">
        <v>2150</v>
      </c>
      <c r="G21" s="148" t="e">
        <f ca="1">ROUND(G19*10000/L19,0)</f>
        <v>#REF!</v>
      </c>
      <c r="H21" s="2439" t="s">
        <v>2149</v>
      </c>
      <c r="I21" s="137"/>
    </row>
    <row r="22" spans="1:35" ht="15" thickBot="1">
      <c r="A22" s="2283" t="s">
        <v>2151</v>
      </c>
      <c r="B22" s="2440"/>
      <c r="C22" s="2441"/>
      <c r="D22" s="791" t="e">
        <f ca="1">IF(C19&lt;D19,D19/C19-1,C19/D19-1)</f>
        <v>#REF!</v>
      </c>
      <c r="E22" s="137"/>
      <c r="F22" s="137"/>
      <c r="G22" s="137"/>
      <c r="H22" s="137"/>
      <c r="I22" s="137"/>
    </row>
    <row r="23" spans="1:35" ht="13.5" thickBot="1">
      <c r="A23" s="2418"/>
      <c r="B23" s="2418"/>
      <c r="C23" s="2418"/>
      <c r="D23" s="2418"/>
      <c r="E23" s="137"/>
      <c r="F23" s="137"/>
      <c r="G23" s="137"/>
      <c r="H23" s="137"/>
      <c r="I23" s="137"/>
    </row>
    <row r="24" spans="1:35" ht="14.25">
      <c r="A24" s="3175" t="s">
        <v>2152</v>
      </c>
      <c r="B24" s="2435" t="s">
        <v>2144</v>
      </c>
      <c r="C24" s="144">
        <f>IF(B30=0,0,D30)</f>
        <v>0</v>
      </c>
      <c r="D24" s="2442"/>
      <c r="E24" s="137"/>
      <c r="F24" s="137"/>
      <c r="G24" s="137"/>
      <c r="H24" s="137"/>
      <c r="I24" s="137"/>
    </row>
    <row r="25" spans="1:35" ht="14.25">
      <c r="A25" s="3176"/>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t="e">
        <f ca="1">IF(D32="总价",G19-C24,G20-C25)</f>
        <v>#REF!</v>
      </c>
      <c r="D32" s="2449" t="s">
        <v>2159</v>
      </c>
      <c r="E32" s="137"/>
      <c r="F32" s="137"/>
      <c r="G32" s="137"/>
      <c r="H32" s="137"/>
      <c r="I32" s="137"/>
    </row>
    <row r="33" spans="1:15" ht="15">
      <c r="A33" s="960" t="s">
        <v>2160</v>
      </c>
      <c r="B33" s="2450"/>
      <c r="C33" s="2451"/>
      <c r="D33" s="2452"/>
      <c r="E33" s="2453" t="s">
        <v>2161</v>
      </c>
      <c r="F33" s="2942"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93" t="s">
        <v>2166</v>
      </c>
      <c r="B36" s="2461" t="s">
        <v>2167</v>
      </c>
      <c r="C36" s="154"/>
      <c r="D36" s="2462"/>
      <c r="E36" s="2463"/>
      <c r="F36" s="2464"/>
      <c r="G36" s="137"/>
      <c r="H36" s="137"/>
      <c r="I36" s="137"/>
    </row>
    <row r="37" spans="1:15" ht="15.75" thickBot="1">
      <c r="A37" s="3194"/>
      <c r="B37" s="2269" t="s">
        <v>2168</v>
      </c>
      <c r="C37" s="156"/>
      <c r="D37" s="1395"/>
      <c r="E37" s="1395"/>
      <c r="F37" s="2464"/>
      <c r="G37" s="137"/>
      <c r="H37" s="137"/>
      <c r="I37" s="137"/>
    </row>
    <row r="38" spans="1:15" ht="15.75" thickBot="1">
      <c r="A38" s="3195"/>
      <c r="B38" s="2465" t="s">
        <v>2169</v>
      </c>
      <c r="C38" s="727"/>
      <c r="D38" s="2466" t="s">
        <v>2170</v>
      </c>
      <c r="E38" s="1395"/>
      <c r="F38" s="2464"/>
      <c r="G38" s="137"/>
      <c r="H38" s="137"/>
      <c r="I38" s="137"/>
    </row>
    <row r="39" spans="1:15" ht="15">
      <c r="A39" s="2437" t="s">
        <v>2171</v>
      </c>
      <c r="B39" s="2467" t="s">
        <v>2154</v>
      </c>
      <c r="C39" s="2468" t="s">
        <v>2155</v>
      </c>
      <c r="D39" s="2468" t="s">
        <v>2174</v>
      </c>
      <c r="E39" s="2469" t="s">
        <v>2156</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72" t="s">
        <v>2180</v>
      </c>
      <c r="B45" s="3173"/>
      <c r="C45" s="3174"/>
      <c r="D45" s="164" t="e">
        <f ca="1">ROUND(H101*F45,0)</f>
        <v>#REF!</v>
      </c>
      <c r="E45" s="165" t="s">
        <v>2181</v>
      </c>
      <c r="F45" s="166">
        <v>1</v>
      </c>
      <c r="G45" s="167" t="s">
        <v>2182</v>
      </c>
      <c r="H45" s="137"/>
      <c r="I45" s="137"/>
      <c r="J45" s="3236" t="s">
        <v>2183</v>
      </c>
      <c r="K45" s="3236"/>
      <c r="L45" s="3236"/>
      <c r="M45" s="3236"/>
      <c r="N45" s="3236"/>
      <c r="O45" s="3236"/>
    </row>
    <row r="46" spans="1:15" ht="14.25" customHeight="1">
      <c r="A46" s="3169" t="s">
        <v>2184</v>
      </c>
      <c r="B46" s="3170"/>
      <c r="C46" s="3170"/>
      <c r="D46" s="3170"/>
      <c r="E46" s="3170"/>
      <c r="F46" s="3170"/>
      <c r="G46" s="3171"/>
      <c r="H46" s="2480"/>
      <c r="I46" s="168"/>
      <c r="J46" s="2956">
        <v>1</v>
      </c>
      <c r="K46" s="3236" t="s">
        <v>2185</v>
      </c>
      <c r="L46" s="3236"/>
      <c r="M46" s="3256"/>
      <c r="N46" s="3256"/>
      <c r="O46" s="3256"/>
    </row>
    <row r="47" spans="1:15" ht="12" customHeight="1">
      <c r="A47" s="169" t="s">
        <v>2186</v>
      </c>
      <c r="B47" s="170"/>
      <c r="C47" s="171"/>
      <c r="D47" s="172" t="s">
        <v>2187</v>
      </c>
      <c r="E47" s="23" t="s">
        <v>2188</v>
      </c>
      <c r="F47" s="173" t="s">
        <v>2189</v>
      </c>
      <c r="G47" s="174" t="s">
        <v>2190</v>
      </c>
      <c r="H47" s="2480"/>
      <c r="I47" s="168"/>
      <c r="J47" s="2956">
        <v>2</v>
      </c>
      <c r="K47" s="3236" t="s">
        <v>2191</v>
      </c>
      <c r="L47" s="3236"/>
      <c r="M47" s="3257">
        <f>'数据-取费表'!B2</f>
        <v>43047</v>
      </c>
      <c r="N47" s="3257"/>
      <c r="O47" s="3257"/>
    </row>
    <row r="48" spans="1:15" ht="25.5">
      <c r="A48" s="3200" t="s">
        <v>2192</v>
      </c>
      <c r="B48" s="3183"/>
      <c r="C48" s="3183"/>
      <c r="D48" s="139">
        <f>IF(H48="情况1",0,IF(H48="情况2",D52,IF(H48="情况3",D53,IF(H48="情况4",D54))))</f>
        <v>0</v>
      </c>
      <c r="E48" s="2947" t="str">
        <f>IF(H48="情况4","(销售额-原购置价)×税（费）率","销售额×税（费）率")</f>
        <v>销售额×税（费）率</v>
      </c>
      <c r="F48" s="175" t="str">
        <f>IF(H48="情况1","免征",'数据-取费表'!B41)</f>
        <v>免征</v>
      </c>
      <c r="G48" s="2481" t="s">
        <v>2193</v>
      </c>
      <c r="H48" s="2482" t="s">
        <v>2194</v>
      </c>
      <c r="I48" s="2480"/>
      <c r="J48" s="2956">
        <v>3</v>
      </c>
      <c r="K48" s="3236" t="s">
        <v>2195</v>
      </c>
      <c r="L48" s="3236"/>
      <c r="M48" s="3258" t="e">
        <f ca="1">H101</f>
        <v>#REF!</v>
      </c>
      <c r="N48" s="3258"/>
      <c r="O48" s="3258"/>
    </row>
    <row r="49" spans="1:35" ht="25.5" customHeight="1">
      <c r="A49" s="176" t="s">
        <v>2196</v>
      </c>
      <c r="B49" s="3168" t="s">
        <v>2197</v>
      </c>
      <c r="C49" s="3168"/>
      <c r="D49" s="177">
        <v>0</v>
      </c>
      <c r="E49" s="22" t="s">
        <v>2198</v>
      </c>
      <c r="F49" s="27" t="s">
        <v>34</v>
      </c>
      <c r="G49" s="3242"/>
      <c r="H49" s="137"/>
      <c r="I49" s="2483"/>
      <c r="J49" s="2956">
        <v>4</v>
      </c>
      <c r="K49" s="3236" t="str">
        <f>IF(项目基本情况!E8="房地产抵押价值","房地产抵押价值","抵押担保权已注销时的房地产抵押价值")</f>
        <v>房地产抵押价值</v>
      </c>
      <c r="L49" s="3236"/>
      <c r="M49" s="3258" t="e">
        <f ca="1">IF(项目基本情况!E8="房地产抵押价值",H107,H109)</f>
        <v>#REF!</v>
      </c>
      <c r="N49" s="3258"/>
      <c r="O49" s="3258"/>
    </row>
    <row r="50" spans="1:35" ht="25.5" customHeight="1">
      <c r="A50" s="178"/>
      <c r="B50" s="3168" t="s">
        <v>2199</v>
      </c>
      <c r="C50" s="3168"/>
      <c r="D50" s="179"/>
      <c r="E50" s="30"/>
      <c r="F50" s="180"/>
      <c r="G50" s="3243"/>
      <c r="H50" s="137"/>
      <c r="I50" s="2483"/>
      <c r="J50" s="3236" t="s">
        <v>2200</v>
      </c>
      <c r="K50" s="3236"/>
      <c r="L50" s="3236"/>
      <c r="M50" s="3236"/>
      <c r="N50" s="3236"/>
      <c r="O50" s="3236"/>
    </row>
    <row r="51" spans="1:35" ht="12" customHeight="1">
      <c r="A51" s="181"/>
      <c r="B51" s="3168" t="s">
        <v>2201</v>
      </c>
      <c r="C51" s="3168"/>
      <c r="D51" s="182"/>
      <c r="E51" s="29"/>
      <c r="F51" s="180"/>
      <c r="G51" s="3244"/>
      <c r="H51" s="137"/>
      <c r="I51" s="2483"/>
      <c r="J51" s="2955" t="s">
        <v>2202</v>
      </c>
      <c r="K51" s="3236" t="s">
        <v>2203</v>
      </c>
      <c r="L51" s="3236"/>
      <c r="M51" s="2955" t="s">
        <v>2204</v>
      </c>
      <c r="N51" s="2955" t="s">
        <v>2205</v>
      </c>
      <c r="O51" s="2955" t="s">
        <v>2206</v>
      </c>
    </row>
    <row r="52" spans="1:35" ht="24" customHeight="1">
      <c r="A52" s="183" t="s">
        <v>2207</v>
      </c>
      <c r="B52" s="3168" t="s">
        <v>2208</v>
      </c>
      <c r="C52" s="3168"/>
      <c r="D52" s="182" t="e">
        <f ca="1">ROUND(D45*'数据-取费表'!B41/(1+'数据-取费表'!C42),0)</f>
        <v>#REF!</v>
      </c>
      <c r="E52" s="11" t="s">
        <v>2209</v>
      </c>
      <c r="F52" s="184">
        <f>'数据-取费表'!B41</f>
        <v>5.6000000000000001E-2</v>
      </c>
      <c r="G52" s="2485"/>
      <c r="H52" s="137"/>
      <c r="I52" s="2483"/>
      <c r="J52" s="2956">
        <v>1</v>
      </c>
      <c r="K52" s="3237" t="s">
        <v>2210</v>
      </c>
      <c r="L52" s="3237"/>
      <c r="M52" s="1755">
        <f>D48</f>
        <v>0</v>
      </c>
      <c r="N52" s="2956" t="str">
        <f>E48</f>
        <v>销售额×税（费）率</v>
      </c>
      <c r="O52" s="1756" t="str">
        <f>F48</f>
        <v>免征</v>
      </c>
    </row>
    <row r="53" spans="1:35" ht="12" customHeight="1">
      <c r="A53" s="183" t="s">
        <v>2211</v>
      </c>
      <c r="B53" s="3191" t="s">
        <v>2212</v>
      </c>
      <c r="C53" s="3192"/>
      <c r="D53" s="182" t="e">
        <f ca="1">ROUND(D45*'数据-取费表'!B41/(1+'数据-取费表'!C42),0)</f>
        <v>#REF!</v>
      </c>
      <c r="E53" s="11" t="s">
        <v>2209</v>
      </c>
      <c r="F53" s="184">
        <f>'数据-取费表'!B41</f>
        <v>5.6000000000000001E-2</v>
      </c>
      <c r="G53" s="2485"/>
      <c r="H53" s="137"/>
      <c r="I53" s="2483"/>
      <c r="J53" s="2956">
        <v>2</v>
      </c>
      <c r="K53" s="3237" t="s">
        <v>2213</v>
      </c>
      <c r="L53" s="3237"/>
      <c r="M53" s="1755" t="e">
        <f t="shared" ref="M53:O54" ca="1" si="0">D55</f>
        <v>#REF!</v>
      </c>
      <c r="N53" s="2956" t="str">
        <f t="shared" si="0"/>
        <v>销售额×税（费）率</v>
      </c>
      <c r="O53" s="1756">
        <f t="shared" si="0"/>
        <v>5.0000000000000001E-4</v>
      </c>
    </row>
    <row r="54" spans="1:35" ht="12" customHeight="1">
      <c r="A54" s="183" t="s">
        <v>2214</v>
      </c>
      <c r="B54" s="3191" t="s">
        <v>2215</v>
      </c>
      <c r="C54" s="3192"/>
      <c r="D54" s="182" t="e">
        <f ca="1">C68</f>
        <v>#REF!</v>
      </c>
      <c r="E54" s="29" t="s">
        <v>2216</v>
      </c>
      <c r="F54" s="184">
        <f>'数据-取费表'!B41</f>
        <v>5.6000000000000001E-2</v>
      </c>
      <c r="G54" s="2485"/>
      <c r="H54" s="2486"/>
      <c r="I54" s="2483"/>
      <c r="J54" s="2956">
        <v>3</v>
      </c>
      <c r="K54" s="3237" t="s">
        <v>2217</v>
      </c>
      <c r="L54" s="3237"/>
      <c r="M54" s="1755" t="e">
        <f t="shared" ca="1" si="0"/>
        <v>#REF!</v>
      </c>
      <c r="N54" s="2956" t="str">
        <f t="shared" si="0"/>
        <v>增值额×税（费）率</v>
      </c>
      <c r="O54" s="1757" t="str">
        <f t="shared" si="0"/>
        <v>——</v>
      </c>
    </row>
    <row r="55" spans="1:35" ht="24" customHeight="1">
      <c r="A55" s="3182" t="s">
        <v>2218</v>
      </c>
      <c r="B55" s="3183"/>
      <c r="C55" s="3183"/>
      <c r="D55" s="185" t="e">
        <f ca="1">IF(H55="个人住宅",0,ROUND(D45*I55,0))</f>
        <v>#REF!</v>
      </c>
      <c r="E55" s="11" t="s">
        <v>2219</v>
      </c>
      <c r="F55" s="184">
        <f>IF(H55="正常",I55,"免征")</f>
        <v>5.0000000000000001E-4</v>
      </c>
      <c r="G55" s="2485"/>
      <c r="H55" s="2482" t="s">
        <v>2220</v>
      </c>
      <c r="I55" s="186">
        <f>'数据-取费表'!B49</f>
        <v>5.0000000000000001E-4</v>
      </c>
      <c r="J55" s="2956" t="str">
        <f>IF(H59="非个人房产","",4)</f>
        <v/>
      </c>
      <c r="K55" s="3237" t="str">
        <f>IF(H59="非个人房产","——","个人所得税")</f>
        <v>——</v>
      </c>
      <c r="L55" s="3237"/>
      <c r="M55" s="1758" t="str">
        <f>D59</f>
        <v>——</v>
      </c>
      <c r="N55" s="2957" t="str">
        <f>E59</f>
        <v>——</v>
      </c>
      <c r="O55" s="1759" t="str">
        <f>F59</f>
        <v>——</v>
      </c>
    </row>
    <row r="56" spans="1:35" ht="24.75">
      <c r="A56" s="3182" t="s">
        <v>2221</v>
      </c>
      <c r="B56" s="3183"/>
      <c r="C56" s="3183"/>
      <c r="D56" s="185" t="e">
        <f ca="1">IF(H56="个人住宅",D57,D58)</f>
        <v>#REF!</v>
      </c>
      <c r="E56" s="11" t="s">
        <v>2222</v>
      </c>
      <c r="F56" s="184" t="str">
        <f>IF(H56="正常",F58,"免征")</f>
        <v>——</v>
      </c>
      <c r="G56" s="2487" t="s">
        <v>2223</v>
      </c>
      <c r="H56" s="2488" t="s">
        <v>2220</v>
      </c>
      <c r="I56" s="2489"/>
      <c r="J56" s="2956" t="str">
        <f>IF(项目基本情况!K6="上海银行",IF(J55="",4,J55+1),"")</f>
        <v/>
      </c>
      <c r="K56" s="3260" t="str">
        <f>IF(项目基本情况!K6="上海银行","其他处置费用","")</f>
        <v/>
      </c>
      <c r="L56" s="3261"/>
      <c r="M56" s="1755" t="str">
        <f>IF(项目基本情况!K6="上海银行",M69,"")</f>
        <v/>
      </c>
      <c r="N56" s="3263" t="str">
        <f>IF(项目基本情况!K6="上海银行","包含处置中涉及的律师、诉讼、拍卖、评估等费用","")</f>
        <v/>
      </c>
      <c r="O56" s="3264"/>
    </row>
    <row r="57" spans="1:35" ht="12.75">
      <c r="A57" s="183" t="s">
        <v>2196</v>
      </c>
      <c r="B57" s="3198" t="s">
        <v>2224</v>
      </c>
      <c r="C57" s="3210"/>
      <c r="D57" s="187">
        <v>0</v>
      </c>
      <c r="E57" s="22" t="s">
        <v>2198</v>
      </c>
      <c r="F57" s="155"/>
      <c r="G57" s="2485"/>
      <c r="H57" s="2489"/>
      <c r="I57" s="2489"/>
      <c r="J57" s="3237">
        <f>IF(AND(J55="",J56=""),4,IF(项目基本情况!K6="上海银行",'结果表-办公'!J56+1,'结果表-办公'!J55+1))</f>
        <v>4</v>
      </c>
      <c r="K57" s="3237" t="s">
        <v>2225</v>
      </c>
      <c r="L57" s="2490" t="s">
        <v>2226</v>
      </c>
      <c r="M57" s="1760"/>
      <c r="N57" s="1761">
        <f ca="1">SUMIF(M52:M56,"&lt;9e307")</f>
        <v>0</v>
      </c>
      <c r="O57" s="2491"/>
      <c r="P57" s="1754" t="e">
        <f ca="1">N57/M49</f>
        <v>#REF!</v>
      </c>
    </row>
    <row r="58" spans="1:35" ht="24.75">
      <c r="A58" s="183" t="s">
        <v>2207</v>
      </c>
      <c r="B58" s="3198" t="s">
        <v>2227</v>
      </c>
      <c r="C58" s="3199"/>
      <c r="D58" s="185" t="e">
        <f ca="1">IF(H58="转让取得",C81,C97)</f>
        <v>#REF!</v>
      </c>
      <c r="E58" s="11" t="s">
        <v>2222</v>
      </c>
      <c r="F58" s="23" t="s">
        <v>34</v>
      </c>
      <c r="G58" s="2485"/>
      <c r="H58" s="2488" t="s">
        <v>2228</v>
      </c>
      <c r="I58" s="2489"/>
      <c r="J58" s="3237"/>
      <c r="K58" s="3237"/>
      <c r="L58" s="2490" t="s">
        <v>2229</v>
      </c>
      <c r="M58" s="1762"/>
      <c r="N58" s="2492" t="str">
        <f ca="1">NUMBERSTRING(INT(N57*10000),2)&amp;"元整"</f>
        <v>零元整</v>
      </c>
      <c r="O58" s="2493"/>
    </row>
    <row r="59" spans="1:35" ht="24.75" thickBot="1">
      <c r="A59" s="3240" t="s">
        <v>2230</v>
      </c>
      <c r="B59" s="3241"/>
      <c r="C59" s="3241"/>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38">
        <f>J57+1</f>
        <v>5</v>
      </c>
      <c r="K59" s="3237" t="s">
        <v>2232</v>
      </c>
      <c r="L59" s="2956" t="s">
        <v>2226</v>
      </c>
      <c r="M59" s="1763"/>
      <c r="N59" s="1764" t="e">
        <f ca="1">M49-N57</f>
        <v>#REF!</v>
      </c>
      <c r="O59" s="2495"/>
    </row>
    <row r="60" spans="1:35" ht="12" customHeight="1">
      <c r="A60" s="2496"/>
      <c r="B60" s="2418"/>
      <c r="C60" s="2418"/>
      <c r="D60" s="2418"/>
      <c r="E60" s="2169"/>
      <c r="F60" s="2489"/>
      <c r="G60" s="2489"/>
      <c r="H60" s="2497"/>
      <c r="I60" s="137"/>
      <c r="J60" s="3239"/>
      <c r="K60" s="3237"/>
      <c r="L60" s="2490" t="s">
        <v>2229</v>
      </c>
      <c r="M60" s="1762"/>
      <c r="N60" s="2492" t="e">
        <f ca="1">NUMBERSTRING(INT(N59*10000),2)&amp;"元整"</f>
        <v>#REF!</v>
      </c>
      <c r="O60" s="2493"/>
    </row>
    <row r="61" spans="1:35" ht="13.5" thickBot="1">
      <c r="A61" s="3180" t="s">
        <v>2233</v>
      </c>
      <c r="B61" s="3180"/>
      <c r="C61" s="3180"/>
      <c r="D61" s="3180"/>
      <c r="E61" s="3180"/>
      <c r="F61" s="2489"/>
      <c r="G61" s="2489"/>
      <c r="H61" s="2497"/>
      <c r="I61" s="137"/>
      <c r="J61" s="2956">
        <f>J59+1</f>
        <v>6</v>
      </c>
      <c r="K61" s="3237" t="s">
        <v>2234</v>
      </c>
      <c r="L61" s="3237"/>
      <c r="M61" s="1765"/>
      <c r="N61" s="1766" t="e">
        <f ca="1">ROUND(N59*10000/'数据-汇总表'!E3,0)</f>
        <v>#REF!</v>
      </c>
      <c r="O61" s="2498"/>
    </row>
    <row r="62" spans="1:35" ht="12.75">
      <c r="A62" s="3196" t="s">
        <v>2235</v>
      </c>
      <c r="B62" s="3197"/>
      <c r="C62" s="2950"/>
      <c r="D62" s="2950" t="s">
        <v>2236</v>
      </c>
      <c r="E62" s="192" t="s">
        <v>2237</v>
      </c>
      <c r="F62" s="2489"/>
      <c r="G62" s="2489"/>
      <c r="H62" s="2497"/>
      <c r="I62" s="137"/>
    </row>
    <row r="63" spans="1:35" ht="12.75">
      <c r="A63" s="203" t="s">
        <v>775</v>
      </c>
      <c r="B63" s="193" t="s">
        <v>2238</v>
      </c>
      <c r="C63" s="194" t="e">
        <f ca="1">ROUND((C64+C65)/(1+'数据-取费表'!C42),0)</f>
        <v>#REF!</v>
      </c>
      <c r="D63" s="195"/>
      <c r="E63" s="196"/>
      <c r="F63" s="2489"/>
      <c r="G63" s="2489"/>
      <c r="H63" s="2497"/>
      <c r="I63" s="137"/>
      <c r="J63" s="3262" t="s">
        <v>2239</v>
      </c>
      <c r="K63" s="2960" t="s">
        <v>2240</v>
      </c>
      <c r="L63" s="1753" t="e">
        <f ca="1">IF(M49&gt;10000,M49*0.5%,IF(AND(M49&gt;1000,M49&lt;=10000),M49*1%,IF(AND(M49&gt;100,M49&lt;=1000),M49*3%,IF(AND(M49&gt;10,M49&lt;=100),M49*5%,M49*8%))))</f>
        <v>#REF!</v>
      </c>
      <c r="M63" s="23" t="e">
        <f ca="1">ROUND(L63,1)</f>
        <v>#REF!</v>
      </c>
      <c r="Z63" s="2423"/>
      <c r="AI63" s="2424"/>
    </row>
    <row r="64" spans="1:35" ht="14.25" customHeight="1">
      <c r="A64" s="197" t="s">
        <v>770</v>
      </c>
      <c r="B64" s="198" t="s">
        <v>2241</v>
      </c>
      <c r="C64" s="199" t="e">
        <f ca="1">D45</f>
        <v>#REF!</v>
      </c>
      <c r="D64" s="200" t="s">
        <v>32</v>
      </c>
      <c r="E64" s="201"/>
      <c r="F64" s="2489"/>
      <c r="G64" s="2489"/>
      <c r="H64" s="2497"/>
      <c r="I64" s="137"/>
      <c r="J64" s="3262"/>
      <c r="K64" s="2960" t="s">
        <v>2242</v>
      </c>
      <c r="L64" s="1753"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2243</v>
      </c>
      <c r="Z64" s="2423"/>
      <c r="AI64" s="2424"/>
    </row>
    <row r="65" spans="1:35" ht="14.25" customHeight="1">
      <c r="A65" s="197" t="s">
        <v>771</v>
      </c>
      <c r="B65" s="198" t="s">
        <v>2244</v>
      </c>
      <c r="C65" s="202"/>
      <c r="D65" s="200"/>
      <c r="E65" s="201"/>
      <c r="F65" s="2489"/>
      <c r="G65" s="2489"/>
      <c r="H65" s="2497"/>
      <c r="I65" s="137"/>
      <c r="J65" s="3262"/>
      <c r="K65" s="2960" t="s">
        <v>2245</v>
      </c>
      <c r="L65" s="1753" t="e">
        <f ca="1">IF(M49&gt;1000,M49*0.1%,IF(AND(M49&gt;500,M49&lt;=1000),M49*0.5%,IF(AND(M49&gt;50,M49&lt;=500),M49*1%,IF(AND(M49&gt;1,M49&lt;=50),M49*1.5%))))</f>
        <v>#REF!</v>
      </c>
      <c r="M65" s="23" t="e">
        <f t="shared" ca="1" si="1"/>
        <v>#REF!</v>
      </c>
      <c r="N65" s="137" t="s">
        <v>2243</v>
      </c>
      <c r="Z65" s="2423"/>
      <c r="AI65" s="2424"/>
    </row>
    <row r="66" spans="1:35" ht="14.25" customHeight="1">
      <c r="A66" s="203" t="s">
        <v>772</v>
      </c>
      <c r="B66" s="204" t="s">
        <v>2246</v>
      </c>
      <c r="C66" s="205"/>
      <c r="D66" s="206" t="s">
        <v>32</v>
      </c>
      <c r="E66" s="1777" t="s">
        <v>1372</v>
      </c>
      <c r="F66" s="2489"/>
      <c r="G66" s="2489"/>
      <c r="H66" s="2497"/>
      <c r="I66" s="137"/>
      <c r="J66" s="3262"/>
      <c r="K66" s="2960" t="s">
        <v>2247</v>
      </c>
      <c r="L66" s="1753" t="e">
        <f ca="1">M49*0.5%</f>
        <v>#REF!</v>
      </c>
      <c r="M66" s="23" t="e">
        <f ca="1">IF(L66&gt;0.5,0.5,ROUND(L66,0))</f>
        <v>#REF!</v>
      </c>
      <c r="N66" s="137" t="s">
        <v>2248</v>
      </c>
      <c r="Z66" s="2423"/>
      <c r="AI66" s="2424"/>
    </row>
    <row r="67" spans="1:35" ht="14.25" customHeight="1">
      <c r="A67" s="203" t="s">
        <v>773</v>
      </c>
      <c r="B67" s="204" t="s">
        <v>2249</v>
      </c>
      <c r="C67" s="207" t="e">
        <f ca="1">C63-C66</f>
        <v>#REF!</v>
      </c>
      <c r="D67" s="200" t="s">
        <v>32</v>
      </c>
      <c r="E67" s="201"/>
      <c r="F67" s="2489"/>
      <c r="G67" s="2489"/>
      <c r="H67" s="2497"/>
      <c r="I67" s="137"/>
      <c r="J67" s="3262"/>
      <c r="K67" s="2960" t="s">
        <v>2250</v>
      </c>
      <c r="L67" s="1753"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3"/>
      <c r="AI67" s="2424"/>
    </row>
    <row r="68" spans="1:35" ht="14.25" customHeight="1" thickBot="1">
      <c r="A68" s="208" t="s">
        <v>774</v>
      </c>
      <c r="B68" s="209" t="s">
        <v>2251</v>
      </c>
      <c r="C68" s="210" t="e">
        <f ca="1">IF(C67&lt;=0,0,ROUND(C67*D68,0))</f>
        <v>#REF!</v>
      </c>
      <c r="D68" s="211">
        <f>'数据-取费表'!B41</f>
        <v>5.6000000000000001E-2</v>
      </c>
      <c r="E68" s="212"/>
      <c r="F68" s="2489"/>
      <c r="G68" s="2489"/>
      <c r="H68" s="2497"/>
      <c r="I68" s="137"/>
      <c r="J68" s="3262"/>
      <c r="K68" s="2960" t="s">
        <v>2252</v>
      </c>
      <c r="L68" s="1753" t="e">
        <f ca="1">IF(M49&gt;10000,M49*0.5%,IF(AND(M49&gt;5000,M49&lt;=10000),M49*1%,IF(AND(M49&gt;1000,M49&lt;=5000),M49*2%,IF(AND(M49&gt;200,M49&lt;=1000),M49*3%,M49*5%))))</f>
        <v>#REF!</v>
      </c>
      <c r="M68" s="23" t="e">
        <f ca="1">ROUND(L68,1)</f>
        <v>#REF!</v>
      </c>
      <c r="Z68" s="2423"/>
      <c r="AI68" s="2424"/>
    </row>
    <row r="69" spans="1:35" s="2446" customFormat="1" ht="16.5" customHeight="1">
      <c r="A69" s="2500"/>
      <c r="B69" s="2501"/>
      <c r="C69" s="2502"/>
      <c r="D69" s="2503"/>
      <c r="E69" s="2504"/>
      <c r="F69" s="2169"/>
      <c r="G69" s="2169"/>
      <c r="H69" s="2168"/>
      <c r="I69" s="2418"/>
      <c r="J69" s="3262"/>
      <c r="K69" s="2960" t="s">
        <v>2253</v>
      </c>
      <c r="L69" s="2505"/>
      <c r="M69" s="23" t="e">
        <f ca="1">ROUND(SUM(M63:M68),0)</f>
        <v>#REF!</v>
      </c>
      <c r="N69" s="1754"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20" t="s">
        <v>2254</v>
      </c>
      <c r="B70" s="3221"/>
      <c r="C70" s="3221"/>
      <c r="D70" s="3221"/>
      <c r="E70" s="3221"/>
      <c r="F70" s="3221"/>
      <c r="G70" s="3221"/>
      <c r="H70" s="322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6" t="s">
        <v>2235</v>
      </c>
      <c r="B71" s="3197"/>
      <c r="C71" s="2950"/>
      <c r="D71" s="2950"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t="e">
        <f ca="1">ROUND(D45/(1+'数据-取费表'!C42),0)</f>
        <v>#REF!</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t="e">
        <f ca="1">C74+C78</f>
        <v>#REF!</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91" t="s">
        <v>2263</v>
      </c>
      <c r="F76" s="3168"/>
      <c r="G76" s="3168"/>
      <c r="H76" s="321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2961" t="s">
        <v>2265</v>
      </c>
      <c r="F77" s="224"/>
      <c r="G77" s="2513" t="s">
        <v>2266</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t="e">
        <f ca="1">ROUND(D45*D78/(1+'数据-取费表'!C42),0)</f>
        <v>#REF!</v>
      </c>
      <c r="D78" s="226">
        <f>'数据-取费表'!B43</f>
        <v>6.000000000000001E-3</v>
      </c>
      <c r="E78" s="3177" t="s">
        <v>2268</v>
      </c>
      <c r="F78" s="3178"/>
      <c r="G78" s="3178"/>
      <c r="H78" s="31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2269</v>
      </c>
      <c r="C79" s="207" t="e">
        <f ca="1">C72-C73</f>
        <v>#REF!</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0" t="s">
        <v>2272</v>
      </c>
      <c r="B83" s="3221"/>
      <c r="C83" s="3221"/>
      <c r="D83" s="3221"/>
      <c r="E83" s="3221"/>
      <c r="F83" s="3221"/>
      <c r="G83" s="3221"/>
      <c r="H83" s="322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6" t="s">
        <v>2235</v>
      </c>
      <c r="B84" s="3197"/>
      <c r="C84" s="2950"/>
      <c r="D84" s="2950"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t="e">
        <f ca="1">ROUND(D45/(1+'数据-取费表'!C42),0)</f>
        <v>#REF!</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t="e">
        <f ca="1">IF(H88="仅含出让金",C87+C90+C91+C92+C93+C94,C87+C91+C92+C93+C94)</f>
        <v>#REF!</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2946"/>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77" t="s">
        <v>2281</v>
      </c>
      <c r="F91" s="3178"/>
      <c r="G91" s="3178"/>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77" t="s">
        <v>2285</v>
      </c>
      <c r="F92" s="3178"/>
      <c r="G92" s="3178"/>
      <c r="H92" s="31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t="e">
        <f ca="1">ROUND(D45*D93/(1+'数据-取费表'!C42),0)</f>
        <v>#REF!</v>
      </c>
      <c r="D93" s="226">
        <f>'数据-取费表'!B43</f>
        <v>6.000000000000001E-3</v>
      </c>
      <c r="E93" s="3177" t="s">
        <v>2268</v>
      </c>
      <c r="F93" s="3178"/>
      <c r="G93" s="3178"/>
      <c r="H93" s="31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88" t="s">
        <v>2289</v>
      </c>
      <c r="F94" s="3189"/>
      <c r="G94" s="3189"/>
      <c r="H94" s="31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2269</v>
      </c>
      <c r="C95" s="207" t="e">
        <f ca="1">ROUND(C85-C86,0)</f>
        <v>#REF!</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62" t="s">
        <v>2291</v>
      </c>
      <c r="B100" s="3163"/>
      <c r="C100" s="3163"/>
      <c r="D100" s="3179"/>
      <c r="E100" s="3163" t="s">
        <v>2292</v>
      </c>
      <c r="F100" s="3163"/>
      <c r="G100" s="3163"/>
      <c r="H100" s="3179"/>
      <c r="I100" s="137"/>
    </row>
    <row r="101" spans="1:35" ht="18.75" customHeight="1">
      <c r="A101" s="3245" t="s">
        <v>2293</v>
      </c>
      <c r="B101" s="3246"/>
      <c r="C101" s="736">
        <f>C4</f>
        <v>0</v>
      </c>
      <c r="D101" s="737">
        <f>D4</f>
        <v>0</v>
      </c>
      <c r="E101" s="3259" t="s">
        <v>2294</v>
      </c>
      <c r="F101" s="3212"/>
      <c r="G101" s="2520" t="s">
        <v>2295</v>
      </c>
      <c r="H101" s="1048" t="e">
        <f ca="1">H118</f>
        <v>#REF!</v>
      </c>
      <c r="I101" s="137"/>
    </row>
    <row r="102" spans="1:35" ht="18.75" customHeight="1">
      <c r="A102" s="3214" t="s">
        <v>2296</v>
      </c>
      <c r="B102" s="2520" t="s">
        <v>2295</v>
      </c>
      <c r="C102" s="736" t="e">
        <f ca="1">C19</f>
        <v>#REF!</v>
      </c>
      <c r="D102" s="737" t="e">
        <f ca="1">D19</f>
        <v>#REF!</v>
      </c>
      <c r="E102" s="3259"/>
      <c r="F102" s="3212"/>
      <c r="G102" s="2520" t="s">
        <v>2297</v>
      </c>
      <c r="H102" s="371" t="e">
        <f ca="1">I118</f>
        <v>#REF!</v>
      </c>
      <c r="I102" s="137"/>
    </row>
    <row r="103" spans="1:35" ht="42.75" customHeight="1">
      <c r="A103" s="3214"/>
      <c r="B103" s="2520" t="s">
        <v>2297</v>
      </c>
      <c r="C103" s="738" t="e">
        <f ca="1">C20</f>
        <v>#REF!</v>
      </c>
      <c r="D103" s="739" t="e">
        <f ca="1">D20</f>
        <v>#REF!</v>
      </c>
      <c r="E103" s="3254" t="s">
        <v>2298</v>
      </c>
      <c r="F103" s="3255"/>
      <c r="G103" s="2521" t="s">
        <v>2299</v>
      </c>
      <c r="H103" s="1048">
        <f>IF(D36="正常操作",H104+H105+H106,H105+H106)</f>
        <v>0</v>
      </c>
      <c r="I103" s="137"/>
    </row>
    <row r="104" spans="1:35" ht="18.75" customHeight="1">
      <c r="A104" s="3214" t="s">
        <v>2300</v>
      </c>
      <c r="B104" s="2522" t="s">
        <v>2295</v>
      </c>
      <c r="C104" s="740" t="e">
        <f ca="1">H118</f>
        <v>#REF!</v>
      </c>
      <c r="D104" s="741"/>
      <c r="E104" s="2269" t="s">
        <v>2301</v>
      </c>
      <c r="F104" s="2261"/>
      <c r="G104" s="2521" t="s">
        <v>2299</v>
      </c>
      <c r="H104" s="1049">
        <f>IF(D36="同一抵押权人同一抵押物续贷",C36&amp;"（未扣减，详见特别提示）",C36)</f>
        <v>0</v>
      </c>
      <c r="I104" s="137"/>
    </row>
    <row r="105" spans="1:35" ht="18.75" customHeight="1" thickBot="1">
      <c r="A105" s="3215"/>
      <c r="B105" s="2523" t="s">
        <v>2297</v>
      </c>
      <c r="C105" s="742" t="e">
        <f ca="1">I118</f>
        <v>#REF!</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211" t="str">
        <f>IF(项目基本情况!E8="已注销","——","3.房地产抵押价值")</f>
        <v>3.房地产抵押价值</v>
      </c>
      <c r="F107" s="3212"/>
      <c r="G107" s="2520" t="s">
        <v>2295</v>
      </c>
      <c r="H107" s="1048" t="e">
        <f ca="1">IF(E107="——","——",H101-H103)</f>
        <v>#REF!</v>
      </c>
      <c r="I107" s="137"/>
    </row>
    <row r="108" spans="1:35" ht="18.75" customHeight="1">
      <c r="A108" s="137"/>
      <c r="B108" s="137"/>
      <c r="C108" s="137"/>
      <c r="D108" s="137"/>
      <c r="E108" s="3211"/>
      <c r="F108" s="3212"/>
      <c r="G108" s="2520" t="s">
        <v>2297</v>
      </c>
      <c r="H108" s="371" t="e">
        <f ca="1">ROUND(H107*10000/'数据-汇总表'!E3,0)</f>
        <v>#REF!</v>
      </c>
      <c r="I108" s="137"/>
    </row>
    <row r="109" spans="1:35" ht="18.75" customHeight="1">
      <c r="A109" s="137"/>
      <c r="B109" s="137"/>
      <c r="C109" s="137"/>
      <c r="D109" s="137"/>
      <c r="E109" s="3211" t="str">
        <f>IF(项目基本情况!E8="已注销及未注销","4.抵押担保权已注销时的房地产抵押价值",IF(项目基本情况!E8="已注销","3.抵押担保权已注销时的房地产抵押价值","——"))</f>
        <v>——</v>
      </c>
      <c r="F109" s="3212"/>
      <c r="G109" s="2520" t="s">
        <v>2295</v>
      </c>
      <c r="H109" s="348" t="str">
        <f>IF(E109="——","——",H101-H105-H106)</f>
        <v>——</v>
      </c>
      <c r="I109" s="137"/>
    </row>
    <row r="110" spans="1:35" ht="18.75" customHeight="1">
      <c r="A110" s="137"/>
      <c r="B110" s="137"/>
      <c r="C110" s="137"/>
      <c r="D110" s="137"/>
      <c r="E110" s="3211"/>
      <c r="F110" s="3212"/>
      <c r="G110" s="2520" t="s">
        <v>2297</v>
      </c>
      <c r="H110" s="371" t="str">
        <f>IF(H109="——","——",ROUND(H109*10000/'数据-汇总表'!E3,0))</f>
        <v>——</v>
      </c>
      <c r="I110" s="137"/>
    </row>
    <row r="111" spans="1:35" ht="18.75" customHeight="1">
      <c r="A111" s="137"/>
      <c r="B111" s="137"/>
      <c r="C111" s="137"/>
      <c r="D111" s="137"/>
      <c r="E111" s="3247" t="str">
        <f>IF(项目基本情况!E9="抵押净值",IF(OR(项目基本情况!E8="已注销",项目基本情况!E8="房地产抵押价值"),"4.抵押净值","5.抵押净值"),"——")</f>
        <v>——</v>
      </c>
      <c r="F111" s="3248"/>
      <c r="G111" s="2520" t="s">
        <v>2295</v>
      </c>
      <c r="H111" s="1048" t="str">
        <f>IF(E111="——","——",N59)</f>
        <v>——</v>
      </c>
      <c r="I111" s="137"/>
    </row>
    <row r="112" spans="1:35" ht="18.75" customHeight="1" thickBot="1">
      <c r="A112" s="137"/>
      <c r="B112" s="137"/>
      <c r="C112" s="137"/>
      <c r="D112" s="137"/>
      <c r="E112" s="3249"/>
      <c r="F112" s="3250"/>
      <c r="G112" s="2525" t="s">
        <v>2297</v>
      </c>
      <c r="H112" s="790" t="str">
        <f>IF(E111="——","——",N61)</f>
        <v>——</v>
      </c>
      <c r="I112" s="137"/>
    </row>
    <row r="113" spans="1:11" ht="18.75" customHeight="1">
      <c r="A113" s="137"/>
      <c r="B113" s="137"/>
      <c r="C113" s="137"/>
      <c r="D113" s="137"/>
      <c r="E113" s="3216" t="s">
        <v>2303</v>
      </c>
      <c r="F113" s="3216"/>
      <c r="G113" s="3216"/>
      <c r="H113" s="3216"/>
      <c r="I113" s="137"/>
    </row>
    <row r="114" spans="1:11" ht="3.75" customHeight="1">
      <c r="A114" s="2418"/>
      <c r="B114" s="2418"/>
      <c r="C114" s="2418"/>
      <c r="D114" s="2418"/>
      <c r="E114" s="2496"/>
      <c r="F114" s="2496"/>
      <c r="G114" s="2496"/>
      <c r="H114" s="2496"/>
      <c r="I114" s="2418"/>
    </row>
    <row r="115" spans="1:11" ht="18.75" customHeight="1">
      <c r="A115" s="3229" t="s">
        <v>2305</v>
      </c>
      <c r="B115" s="3230"/>
      <c r="C115" s="3230"/>
      <c r="D115" s="3230"/>
      <c r="E115" s="3230"/>
      <c r="F115" s="3230"/>
      <c r="G115" s="3230"/>
      <c r="H115" s="3230"/>
      <c r="I115" s="3231"/>
    </row>
    <row r="116" spans="1:11" ht="27" customHeight="1">
      <c r="A116" s="3119" t="s">
        <v>2306</v>
      </c>
      <c r="B116" s="3217" t="s">
        <v>2307</v>
      </c>
      <c r="C116" s="3217" t="s">
        <v>2308</v>
      </c>
      <c r="D116" s="3234" t="s">
        <v>2309</v>
      </c>
      <c r="E116" s="3235"/>
      <c r="F116" s="3225" t="s">
        <v>2310</v>
      </c>
      <c r="G116" s="3225"/>
      <c r="H116" s="3119" t="s">
        <v>2311</v>
      </c>
      <c r="I116" s="3119"/>
    </row>
    <row r="117" spans="1:11" ht="18.75" customHeight="1">
      <c r="A117" s="3119"/>
      <c r="B117" s="3218"/>
      <c r="C117" s="3218"/>
      <c r="D117" s="2941" t="s">
        <v>2312</v>
      </c>
      <c r="E117" s="2941" t="s">
        <v>2313</v>
      </c>
      <c r="F117" s="2941" t="s">
        <v>2312</v>
      </c>
      <c r="G117" s="2941" t="s">
        <v>2314</v>
      </c>
      <c r="H117" s="2941" t="s">
        <v>2312</v>
      </c>
      <c r="I117" s="2941" t="s">
        <v>2314</v>
      </c>
    </row>
    <row r="118" spans="1:11" ht="24.75" customHeight="1">
      <c r="A118" s="2526" t="str">
        <f>项目基本情况!S2</f>
        <v>北京市朝阳区酒仙桥北路7号北侧房地产</v>
      </c>
      <c r="B118" s="2941">
        <f>M18</f>
        <v>27877.57</v>
      </c>
      <c r="C118" s="2941">
        <f>M19</f>
        <v>34936.35</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t="e">
        <f ca="1">ROUND(IF(D32="总价",C32,I118*B118/10000),0)</f>
        <v>#REF!</v>
      </c>
      <c r="I118" s="2941" t="e">
        <f ca="1">ROUND(IF(D32="楼面单价",C32,H118*10000/B118),0)</f>
        <v>#REF!</v>
      </c>
    </row>
    <row r="119" spans="1:11" ht="18.75" customHeight="1">
      <c r="A119" s="3119" t="s">
        <v>2315</v>
      </c>
      <c r="B119" s="3119"/>
      <c r="C119" s="3119"/>
      <c r="D119" s="3222" t="e">
        <f ca="1">NUMBERSTRING(INT(D118*10000),2)&amp;"元整"</f>
        <v>#REF!</v>
      </c>
      <c r="E119" s="3224"/>
      <c r="F119" s="3222" t="e">
        <f ca="1">NUMBERSTRING(INT(F118*10000),2)&amp;"元整"</f>
        <v>#REF!</v>
      </c>
      <c r="G119" s="3224"/>
      <c r="H119" s="3222" t="e">
        <f ca="1">NUMBERSTRING(INT(H118*10000),2)&amp;"元整"</f>
        <v>#REF!</v>
      </c>
      <c r="I119" s="3224"/>
    </row>
    <row r="120" spans="1:11" ht="18.75" customHeight="1">
      <c r="A120" s="3251" t="str">
        <f>IF(项目基本情况!B9="房地产市场价值","",MID(E103,3,LEN(E103)-2))</f>
        <v/>
      </c>
      <c r="B120" s="3252"/>
      <c r="C120" s="3253"/>
      <c r="D120" s="3251">
        <f>H103</f>
        <v>0</v>
      </c>
      <c r="E120" s="3252"/>
      <c r="F120" s="3252"/>
      <c r="G120" s="3252"/>
      <c r="H120" s="3252"/>
      <c r="I120" s="3253"/>
      <c r="K120" s="2423" t="str">
        <f>IF(D120=0,"故，本次评估不存在"&amp;A120,"故，本次评估"&amp;A120&amp;"为人民币"&amp;D120&amp;"万元整。")</f>
        <v>故，本次评估不存在</v>
      </c>
    </row>
    <row r="121" spans="1:11" ht="18.75" customHeight="1">
      <c r="A121" s="3226" t="s">
        <v>2315</v>
      </c>
      <c r="B121" s="3227"/>
      <c r="C121" s="3228"/>
      <c r="D121" s="3222" t="str">
        <f>IF(D120=0,"零元整",NUMBERSTRING(INT(D120*10000),2)&amp;"元整")</f>
        <v>零元整</v>
      </c>
      <c r="E121" s="3223"/>
      <c r="F121" s="3223"/>
      <c r="G121" s="3223"/>
      <c r="H121" s="3223"/>
      <c r="I121" s="3224"/>
    </row>
    <row r="122" spans="1:11" ht="18.75" customHeight="1">
      <c r="A122" s="3213" t="str">
        <f>IF(项目基本情况!B9="房地产市场价值","",MID(E107,3,LEN(E107)-2))</f>
        <v/>
      </c>
      <c r="B122" s="3213"/>
      <c r="C122" s="3213"/>
      <c r="D122" s="3251" t="e">
        <f ca="1">H107</f>
        <v>#REF!</v>
      </c>
      <c r="E122" s="3252"/>
      <c r="F122" s="3252"/>
      <c r="G122" s="3252"/>
      <c r="H122" s="3252"/>
      <c r="I122" s="3253"/>
    </row>
    <row r="123" spans="1:11" ht="18.75" customHeight="1">
      <c r="A123" s="3119" t="s">
        <v>2315</v>
      </c>
      <c r="B123" s="3119"/>
      <c r="C123" s="3119"/>
      <c r="D123" s="3222" t="e">
        <f ca="1">NUMBERSTRING(INT(D122*10000),2)&amp;"元整"</f>
        <v>#REF!</v>
      </c>
      <c r="E123" s="3223"/>
      <c r="F123" s="3223"/>
      <c r="G123" s="3223"/>
      <c r="H123" s="3223"/>
      <c r="I123" s="3224"/>
    </row>
    <row r="124" spans="1:11" ht="18.75" customHeight="1">
      <c r="A124" s="3213" t="str">
        <f>IF(项目基本情况!B9="房地产市场价值","",MID(E109,3,LEN(E109)-2))</f>
        <v/>
      </c>
      <c r="B124" s="3213"/>
      <c r="C124" s="3213"/>
      <c r="D124" s="3251" t="str">
        <f>H109</f>
        <v>——</v>
      </c>
      <c r="E124" s="3252"/>
      <c r="F124" s="3252"/>
      <c r="G124" s="3252"/>
      <c r="H124" s="3252"/>
      <c r="I124" s="3253"/>
    </row>
    <row r="125" spans="1:11" ht="18.75" customHeight="1">
      <c r="A125" s="3119" t="s">
        <v>2315</v>
      </c>
      <c r="B125" s="3119"/>
      <c r="C125" s="3119"/>
      <c r="D125" s="3222" t="e">
        <f>NUMBERSTRING(INT(D124*10000),2)&amp;"元整"</f>
        <v>#VALUE!</v>
      </c>
      <c r="E125" s="3223"/>
      <c r="F125" s="3223"/>
      <c r="G125" s="3223"/>
      <c r="H125" s="3223"/>
      <c r="I125" s="3224"/>
    </row>
    <row r="126" spans="1:11" ht="18.75" customHeight="1">
      <c r="A126" s="3213" t="str">
        <f>IF(项目基本情况!B9="房地产市场价值","",MID(E111,3,LEN(E111)-2))</f>
        <v/>
      </c>
      <c r="B126" s="3213"/>
      <c r="C126" s="3213"/>
      <c r="D126" s="3251" t="str">
        <f>H111</f>
        <v>——</v>
      </c>
      <c r="E126" s="3252"/>
      <c r="F126" s="3252"/>
      <c r="G126" s="3252"/>
      <c r="H126" s="3252"/>
      <c r="I126" s="3253"/>
    </row>
    <row r="127" spans="1:11" ht="18.75" customHeight="1">
      <c r="A127" s="3119" t="s">
        <v>2315</v>
      </c>
      <c r="B127" s="3119"/>
      <c r="C127" s="3119"/>
      <c r="D127" s="3222" t="e">
        <f>NUMBERSTRING(INT(D126*10000),2)&amp;"元整"</f>
        <v>#VALUE!</v>
      </c>
      <c r="E127" s="3223"/>
      <c r="F127" s="3223"/>
      <c r="G127" s="3223"/>
      <c r="H127" s="3223"/>
      <c r="I127" s="3224"/>
    </row>
    <row r="128" spans="1:11" ht="21.75" customHeight="1">
      <c r="A128" s="3233" t="s">
        <v>2316</v>
      </c>
      <c r="B128" s="3233"/>
      <c r="C128" s="3233"/>
      <c r="D128" s="3233"/>
      <c r="E128" s="3233"/>
      <c r="F128" s="3233"/>
      <c r="G128" s="3233"/>
      <c r="H128" s="3233"/>
      <c r="I128" s="3233"/>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1"/>
      <c r="C1" s="242"/>
      <c r="D1" s="242"/>
      <c r="E1" s="242"/>
      <c r="F1" s="242"/>
      <c r="G1" s="1382">
        <f>MATCH(B1,'数据-取费表'!A6:A16,0)+5</f>
        <v>7</v>
      </c>
    </row>
    <row r="2" spans="1:9" s="244" customFormat="1" ht="18" customHeight="1">
      <c r="A2" s="245" t="s">
        <v>2325</v>
      </c>
      <c r="B2" s="246">
        <f ca="1">IF(D2="——",C52,C52-E2)</f>
        <v>10171</v>
      </c>
      <c r="C2" s="243" t="s">
        <v>2326</v>
      </c>
      <c r="D2" s="2549" t="s">
        <v>3329</v>
      </c>
      <c r="E2" s="1443">
        <f ca="1">SUMIF(INDIRECT("'"&amp;G2&amp;"'"&amp;"!A:A"),"承租人权益价值",INDIRECT("'"&amp;G2&amp;"'"&amp;"!c:c"))</f>
        <v>0</v>
      </c>
      <c r="F2" s="2550" t="s">
        <v>2326</v>
      </c>
      <c r="G2" s="2551" t="s">
        <v>3268</v>
      </c>
    </row>
    <row r="3" spans="1:9" s="244" customFormat="1" ht="18" customHeight="1" thickBot="1">
      <c r="A3" s="247" t="s">
        <v>2327</v>
      </c>
      <c r="B3" s="248">
        <f ca="1">ROUND(B2*10000/(IF(B1="",'数据-汇总表'!E3,INDIRECT("'数据-取费表'!k"&amp;$G$1))),0)</f>
        <v>3648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558</v>
      </c>
      <c r="D10" s="1035">
        <f ca="1">IF(B1="",'数据-汇总表'!E6,IF(INDIRECT("'数据-取费表'!c"&amp;$G$1)="住宅",INDIRECT("'数据-取费表'!s"&amp;$G$1),INDIRECT("'数据-取费表'!k"&amp;$G$1)+INDIRECT("'数据-取费表'!s"&amp;$G$1)))</f>
        <v>27877.57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558</v>
      </c>
      <c r="D19" s="1039">
        <f ca="1">D9+D10</f>
        <v>27877.57</v>
      </c>
      <c r="E19" s="255">
        <f>'数据-取费表'!B31</f>
        <v>200</v>
      </c>
      <c r="F19" s="275"/>
      <c r="G19" s="2552"/>
    </row>
    <row r="20" spans="1:7" s="258" customFormat="1" ht="13.5" customHeight="1">
      <c r="A20" s="299" t="s">
        <v>2356</v>
      </c>
      <c r="B20" s="254" t="s">
        <v>2357</v>
      </c>
      <c r="C20" s="276">
        <f ca="1">ROUND((C5+C19)*F20,0)</f>
        <v>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12</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114</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114</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753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8793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7806</v>
      </c>
      <c r="D34" s="261"/>
      <c r="E34" s="264"/>
      <c r="F34" s="301">
        <f ca="1">IF('数据-取费表'!B24=0,1,IF(B1="",'数据-取费表'!N16,INDIRECT("'数据-取费表'!n"&amp;$G$1)))</f>
        <v>1</v>
      </c>
      <c r="G34" s="263" t="s">
        <v>2389</v>
      </c>
    </row>
    <row r="35" spans="1:7" ht="13.5" customHeight="1">
      <c r="A35" s="954" t="s">
        <v>796</v>
      </c>
      <c r="B35" s="259" t="s">
        <v>2390</v>
      </c>
      <c r="C35" s="264">
        <f ca="1">ROUND(C34*F35,0)</f>
        <v>312</v>
      </c>
      <c r="D35" s="264"/>
      <c r="E35" s="264"/>
      <c r="F35" s="303">
        <f>'数据-取费表'!B33</f>
        <v>0.04</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558</v>
      </c>
      <c r="D37" s="261">
        <f ca="1">D19</f>
        <v>27877.57</v>
      </c>
      <c r="E37" s="293">
        <f>'数据-取费表'!B35</f>
        <v>200</v>
      </c>
      <c r="F37" s="303"/>
      <c r="G37" s="305" t="s">
        <v>2395</v>
      </c>
    </row>
    <row r="38" spans="1:7" ht="13.5" customHeight="1">
      <c r="A38" s="954" t="s">
        <v>799</v>
      </c>
      <c r="B38" s="259" t="s">
        <v>2396</v>
      </c>
      <c r="C38" s="264">
        <f ca="1">ROUND(C34*F38,0)</f>
        <v>117</v>
      </c>
      <c r="D38" s="264"/>
      <c r="E38" s="264"/>
      <c r="F38" s="303">
        <f>'数据-取费表'!B36</f>
        <v>1.4999999999999999E-2</v>
      </c>
      <c r="G38" s="263" t="s">
        <v>2391</v>
      </c>
    </row>
    <row r="39" spans="1:7" s="258" customFormat="1" ht="13.5" customHeight="1">
      <c r="A39" s="299" t="s">
        <v>2397</v>
      </c>
      <c r="B39" s="254" t="s">
        <v>2398</v>
      </c>
      <c r="C39" s="276">
        <f ca="1">ROUND(C33*F20,0)</f>
        <v>176</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96</v>
      </c>
      <c r="D42" s="282"/>
      <c r="E42" s="282"/>
      <c r="F42" s="283"/>
      <c r="G42" s="3322" t="s">
        <v>2407</v>
      </c>
    </row>
    <row r="43" spans="1:7" ht="13.5" customHeight="1">
      <c r="A43" s="954" t="s">
        <v>792</v>
      </c>
      <c r="B43" s="259" t="s">
        <v>2408</v>
      </c>
      <c r="C43" s="282">
        <f ca="1">ROUND(IF('数据-取费表'!B22&lt;=1,C39*F22*'数据-取费表'!B21/2,C39*(POWER((1+F22),'数据-取费表'!B21/2)-1)),0)</f>
        <v>2</v>
      </c>
      <c r="D43" s="282"/>
      <c r="E43" s="282"/>
      <c r="F43" s="283"/>
      <c r="G43" s="3323"/>
    </row>
    <row r="44" spans="1:7" ht="13.5" customHeight="1">
      <c r="A44" s="954" t="s">
        <v>793</v>
      </c>
      <c r="B44" s="259" t="s">
        <v>2409</v>
      </c>
      <c r="C44" s="282">
        <f ca="1">ROUND(IF('数据-取费表'!B22&lt;=1,C40*F22*'数据-取费表'!B21/2,C40*(POWER((1+F22),'数据-取费表'!B21/2)-1)),4)</f>
        <v>2.0000000000000001E-4</v>
      </c>
      <c r="D44" s="282"/>
      <c r="E44" s="282"/>
      <c r="F44" s="283"/>
      <c r="G44" s="3324"/>
    </row>
    <row r="45" spans="1:7" s="258" customFormat="1" ht="13.5" customHeight="1">
      <c r="A45" s="299" t="s">
        <v>2410</v>
      </c>
      <c r="B45" s="288" t="s">
        <v>2376</v>
      </c>
      <c r="C45" s="289">
        <f ca="1">C46</f>
        <v>1794</v>
      </c>
      <c r="D45" s="279">
        <f ca="1">C47</f>
        <v>4.0000000000000001E-3</v>
      </c>
      <c r="E45" s="280" t="s">
        <v>2402</v>
      </c>
      <c r="F45" s="290"/>
      <c r="G45" s="291" t="s">
        <v>2411</v>
      </c>
    </row>
    <row r="46" spans="1:7" s="258" customFormat="1" ht="13.5" customHeight="1">
      <c r="A46" s="954" t="s">
        <v>791</v>
      </c>
      <c r="B46" s="292" t="s">
        <v>2412</v>
      </c>
      <c r="C46" s="293">
        <f ca="1">ROUND((C33+C39)*F27,0)</f>
        <v>1794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2">
        <f>ROUND(F30/(1+'数据-取费表'!C42),4)</f>
        <v>5.33E-2</v>
      </c>
      <c r="D48" s="280" t="s">
        <v>2402</v>
      </c>
      <c r="E48" s="276"/>
      <c r="F48" s="281"/>
      <c r="G48" s="278" t="s">
        <v>2415</v>
      </c>
    </row>
    <row r="49" spans="1:7" ht="16.5" customHeight="1">
      <c r="A49" s="299" t="s">
        <v>2381</v>
      </c>
      <c r="B49" s="254" t="s">
        <v>2416</v>
      </c>
      <c r="C49" s="276">
        <f ca="1">ROUND((C33+C39+C41+C45)/(1-C40-D41-D45-C48),0)</f>
        <v>11773</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9418</v>
      </c>
      <c r="D51" s="276"/>
      <c r="E51" s="276"/>
      <c r="F51" s="308"/>
      <c r="G51" s="278" t="s">
        <v>2423</v>
      </c>
    </row>
    <row r="52" spans="1:7" s="252" customFormat="1" ht="16.5" thickBot="1">
      <c r="A52" s="309" t="s">
        <v>2424</v>
      </c>
      <c r="B52" s="310"/>
      <c r="C52" s="311">
        <f ca="1">C31+C51</f>
        <v>10171</v>
      </c>
      <c r="D52" s="310"/>
      <c r="E52" s="310"/>
      <c r="F52" s="310"/>
      <c r="G52" s="312"/>
    </row>
    <row r="55" spans="1:7" ht="15">
      <c r="B55" s="314" t="s">
        <v>2425</v>
      </c>
      <c r="C55" s="315"/>
    </row>
    <row r="56" spans="1:7">
      <c r="B56" s="317" t="s">
        <v>1515</v>
      </c>
      <c r="C56" s="319">
        <f ca="1">1-C57</f>
        <v>7.3999999999999955E-2</v>
      </c>
    </row>
    <row r="57" spans="1:7">
      <c r="B57" s="317" t="s">
        <v>1516</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1"/>
      <c r="C1" s="2555"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10924</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5575514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5575514</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5575514</v>
      </c>
      <c r="D10" s="1035">
        <f ca="1">IF(B1="",'数据-汇总表'!E6,IF(INDIRECT("'数据-取费表'!c"&amp;$G$1)="住宅",INDIRECT("'数据-取费表'!s"&amp;$G$1),INDIRECT("'数据-取费表'!k"&amp;$G$1)+INDIRECT("'数据-取费表'!s"&amp;$G$1)))</f>
        <v>27877.57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5575514</v>
      </c>
      <c r="D19" s="1039">
        <f ca="1">D9+D10</f>
        <v>27877.57</v>
      </c>
      <c r="E19" s="255">
        <f>'数据-取费表'!B31</f>
        <v>200</v>
      </c>
      <c r="F19" s="275"/>
      <c r="G19" s="2552"/>
    </row>
    <row r="20" spans="1:7" s="258" customFormat="1" ht="13.5" customHeight="1">
      <c r="A20" s="299" t="s">
        <v>2437</v>
      </c>
      <c r="B20" s="254" t="s">
        <v>2438</v>
      </c>
      <c r="C20" s="276">
        <f ca="1">ROUND((C5+C19)*F20,0)</f>
        <v>223021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244959</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121267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121267</v>
      </c>
      <c r="D24" s="282"/>
      <c r="E24" s="282"/>
      <c r="F24" s="283"/>
      <c r="G24" s="284" t="s">
        <v>2449</v>
      </c>
    </row>
    <row r="25" spans="1:7" s="258" customFormat="1" ht="24">
      <c r="A25" s="954" t="s">
        <v>2339</v>
      </c>
      <c r="B25" s="259" t="s">
        <v>2450</v>
      </c>
      <c r="C25" s="1384">
        <f ca="1">ROUND(IF('数据-取费表'!B22&lt;=1,C20*F22*'数据-取费表'!B22/2,C20*(POWER((1+F22),'数据-取费表'!B22/2)-1)),0)</f>
        <v>2425</v>
      </c>
      <c r="D25" s="282"/>
      <c r="E25" s="285"/>
      <c r="F25" s="283"/>
      <c r="G25" s="286" t="s">
        <v>2451</v>
      </c>
    </row>
    <row r="26" spans="1:7" s="258" customFormat="1">
      <c r="A26" s="954"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2274810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2274810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15061049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87925856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78057196</v>
      </c>
      <c r="D34" s="261"/>
      <c r="E34" s="264"/>
      <c r="F34" s="301"/>
      <c r="G34" s="263"/>
    </row>
    <row r="35" spans="1:7" ht="13.5" customHeight="1">
      <c r="A35" s="954" t="s">
        <v>796</v>
      </c>
      <c r="B35" s="259" t="s">
        <v>2390</v>
      </c>
      <c r="C35" s="264">
        <f ca="1">ROUND(C34*F35,0)</f>
        <v>3122288</v>
      </c>
      <c r="D35" s="264"/>
      <c r="E35" s="264"/>
      <c r="F35" s="303">
        <f>'数据-取费表'!B33</f>
        <v>0.04</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5575514</v>
      </c>
      <c r="D37" s="261">
        <f ca="1">D19</f>
        <v>27877.57</v>
      </c>
      <c r="E37" s="293">
        <f>'数据-取费表'!B35</f>
        <v>200</v>
      </c>
      <c r="F37" s="303"/>
      <c r="G37" s="305"/>
    </row>
    <row r="38" spans="1:7" ht="13.5" customHeight="1">
      <c r="A38" s="954" t="s">
        <v>799</v>
      </c>
      <c r="B38" s="259" t="s">
        <v>2396</v>
      </c>
      <c r="C38" s="264">
        <f ca="1">ROUND(C34*F38,0)</f>
        <v>1170858</v>
      </c>
      <c r="D38" s="264"/>
      <c r="E38" s="264"/>
      <c r="F38" s="303">
        <f>'数据-取费表'!B36</f>
        <v>1.4999999999999999E-2</v>
      </c>
      <c r="G38" s="263" t="s">
        <v>2391</v>
      </c>
    </row>
    <row r="39" spans="1:7" s="258" customFormat="1" ht="13.5" customHeight="1">
      <c r="A39" s="299" t="s">
        <v>2397</v>
      </c>
      <c r="B39" s="254" t="s">
        <v>2398</v>
      </c>
      <c r="C39" s="276">
        <f ca="1">ROUND(C33*F20,0)</f>
        <v>1758517</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975318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956194</v>
      </c>
      <c r="D42" s="282"/>
      <c r="E42" s="282"/>
      <c r="F42" s="283"/>
      <c r="G42" s="3322" t="s">
        <v>2454</v>
      </c>
    </row>
    <row r="43" spans="1:7" ht="13.5" customHeight="1">
      <c r="A43" s="954" t="s">
        <v>792</v>
      </c>
      <c r="B43" s="259" t="s">
        <v>2408</v>
      </c>
      <c r="C43" s="282">
        <f ca="1">ROUND(IF('数据-取费表'!B22&lt;=1,C39*F22*'数据-取费表'!B20/2,C39*(POWER((1+F22),'数据-取费表'!B20/2)-1)),0)</f>
        <v>19124</v>
      </c>
      <c r="D43" s="282"/>
      <c r="E43" s="282"/>
      <c r="F43" s="283"/>
      <c r="G43" s="3323"/>
    </row>
    <row r="44" spans="1:7" ht="13.5" customHeight="1">
      <c r="A44" s="954" t="s">
        <v>793</v>
      </c>
      <c r="B44" s="259" t="s">
        <v>2409</v>
      </c>
      <c r="C44" s="282">
        <f ca="1">ROUND(IF('数据-取费表'!B22&lt;=1,C40*F22*'数据-取费表'!B20/2,C40*(POWER((1+F22),'数据-取费表'!B20/2)-1)),4)</f>
        <v>2.0000000000000001E-4</v>
      </c>
      <c r="D44" s="282"/>
      <c r="E44" s="282"/>
      <c r="F44" s="283"/>
      <c r="G44" s="3324"/>
    </row>
    <row r="45" spans="1:7" s="258" customFormat="1" ht="13.5" customHeight="1">
      <c r="A45" s="299" t="s">
        <v>2410</v>
      </c>
      <c r="B45" s="288" t="s">
        <v>2376</v>
      </c>
      <c r="C45" s="289">
        <f ca="1">C46</f>
        <v>17936875</v>
      </c>
      <c r="D45" s="279">
        <f ca="1">C47</f>
        <v>4.0000000000000001E-3</v>
      </c>
      <c r="E45" s="280" t="s">
        <v>2402</v>
      </c>
      <c r="F45" s="290"/>
      <c r="G45" s="291" t="s">
        <v>2411</v>
      </c>
    </row>
    <row r="46" spans="1:7" s="258" customFormat="1" ht="13.5" customHeight="1">
      <c r="A46" s="954" t="s">
        <v>791</v>
      </c>
      <c r="B46" s="292" t="s">
        <v>2412</v>
      </c>
      <c r="C46" s="293">
        <f ca="1">ROUND((C33+C39)*F27,0)</f>
        <v>17936875</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117719855</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94175884</v>
      </c>
      <c r="D51" s="276"/>
      <c r="E51" s="276"/>
      <c r="F51" s="308"/>
      <c r="G51" s="278" t="s">
        <v>2423</v>
      </c>
    </row>
    <row r="52" spans="1:7" s="252" customFormat="1" ht="16.5" thickBot="1">
      <c r="A52" s="309" t="s">
        <v>2424</v>
      </c>
      <c r="B52" s="310"/>
      <c r="C52" s="311">
        <f ca="1">C31+C51</f>
        <v>109236933</v>
      </c>
      <c r="D52" s="310"/>
      <c r="E52" s="310"/>
      <c r="F52" s="310"/>
      <c r="G52" s="312"/>
    </row>
    <row r="55" spans="1:7" ht="15">
      <c r="B55" s="314" t="s">
        <v>2425</v>
      </c>
      <c r="C55" s="315"/>
    </row>
    <row r="56" spans="1:7">
      <c r="B56" s="317" t="s">
        <v>1515</v>
      </c>
      <c r="C56" s="319">
        <f ca="1">1-C57</f>
        <v>0.13800000000000001</v>
      </c>
    </row>
    <row r="57" spans="1:7">
      <c r="B57" s="317" t="s">
        <v>1516</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5"/>
      <c r="C1" s="1586"/>
      <c r="D1" s="1584"/>
      <c r="E1" s="320"/>
      <c r="F1" s="320"/>
      <c r="G1" s="1585"/>
      <c r="H1" s="320"/>
      <c r="I1" s="320"/>
      <c r="J1" s="320"/>
      <c r="K1" s="320">
        <f>MATCH(C1,'数据-取费表'!A6:A16,0)+5</f>
        <v>7</v>
      </c>
    </row>
    <row r="2" spans="1:33" ht="18" customHeight="1">
      <c r="A2" s="245" t="s">
        <v>2325</v>
      </c>
      <c r="B2" s="248">
        <f ca="1">C32</f>
        <v>-664</v>
      </c>
      <c r="C2" s="320" t="s">
        <v>2458</v>
      </c>
      <c r="D2" s="320"/>
      <c r="E2" s="320"/>
      <c r="F2" s="320"/>
      <c r="G2" s="320"/>
      <c r="H2" s="320"/>
      <c r="I2" s="320"/>
      <c r="J2" s="320"/>
      <c r="K2" s="320"/>
    </row>
    <row r="3" spans="1:33" ht="18" customHeight="1" thickBot="1">
      <c r="A3" s="247" t="s">
        <v>2327</v>
      </c>
      <c r="B3" s="248">
        <f ca="1">ROUND(B2*10000/IF(C1="",'数据-汇总表'!E3,INDIRECT("'数据-取费表'!K"&amp;$K$1)),0)</f>
        <v>-238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0.04</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27877.57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27877.57</v>
      </c>
      <c r="E17" s="23">
        <f>'数据-取费表'!B32</f>
        <v>0</v>
      </c>
      <c r="F17" s="981"/>
      <c r="G17" s="139" t="s">
        <v>2489</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558</v>
      </c>
      <c r="D18" s="1036"/>
      <c r="E18" s="23"/>
      <c r="F18" s="979"/>
      <c r="G18" s="2558"/>
      <c r="H18" s="1581"/>
      <c r="I18" s="2559"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2493</v>
      </c>
      <c r="C20" s="23">
        <f ca="1">ROUND(D20*E20/10000,0)</f>
        <v>558</v>
      </c>
      <c r="D20" s="1036">
        <f ca="1">IF(C1="",'数据-汇总表'!E6,IF(INDIRECT("'数据-取费表'!c"&amp;$K$1)="住宅",INDIRECT("'数据-取费表'!s"&amp;$K$1),INDIRECT("'数据-取费表'!k"&amp;$K$1)+INDIRECT("'数据-取费表'!s"&amp;$K$1)))</f>
        <v>27877.57</v>
      </c>
      <c r="E20" s="23">
        <f>'数据-取费表'!B28</f>
        <v>200</v>
      </c>
      <c r="F20" s="979"/>
      <c r="G20" s="14"/>
      <c r="H20" s="984"/>
      <c r="I20" s="984"/>
      <c r="J20" s="984"/>
      <c r="K20" s="985"/>
    </row>
    <row r="21" spans="1:33" s="978" customFormat="1" ht="13.5" customHeight="1">
      <c r="A21" s="964" t="s">
        <v>802</v>
      </c>
      <c r="B21" s="988" t="s">
        <v>2494</v>
      </c>
      <c r="C21" s="989">
        <f ca="1">C16+C17+C18</f>
        <v>558</v>
      </c>
      <c r="D21" s="990"/>
      <c r="E21" s="325"/>
      <c r="F21" s="325"/>
      <c r="G21" s="139" t="s">
        <v>2495</v>
      </c>
      <c r="H21" s="982"/>
      <c r="I21" s="982"/>
      <c r="J21" s="982"/>
      <c r="K21" s="983"/>
    </row>
    <row r="22" spans="1:33" s="978" customFormat="1" ht="13.5" customHeight="1">
      <c r="A22" s="964" t="s">
        <v>2467</v>
      </c>
      <c r="B22" s="988" t="s">
        <v>2496</v>
      </c>
      <c r="C22" s="989">
        <f ca="1">ROUND(C21*F22,0)</f>
        <v>11</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2507</v>
      </c>
      <c r="B28" s="2561" t="s">
        <v>2508</v>
      </c>
      <c r="C28" s="331">
        <f ca="1">C30</f>
        <v>114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114</v>
      </c>
      <c r="D30" s="328"/>
      <c r="E30" s="329"/>
      <c r="F30" s="334"/>
      <c r="G30" s="139"/>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-664</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319" t="s">
        <v>1404</v>
      </c>
      <c r="C6" s="1299">
        <f ca="1">ROUND(F6*F8*F7*(1-F9),0)</f>
        <v>0</v>
      </c>
      <c r="D6" s="164" t="s">
        <v>3025</v>
      </c>
      <c r="E6" s="347" t="s">
        <v>1406</v>
      </c>
      <c r="F6" s="348">
        <f ca="1">INDIRECT("'数据-取费表'!u"&amp;$G$1)</f>
        <v>0</v>
      </c>
      <c r="G6" s="1855"/>
      <c r="H6" s="1294" t="s">
        <v>1035</v>
      </c>
      <c r="I6" s="3319" t="s">
        <v>1404</v>
      </c>
      <c r="J6" s="346">
        <f ca="1">ROUND(M6*M8*M7*(1-M9),0)</f>
        <v>0</v>
      </c>
      <c r="K6" s="1838" t="s">
        <v>3028</v>
      </c>
      <c r="L6" s="347" t="s">
        <v>1406</v>
      </c>
      <c r="M6" s="348">
        <f ca="1">INDIRECT("'数据-取费表'!z"&amp;$G$1)</f>
        <v>0</v>
      </c>
    </row>
    <row r="7" spans="1:37" ht="18" customHeight="1">
      <c r="A7" s="1298"/>
      <c r="B7" s="3320"/>
      <c r="C7" s="1300"/>
      <c r="D7" s="352"/>
      <c r="E7" s="1301" t="s">
        <v>1407</v>
      </c>
      <c r="F7" s="348">
        <f ca="1">IF(INDIRECT("'数据-取费表'!ah"&amp;$G$1)="",INDIRECT("'数据-取费表'!k"&amp;$G$1),INDIRECT("'数据-取费表'!ah"&amp;$G$1))</f>
        <v>0</v>
      </c>
      <c r="G7" s="1855"/>
      <c r="H7" s="349"/>
      <c r="I7" s="3320"/>
      <c r="J7" s="351"/>
      <c r="K7" s="352"/>
      <c r="L7" s="347" t="s">
        <v>1407</v>
      </c>
      <c r="M7" s="348">
        <f ca="1">F7</f>
        <v>0</v>
      </c>
    </row>
    <row r="8" spans="1:37" ht="18" customHeight="1">
      <c r="A8" s="349"/>
      <c r="B8" s="3320"/>
      <c r="C8" s="351"/>
      <c r="D8" s="352"/>
      <c r="E8" s="347" t="s">
        <v>1408</v>
      </c>
      <c r="F8" s="348">
        <f ca="1">INDIRECT("'数据-取费表'!ai"&amp;$G$1)</f>
        <v>0</v>
      </c>
      <c r="G8" s="1855"/>
      <c r="H8" s="349"/>
      <c r="I8" s="3320"/>
      <c r="J8" s="351"/>
      <c r="K8" s="352"/>
      <c r="L8" s="347" t="s">
        <v>1408</v>
      </c>
      <c r="M8" s="348">
        <f ca="1">INDIRECT("'数据-取费表'!ai"&amp;$G$1)</f>
        <v>0</v>
      </c>
    </row>
    <row r="9" spans="1:37" ht="18" customHeight="1">
      <c r="A9" s="349"/>
      <c r="B9" s="3321"/>
      <c r="C9" s="351"/>
      <c r="D9" s="352"/>
      <c r="E9" s="347" t="s">
        <v>1409</v>
      </c>
      <c r="F9" s="357">
        <f ca="1">INDIRECT("'数据-取费表'!w"&amp;$G$1)</f>
        <v>0</v>
      </c>
      <c r="G9" s="1855"/>
      <c r="H9" s="349"/>
      <c r="I9" s="332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3026</v>
      </c>
      <c r="E10" s="358" t="s">
        <v>1412</v>
      </c>
      <c r="F10" s="1369"/>
      <c r="G10" s="1855"/>
      <c r="H10" s="1294" t="s">
        <v>1039</v>
      </c>
      <c r="I10" s="1827" t="s">
        <v>1410</v>
      </c>
      <c r="J10" s="346">
        <f ca="1">ROUND(IF(M10="押一",M6*M8*M7/12*M11,IF(M10="押二",M6*M8*M7/12*2*M11,IF(M10="押三",M6*M8*M7/12*3*M11,J11*M11))),0)</f>
        <v>0</v>
      </c>
      <c r="K10" s="1839" t="s">
        <v>3027</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317" t="s">
        <v>1550</v>
      </c>
      <c r="L53" s="3318"/>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2524</v>
      </c>
      <c r="B1" s="2564"/>
      <c r="C1" s="2564"/>
      <c r="D1" s="2564"/>
      <c r="E1" s="2565"/>
    </row>
    <row r="2" spans="1:6" ht="15.75">
      <c r="A2" s="2566" t="s">
        <v>2325</v>
      </c>
      <c r="B2" s="2567">
        <f ca="1">SUMIF(B6:B13,"&lt;&gt;#ref!",B6:B13)</f>
        <v>94959</v>
      </c>
      <c r="C2" s="2568" t="s">
        <v>2517</v>
      </c>
      <c r="D2" s="2569" t="s">
        <v>2518</v>
      </c>
      <c r="E2" s="2570">
        <f>SUM(E6:E13)</f>
        <v>27877.57</v>
      </c>
    </row>
    <row r="3" spans="1:6" ht="15.75">
      <c r="A3" s="2566" t="s">
        <v>1396</v>
      </c>
      <c r="B3" s="2567">
        <f ca="1">ROUND(B2*10000/E2,0)</f>
        <v>34063</v>
      </c>
      <c r="C3" s="2568" t="s">
        <v>2525</v>
      </c>
      <c r="D3" s="2571"/>
      <c r="E3" s="2572"/>
    </row>
    <row r="4" spans="1:6" ht="15.75">
      <c r="A4" s="2573"/>
      <c r="B4" s="2571"/>
      <c r="C4" s="2571"/>
      <c r="D4" s="2571"/>
      <c r="E4" s="2572"/>
    </row>
    <row r="5" spans="1:6" ht="15">
      <c r="A5" s="2574" t="s">
        <v>2519</v>
      </c>
      <c r="B5" s="3325" t="s">
        <v>2520</v>
      </c>
      <c r="C5" s="3325"/>
      <c r="D5" s="2575"/>
      <c r="E5" s="2576" t="s">
        <v>2521</v>
      </c>
      <c r="F5" s="2577" t="s">
        <v>2522</v>
      </c>
    </row>
    <row r="6" spans="1:6">
      <c r="A6" s="2578" t="str">
        <f>'数据-取费表'!AN6</f>
        <v>收益法-凯富</v>
      </c>
      <c r="B6" s="2577">
        <f ca="1">IF(F6="是",'数据-取费表'!AO6,0)</f>
        <v>94959</v>
      </c>
      <c r="C6" s="2568" t="s">
        <v>2517</v>
      </c>
      <c r="D6" s="2571"/>
      <c r="E6" s="2579">
        <f>IF(OR(A6=0,F6="否"),0,'数据-取费表'!K6+'数据-取费表'!S6)</f>
        <v>27877.57</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2" t="s">
        <v>1076</v>
      </c>
      <c r="B1" s="3343"/>
      <c r="C1" s="3344"/>
      <c r="D1" s="3345">
        <f>SUM(I10,I15,I20,I21,I23)</f>
        <v>0</v>
      </c>
      <c r="E1" s="3345"/>
      <c r="F1" s="3345"/>
      <c r="G1" s="3345"/>
      <c r="H1" s="3345"/>
      <c r="I1" s="3346"/>
    </row>
    <row r="2" spans="1:9">
      <c r="A2" s="3332" t="s">
        <v>1077</v>
      </c>
      <c r="B2" s="3333" t="s">
        <v>1078</v>
      </c>
      <c r="C2" s="3333"/>
      <c r="D2" s="1304" t="s">
        <v>1079</v>
      </c>
      <c r="E2" s="1304" t="s">
        <v>1080</v>
      </c>
      <c r="F2" s="1304" t="s">
        <v>1081</v>
      </c>
      <c r="G2" s="1304" t="s">
        <v>1082</v>
      </c>
      <c r="H2" s="1304" t="s">
        <v>1083</v>
      </c>
      <c r="I2" s="1305" t="s">
        <v>1084</v>
      </c>
    </row>
    <row r="3" spans="1:9">
      <c r="A3" s="3332"/>
      <c r="B3" s="3333" t="s">
        <v>1085</v>
      </c>
      <c r="C3" s="3333"/>
      <c r="D3" s="1306"/>
      <c r="E3" s="1304"/>
      <c r="F3" s="1307"/>
      <c r="G3" s="1307"/>
      <c r="H3" s="1308"/>
      <c r="I3" s="1309">
        <f>ROUND(D3*E3*F3*G3*H3/10000,0)</f>
        <v>0</v>
      </c>
    </row>
    <row r="4" spans="1:9">
      <c r="A4" s="3332"/>
      <c r="B4" s="3333" t="s">
        <v>1086</v>
      </c>
      <c r="C4" s="3333"/>
      <c r="D4" s="1306"/>
      <c r="E4" s="1304"/>
      <c r="F4" s="1307"/>
      <c r="G4" s="1307"/>
      <c r="H4" s="1308"/>
      <c r="I4" s="1309">
        <f t="shared" ref="I4:I9" si="0">ROUND(D4*E4*F4*G4*H4/10000,0)</f>
        <v>0</v>
      </c>
    </row>
    <row r="5" spans="1:9">
      <c r="A5" s="3332"/>
      <c r="B5" s="3333" t="s">
        <v>1087</v>
      </c>
      <c r="C5" s="3333"/>
      <c r="D5" s="1306"/>
      <c r="E5" s="1304"/>
      <c r="F5" s="1307"/>
      <c r="G5" s="1307"/>
      <c r="H5" s="1308"/>
      <c r="I5" s="1309">
        <f t="shared" si="0"/>
        <v>0</v>
      </c>
    </row>
    <row r="6" spans="1:9">
      <c r="A6" s="3332"/>
      <c r="B6" s="3333" t="s">
        <v>1088</v>
      </c>
      <c r="C6" s="3333"/>
      <c r="D6" s="1306"/>
      <c r="E6" s="1304"/>
      <c r="F6" s="1307"/>
      <c r="G6" s="1307"/>
      <c r="H6" s="1308"/>
      <c r="I6" s="1309">
        <f t="shared" si="0"/>
        <v>0</v>
      </c>
    </row>
    <row r="7" spans="1:9">
      <c r="A7" s="3332"/>
      <c r="B7" s="3333" t="s">
        <v>1089</v>
      </c>
      <c r="C7" s="3333"/>
      <c r="D7" s="1306"/>
      <c r="E7" s="1304"/>
      <c r="F7" s="1307"/>
      <c r="G7" s="1307"/>
      <c r="H7" s="1308"/>
      <c r="I7" s="1309">
        <f t="shared" si="0"/>
        <v>0</v>
      </c>
    </row>
    <row r="8" spans="1:9">
      <c r="A8" s="3332"/>
      <c r="B8" s="3333" t="s">
        <v>1090</v>
      </c>
      <c r="C8" s="3333"/>
      <c r="D8" s="1306"/>
      <c r="E8" s="1304"/>
      <c r="F8" s="1307"/>
      <c r="G8" s="1307"/>
      <c r="H8" s="1308"/>
      <c r="I8" s="1309">
        <f t="shared" si="0"/>
        <v>0</v>
      </c>
    </row>
    <row r="9" spans="1:9">
      <c r="A9" s="3332"/>
      <c r="B9" s="3333" t="s">
        <v>1091</v>
      </c>
      <c r="C9" s="3333"/>
      <c r="D9" s="1306"/>
      <c r="E9" s="1304"/>
      <c r="F9" s="1307"/>
      <c r="G9" s="1307"/>
      <c r="H9" s="1308"/>
      <c r="I9" s="1309">
        <f t="shared" si="0"/>
        <v>0</v>
      </c>
    </row>
    <row r="10" spans="1:9">
      <c r="A10" s="3332"/>
      <c r="B10" s="3334" t="s">
        <v>1092</v>
      </c>
      <c r="C10" s="3334"/>
      <c r="D10" s="1310"/>
      <c r="E10" s="1310" t="e">
        <f>ROUND(D1*10000/D10/H9,0)</f>
        <v>#DIV/0!</v>
      </c>
      <c r="F10" s="1311"/>
      <c r="G10" s="1311"/>
      <c r="H10" s="1312"/>
      <c r="I10" s="1313">
        <f>SUM(I3:I9)</f>
        <v>0</v>
      </c>
    </row>
    <row r="11" spans="1:9" ht="14.25">
      <c r="A11" s="3332" t="s">
        <v>1093</v>
      </c>
      <c r="B11" s="3333" t="s">
        <v>1094</v>
      </c>
      <c r="C11" s="3333"/>
      <c r="D11" s="1306" t="s">
        <v>1095</v>
      </c>
      <c r="E11" s="1306" t="s">
        <v>1096</v>
      </c>
      <c r="F11" s="1307" t="s">
        <v>1097</v>
      </c>
      <c r="G11" s="1307" t="s">
        <v>1083</v>
      </c>
      <c r="H11" s="1314" t="s">
        <v>1098</v>
      </c>
      <c r="I11" s="1305" t="s">
        <v>1084</v>
      </c>
    </row>
    <row r="12" spans="1:9">
      <c r="A12" s="3332"/>
      <c r="B12" s="3333" t="s">
        <v>1099</v>
      </c>
      <c r="C12" s="3333"/>
      <c r="D12" s="1306"/>
      <c r="E12" s="1306"/>
      <c r="F12" s="1307"/>
      <c r="G12" s="1308"/>
      <c r="H12" s="1315"/>
      <c r="I12" s="1305">
        <f>ROUND(D12*E12*F12*G12/10000,0)</f>
        <v>0</v>
      </c>
    </row>
    <row r="13" spans="1:9">
      <c r="A13" s="3332"/>
      <c r="B13" s="3333" t="s">
        <v>1100</v>
      </c>
      <c r="C13" s="3333"/>
      <c r="D13" s="1306"/>
      <c r="E13" s="1306"/>
      <c r="F13" s="1307"/>
      <c r="G13" s="1308"/>
      <c r="H13" s="1315"/>
      <c r="I13" s="1305">
        <f>ROUND(D13*E13*F13*G13/10000,0)</f>
        <v>0</v>
      </c>
    </row>
    <row r="14" spans="1:9">
      <c r="A14" s="3332"/>
      <c r="B14" s="3333" t="s">
        <v>1101</v>
      </c>
      <c r="C14" s="3333"/>
      <c r="D14" s="1306"/>
      <c r="E14" s="1306"/>
      <c r="F14" s="1307"/>
      <c r="G14" s="1308"/>
      <c r="H14" s="1315"/>
      <c r="I14" s="1305">
        <f>ROUND(D14*E14*F14*G14/10000,0)</f>
        <v>0</v>
      </c>
    </row>
    <row r="15" spans="1:9">
      <c r="A15" s="3332"/>
      <c r="B15" s="3334" t="s">
        <v>1092</v>
      </c>
      <c r="C15" s="3334"/>
      <c r="D15" s="1310"/>
      <c r="E15" s="1310">
        <f>SUM(E12:E14)</f>
        <v>0</v>
      </c>
      <c r="F15" s="1311"/>
      <c r="G15" s="1308"/>
      <c r="H15" s="1315"/>
      <c r="I15" s="1316">
        <f>SUM(I12:I14)</f>
        <v>0</v>
      </c>
    </row>
    <row r="16" spans="1:9" ht="24">
      <c r="A16" s="3332" t="s">
        <v>1102</v>
      </c>
      <c r="B16" s="3333" t="s">
        <v>1103</v>
      </c>
      <c r="C16" s="3333"/>
      <c r="D16" s="1306" t="s">
        <v>1079</v>
      </c>
      <c r="E16" s="1317" t="s">
        <v>1104</v>
      </c>
      <c r="F16" s="1307" t="s">
        <v>1105</v>
      </c>
      <c r="G16" s="1308" t="s">
        <v>1083</v>
      </c>
      <c r="H16" s="1314" t="s">
        <v>1098</v>
      </c>
      <c r="I16" s="1305" t="s">
        <v>1084</v>
      </c>
    </row>
    <row r="17" spans="1:9" ht="14.25">
      <c r="A17" s="3332"/>
      <c r="B17" s="3333" t="s">
        <v>1106</v>
      </c>
      <c r="C17" s="3333"/>
      <c r="D17" s="1306"/>
      <c r="E17" s="1306"/>
      <c r="F17" s="1307"/>
      <c r="G17" s="1308"/>
      <c r="H17" s="1318"/>
      <c r="I17" s="1319">
        <f>ROUND(D17*E17*F17*G17/10000,0)</f>
        <v>0</v>
      </c>
    </row>
    <row r="18" spans="1:9" ht="14.25">
      <c r="A18" s="3332"/>
      <c r="B18" s="3333" t="s">
        <v>1107</v>
      </c>
      <c r="C18" s="3333"/>
      <c r="D18" s="1306"/>
      <c r="E18" s="1306"/>
      <c r="F18" s="1307"/>
      <c r="G18" s="1308"/>
      <c r="H18" s="1318"/>
      <c r="I18" s="1319">
        <f>ROUND(D18*E18*F18*G18/10000,0)</f>
        <v>0</v>
      </c>
    </row>
    <row r="19" spans="1:9" ht="14.25">
      <c r="A19" s="3332"/>
      <c r="B19" s="3333" t="s">
        <v>1108</v>
      </c>
      <c r="C19" s="3333"/>
      <c r="D19" s="1306"/>
      <c r="E19" s="1306"/>
      <c r="F19" s="1307"/>
      <c r="G19" s="1308"/>
      <c r="H19" s="1318"/>
      <c r="I19" s="1319">
        <f>ROUND(D19*E19*F19*G19/10000,0)</f>
        <v>0</v>
      </c>
    </row>
    <row r="20" spans="1:9">
      <c r="A20" s="3332"/>
      <c r="B20" s="3334" t="s">
        <v>1092</v>
      </c>
      <c r="C20" s="3334"/>
      <c r="D20" s="1310">
        <f>SUM(D17:D19)</f>
        <v>0</v>
      </c>
      <c r="E20" s="1310"/>
      <c r="F20" s="1311"/>
      <c r="G20" s="1308"/>
      <c r="H20" s="1315"/>
      <c r="I20" s="1316">
        <f>SUM(I17:I19)</f>
        <v>0</v>
      </c>
    </row>
    <row r="21" spans="1:9">
      <c r="A21" s="3332" t="s">
        <v>1109</v>
      </c>
      <c r="B21" s="3335"/>
      <c r="C21" s="3335"/>
      <c r="D21" s="3335"/>
      <c r="E21" s="3335"/>
      <c r="F21" s="3335"/>
      <c r="G21" s="3335"/>
      <c r="H21" s="1769">
        <v>0.1</v>
      </c>
      <c r="I21" s="1313">
        <f>ROUND(I10*H21,0)</f>
        <v>0</v>
      </c>
    </row>
    <row r="22" spans="1:9" ht="14.25">
      <c r="A22" s="3336" t="s">
        <v>1110</v>
      </c>
      <c r="B22" s="3337"/>
      <c r="C22" s="3338"/>
      <c r="D22" s="1320" t="s">
        <v>1111</v>
      </c>
      <c r="E22" s="1320" t="s">
        <v>1112</v>
      </c>
      <c r="F22" s="1321" t="s">
        <v>1113</v>
      </c>
      <c r="G22" s="1321" t="s">
        <v>1114</v>
      </c>
      <c r="H22" s="1314" t="s">
        <v>1115</v>
      </c>
      <c r="I22" s="1305" t="s">
        <v>1116</v>
      </c>
    </row>
    <row r="23" spans="1:9" ht="14.25" thickBot="1">
      <c r="A23" s="3339"/>
      <c r="B23" s="3340"/>
      <c r="C23" s="3341"/>
      <c r="D23" s="1322"/>
      <c r="E23" s="1322"/>
      <c r="F23" s="1322"/>
      <c r="G23" s="1323"/>
      <c r="H23" s="1324"/>
      <c r="I23" s="1325">
        <f>ROUND(E23*D23*F23*(1-G23)/10000,0)</f>
        <v>0</v>
      </c>
    </row>
    <row r="26" spans="1:9">
      <c r="A26" s="1326" t="s">
        <v>1117</v>
      </c>
      <c r="B26" s="1326"/>
      <c r="C26" s="1326"/>
      <c r="D26" s="1326"/>
      <c r="E26" s="3329">
        <f>C27-C30-C31-C32</f>
        <v>0</v>
      </c>
      <c r="F26" s="3329"/>
      <c r="G26" s="3329"/>
      <c r="H26" s="1741" t="s">
        <v>1341</v>
      </c>
    </row>
    <row r="27" spans="1:9">
      <c r="A27" s="1327">
        <v>1</v>
      </c>
      <c r="B27" s="1328" t="s">
        <v>1118</v>
      </c>
      <c r="C27" s="1328">
        <f>C28+C29</f>
        <v>0</v>
      </c>
      <c r="D27" s="1328"/>
      <c r="E27" s="3330"/>
      <c r="F27" s="3330"/>
      <c r="G27" s="3330"/>
    </row>
    <row r="28" spans="1:9">
      <c r="A28" s="1329" t="s">
        <v>1119</v>
      </c>
      <c r="B28" s="1328" t="s">
        <v>1120</v>
      </c>
      <c r="C28" s="1328"/>
      <c r="D28" s="1328"/>
      <c r="E28" s="3330"/>
      <c r="F28" s="3330"/>
      <c r="G28" s="333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31"/>
      <c r="F32" s="3331"/>
      <c r="G32" s="3331"/>
    </row>
    <row r="33" spans="1:7" hidden="1">
      <c r="A33" s="3326" t="s">
        <v>1129</v>
      </c>
      <c r="B33" s="3327"/>
      <c r="C33" s="3327"/>
      <c r="D33" s="3328"/>
      <c r="E33" s="3329"/>
      <c r="F33" s="3329"/>
      <c r="G33" s="3329"/>
    </row>
    <row r="34" spans="1:7" hidden="1">
      <c r="A34" s="1331">
        <v>1</v>
      </c>
      <c r="B34" s="1328" t="s">
        <v>1130</v>
      </c>
      <c r="C34" s="1328"/>
      <c r="D34" s="1328"/>
      <c r="E34" s="3330"/>
      <c r="F34" s="3330"/>
      <c r="G34" s="3330"/>
    </row>
    <row r="35" spans="1:7" hidden="1">
      <c r="A35" s="1331">
        <v>2</v>
      </c>
      <c r="B35" s="1328" t="s">
        <v>1131</v>
      </c>
      <c r="C35" s="1328"/>
      <c r="D35" s="1328"/>
      <c r="E35" s="3330"/>
      <c r="F35" s="3330"/>
      <c r="G35" s="3330"/>
    </row>
    <row r="36" spans="1:7" hidden="1">
      <c r="A36" s="1331">
        <v>3</v>
      </c>
      <c r="B36" s="1328" t="s">
        <v>1132</v>
      </c>
      <c r="C36" s="1328"/>
      <c r="D36" s="1328"/>
      <c r="E36" s="3330"/>
      <c r="F36" s="3330"/>
      <c r="G36" s="3330"/>
    </row>
    <row r="37" spans="1:7" hidden="1">
      <c r="A37" s="1331">
        <v>4</v>
      </c>
      <c r="B37" s="1328" t="s">
        <v>1133</v>
      </c>
      <c r="C37" s="1328"/>
      <c r="D37" s="1328"/>
      <c r="E37" s="3330"/>
      <c r="F37" s="3330"/>
      <c r="G37" s="3330"/>
    </row>
    <row r="38" spans="1:7" hidden="1">
      <c r="A38" s="3326" t="s">
        <v>1134</v>
      </c>
      <c r="B38" s="3327"/>
      <c r="C38" s="3327"/>
      <c r="D38" s="3328"/>
      <c r="E38" s="3329"/>
      <c r="F38" s="3329"/>
      <c r="G38" s="33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2527</v>
      </c>
      <c r="C1" s="1638" t="s">
        <v>2528</v>
      </c>
      <c r="D1" s="1625"/>
      <c r="E1" s="2585"/>
      <c r="F1" s="2586" t="s">
        <v>2529</v>
      </c>
      <c r="G1" s="1635" t="s">
        <v>2530</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2532</v>
      </c>
      <c r="D3" s="399">
        <f>IF(D1="",'数据-汇总表'!E3,SUMIF('数据-汇总表'!$C19:$C33,D1,'数据-汇总表'!$E19:$E33))</f>
        <v>27877.57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83" t="s">
        <v>2534</v>
      </c>
      <c r="D4" s="3284"/>
      <c r="E4" s="3285" t="s">
        <v>2535</v>
      </c>
      <c r="F4" s="3286"/>
      <c r="G4" s="3283" t="s">
        <v>2536</v>
      </c>
      <c r="H4" s="3284"/>
      <c r="I4" s="3283" t="s">
        <v>2537</v>
      </c>
      <c r="J4" s="3284"/>
      <c r="K4" s="2598" t="s">
        <v>2538</v>
      </c>
      <c r="L4" s="1133"/>
      <c r="M4" s="1134"/>
      <c r="N4" s="1134"/>
      <c r="O4" s="1134"/>
      <c r="P4" s="3351" t="s">
        <v>2539</v>
      </c>
      <c r="Q4" s="3352"/>
      <c r="R4" s="3355" t="s">
        <v>2535</v>
      </c>
      <c r="S4" s="3356"/>
      <c r="T4" s="3355" t="s">
        <v>2536</v>
      </c>
      <c r="U4" s="3356"/>
      <c r="V4" s="3300" t="s">
        <v>2537</v>
      </c>
      <c r="W4" s="3300"/>
      <c r="X4" s="1817"/>
      <c r="Y4" s="3355" t="s">
        <v>2539</v>
      </c>
      <c r="Z4" s="3356"/>
      <c r="AA4" s="3350" t="s">
        <v>2535</v>
      </c>
      <c r="AB4" s="3350" t="s">
        <v>2536</v>
      </c>
      <c r="AC4" s="3350" t="s">
        <v>2537</v>
      </c>
    </row>
    <row r="5" spans="1:29" ht="15">
      <c r="A5" s="404"/>
      <c r="B5" s="405"/>
      <c r="C5" s="3309" t="s">
        <v>2540</v>
      </c>
      <c r="D5" s="3304"/>
      <c r="E5" s="3357" t="s">
        <v>2541</v>
      </c>
      <c r="F5" s="3316"/>
      <c r="G5" s="3309" t="s">
        <v>2542</v>
      </c>
      <c r="H5" s="3304"/>
      <c r="I5" s="3309" t="s">
        <v>2543</v>
      </c>
      <c r="J5" s="3304"/>
      <c r="K5" s="2599"/>
      <c r="L5" s="1133"/>
      <c r="M5" s="1134"/>
      <c r="N5" s="1134"/>
      <c r="O5" s="1134"/>
      <c r="P5" s="3353"/>
      <c r="Q5" s="3290"/>
      <c r="R5" s="3295"/>
      <c r="S5" s="3296"/>
      <c r="T5" s="3295"/>
      <c r="U5" s="3296"/>
      <c r="V5" s="3300"/>
      <c r="W5" s="3300"/>
      <c r="X5" s="1817"/>
      <c r="Y5" s="3295"/>
      <c r="Z5" s="3296"/>
      <c r="AA5" s="3313"/>
      <c r="AB5" s="3313"/>
      <c r="AC5" s="3313"/>
    </row>
    <row r="6" spans="1:29" ht="15.75" thickBot="1">
      <c r="A6" s="406"/>
      <c r="B6" s="407"/>
      <c r="C6" s="3301" t="s">
        <v>2544</v>
      </c>
      <c r="D6" s="3302"/>
      <c r="E6" s="3310" t="s">
        <v>2544</v>
      </c>
      <c r="F6" s="3311"/>
      <c r="G6" s="3301" t="s">
        <v>2544</v>
      </c>
      <c r="H6" s="3302"/>
      <c r="I6" s="3301" t="s">
        <v>2544</v>
      </c>
      <c r="J6" s="3302"/>
      <c r="K6" s="2599" t="s">
        <v>2545</v>
      </c>
      <c r="L6" s="1133"/>
      <c r="M6" s="1134"/>
      <c r="N6" s="1134"/>
      <c r="O6" s="1134"/>
      <c r="P6" s="3354"/>
      <c r="Q6" s="3292"/>
      <c r="R6" s="3295"/>
      <c r="S6" s="3296"/>
      <c r="T6" s="3297"/>
      <c r="U6" s="3298"/>
      <c r="V6" s="3300"/>
      <c r="W6" s="3300"/>
      <c r="X6" s="1817"/>
      <c r="Y6" s="3297"/>
      <c r="Z6" s="3298"/>
      <c r="AA6" s="3314"/>
      <c r="AB6" s="3314"/>
      <c r="AC6" s="3314"/>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307" t="s">
        <v>2547</v>
      </c>
      <c r="Q7" s="3308"/>
      <c r="R7" s="770" t="s">
        <v>23</v>
      </c>
      <c r="S7" s="771">
        <f t="shared" ref="S7:S15" si="0">F7</f>
        <v>0</v>
      </c>
      <c r="T7" s="770" t="s">
        <v>23</v>
      </c>
      <c r="U7" s="771">
        <f t="shared" ref="U7:U15" si="1">H7</f>
        <v>0</v>
      </c>
      <c r="V7" s="770" t="s">
        <v>23</v>
      </c>
      <c r="W7" s="771">
        <f t="shared" ref="W7:W15" si="2">J7</f>
        <v>0</v>
      </c>
      <c r="X7" s="772"/>
      <c r="Y7" s="3307" t="s">
        <v>2547</v>
      </c>
      <c r="Z7" s="3306"/>
      <c r="AA7" s="773" t="e">
        <f>D7/F7</f>
        <v>#DIV/0!</v>
      </c>
      <c r="AB7" s="773" t="e">
        <f>D7/H7</f>
        <v>#DIV/0!</v>
      </c>
      <c r="AC7" s="773" t="e">
        <f>D7/J7</f>
        <v>#DIV/0!</v>
      </c>
    </row>
    <row r="8" spans="1:29" s="116"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307" t="s">
        <v>2550</v>
      </c>
      <c r="Q8" s="3306"/>
      <c r="R8" s="770" t="s">
        <v>23</v>
      </c>
      <c r="S8" s="771">
        <f t="shared" si="0"/>
        <v>0</v>
      </c>
      <c r="T8" s="770" t="s">
        <v>23</v>
      </c>
      <c r="U8" s="771">
        <f t="shared" si="1"/>
        <v>0</v>
      </c>
      <c r="V8" s="770" t="s">
        <v>23</v>
      </c>
      <c r="W8" s="771">
        <f t="shared" si="2"/>
        <v>0</v>
      </c>
      <c r="X8" s="772"/>
      <c r="Y8" s="3307" t="s">
        <v>2550</v>
      </c>
      <c r="Z8" s="3306"/>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65" t="s">
        <v>2553</v>
      </c>
      <c r="Q9" s="1799" t="str">
        <f t="shared" ref="Q9:Q15" si="6">B9</f>
        <v>用途</v>
      </c>
      <c r="R9" s="770" t="s">
        <v>17</v>
      </c>
      <c r="S9" s="771">
        <f t="shared" si="0"/>
        <v>100</v>
      </c>
      <c r="T9" s="770" t="s">
        <v>17</v>
      </c>
      <c r="U9" s="771">
        <f t="shared" si="1"/>
        <v>100</v>
      </c>
      <c r="V9" s="770" t="s">
        <v>17</v>
      </c>
      <c r="W9" s="771">
        <f t="shared" si="2"/>
        <v>100</v>
      </c>
      <c r="X9" s="772"/>
      <c r="Y9" s="3119"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65"/>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65"/>
      <c r="Q11" s="1799" t="str">
        <f t="shared" si="6"/>
        <v>容积率</v>
      </c>
      <c r="R11" s="770" t="s">
        <v>21</v>
      </c>
      <c r="S11" s="771" t="e">
        <f t="shared" si="0"/>
        <v>#N/A</v>
      </c>
      <c r="T11" s="770" t="s">
        <v>21</v>
      </c>
      <c r="U11" s="771" t="e">
        <f t="shared" si="1"/>
        <v>#N/A</v>
      </c>
      <c r="V11" s="770" t="s">
        <v>21</v>
      </c>
      <c r="W11" s="771" t="e">
        <f t="shared" si="2"/>
        <v>#N/A</v>
      </c>
      <c r="X11" s="772"/>
      <c r="Y11" s="3119"/>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65"/>
      <c r="Q12" s="1799">
        <f t="shared" si="6"/>
        <v>111</v>
      </c>
      <c r="R12" s="770" t="s">
        <v>21</v>
      </c>
      <c r="S12" s="771">
        <f t="shared" si="0"/>
        <v>100</v>
      </c>
      <c r="T12" s="770" t="s">
        <v>21</v>
      </c>
      <c r="U12" s="771">
        <f t="shared" si="1"/>
        <v>100</v>
      </c>
      <c r="V12" s="770" t="s">
        <v>21</v>
      </c>
      <c r="W12" s="771">
        <f t="shared" si="2"/>
        <v>100</v>
      </c>
      <c r="X12" s="772"/>
      <c r="Y12" s="311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5"/>
      <c r="Q13" s="1799">
        <f t="shared" si="6"/>
        <v>111</v>
      </c>
      <c r="R13" s="770" t="s">
        <v>21</v>
      </c>
      <c r="S13" s="771">
        <f t="shared" si="0"/>
        <v>100</v>
      </c>
      <c r="T13" s="770" t="s">
        <v>21</v>
      </c>
      <c r="U13" s="771">
        <f t="shared" si="1"/>
        <v>100</v>
      </c>
      <c r="V13" s="770" t="s">
        <v>21</v>
      </c>
      <c r="W13" s="771">
        <f t="shared" si="2"/>
        <v>100</v>
      </c>
      <c r="X13" s="772"/>
      <c r="Y13" s="3119"/>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5"/>
      <c r="Q14" s="1799">
        <f t="shared" si="6"/>
        <v>111</v>
      </c>
      <c r="R14" s="770" t="s">
        <v>21</v>
      </c>
      <c r="S14" s="771">
        <f t="shared" si="0"/>
        <v>100</v>
      </c>
      <c r="T14" s="770" t="s">
        <v>21</v>
      </c>
      <c r="U14" s="771">
        <f t="shared" si="1"/>
        <v>100</v>
      </c>
      <c r="V14" s="770" t="s">
        <v>21</v>
      </c>
      <c r="W14" s="771">
        <f t="shared" si="2"/>
        <v>100</v>
      </c>
      <c r="X14" s="772"/>
      <c r="Y14" s="3119"/>
      <c r="Z14" s="54">
        <f t="shared" si="7"/>
        <v>111</v>
      </c>
      <c r="AA14" s="773">
        <f t="shared" si="3"/>
        <v>1</v>
      </c>
      <c r="AB14" s="773">
        <f t="shared" si="4"/>
        <v>1</v>
      </c>
      <c r="AC14" s="773">
        <f t="shared" si="5"/>
        <v>1</v>
      </c>
    </row>
    <row r="15" spans="1:29" ht="99.75">
      <c r="A15" s="440" t="s">
        <v>2557</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1" t="s">
        <v>2558</v>
      </c>
      <c r="Q15" s="1814" t="str">
        <f t="shared" si="6"/>
        <v>居住社区成熟度</v>
      </c>
      <c r="R15" s="774" t="s">
        <v>21</v>
      </c>
      <c r="S15" s="775">
        <f t="shared" si="0"/>
        <v>100</v>
      </c>
      <c r="T15" s="774" t="s">
        <v>21</v>
      </c>
      <c r="U15" s="775">
        <f t="shared" si="1"/>
        <v>100</v>
      </c>
      <c r="V15" s="774" t="s">
        <v>21</v>
      </c>
      <c r="W15" s="775">
        <f t="shared" si="2"/>
        <v>100</v>
      </c>
      <c r="X15" s="1817"/>
      <c r="Y15" s="3273" t="s">
        <v>2558</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72"/>
      <c r="Q16" s="1814"/>
      <c r="R16" s="774"/>
      <c r="S16" s="775"/>
      <c r="T16" s="774"/>
      <c r="U16" s="775"/>
      <c r="V16" s="774"/>
      <c r="W16" s="775"/>
      <c r="X16" s="1817"/>
      <c r="Y16" s="3274"/>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2"/>
      <c r="Q17" s="1814" t="str">
        <f>B17</f>
        <v>交通便捷度</v>
      </c>
      <c r="R17" s="774" t="s">
        <v>21</v>
      </c>
      <c r="S17" s="775">
        <f>F17</f>
        <v>100</v>
      </c>
      <c r="T17" s="774" t="s">
        <v>21</v>
      </c>
      <c r="U17" s="775">
        <f>H17</f>
        <v>100</v>
      </c>
      <c r="V17" s="774" t="s">
        <v>21</v>
      </c>
      <c r="W17" s="775">
        <f>J17</f>
        <v>100</v>
      </c>
      <c r="X17" s="1817"/>
      <c r="Y17" s="3274"/>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72"/>
      <c r="Q18" s="1814"/>
      <c r="R18" s="774"/>
      <c r="S18" s="775"/>
      <c r="T18" s="774"/>
      <c r="U18" s="775"/>
      <c r="V18" s="774"/>
      <c r="W18" s="775"/>
      <c r="X18" s="1817"/>
      <c r="Y18" s="3274"/>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2"/>
      <c r="Q19" s="1814" t="str">
        <f>B19</f>
        <v>公共配套设施</v>
      </c>
      <c r="R19" s="774" t="s">
        <v>21</v>
      </c>
      <c r="S19" s="775">
        <f>F19</f>
        <v>100</v>
      </c>
      <c r="T19" s="774" t="s">
        <v>21</v>
      </c>
      <c r="U19" s="775">
        <f>H19</f>
        <v>100</v>
      </c>
      <c r="V19" s="774" t="s">
        <v>21</v>
      </c>
      <c r="W19" s="775">
        <f>J19</f>
        <v>100</v>
      </c>
      <c r="X19" s="1817"/>
      <c r="Y19" s="3274"/>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72"/>
      <c r="Q20" s="1814"/>
      <c r="R20" s="774"/>
      <c r="S20" s="775"/>
      <c r="T20" s="774"/>
      <c r="U20" s="775"/>
      <c r="V20" s="774"/>
      <c r="W20" s="775"/>
      <c r="X20" s="1817"/>
      <c r="Y20" s="3274"/>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2"/>
      <c r="Q21" s="1814" t="str">
        <f>B21</f>
        <v>基础设施水平</v>
      </c>
      <c r="R21" s="774" t="s">
        <v>17</v>
      </c>
      <c r="S21" s="775">
        <f>F21</f>
        <v>100</v>
      </c>
      <c r="T21" s="774" t="s">
        <v>17</v>
      </c>
      <c r="U21" s="775">
        <f>H21</f>
        <v>100</v>
      </c>
      <c r="V21" s="774" t="s">
        <v>17</v>
      </c>
      <c r="W21" s="775">
        <f>J21</f>
        <v>100</v>
      </c>
      <c r="X21" s="1817"/>
      <c r="Y21" s="327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72"/>
      <c r="Q22" s="1814"/>
      <c r="R22" s="774"/>
      <c r="S22" s="775"/>
      <c r="T22" s="774"/>
      <c r="U22" s="775"/>
      <c r="V22" s="774"/>
      <c r="W22" s="775"/>
      <c r="X22" s="1817"/>
      <c r="Y22" s="3274"/>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2"/>
      <c r="Q23" s="1814" t="str">
        <f>B23</f>
        <v>自然及人文环境</v>
      </c>
      <c r="R23" s="774" t="s">
        <v>21</v>
      </c>
      <c r="S23" s="775">
        <f>F23</f>
        <v>100</v>
      </c>
      <c r="T23" s="774" t="s">
        <v>21</v>
      </c>
      <c r="U23" s="775">
        <f>H23</f>
        <v>100</v>
      </c>
      <c r="V23" s="774" t="s">
        <v>21</v>
      </c>
      <c r="W23" s="775">
        <f>J23</f>
        <v>100</v>
      </c>
      <c r="X23" s="1817"/>
      <c r="Y23" s="3274"/>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72"/>
      <c r="Q24" s="1814"/>
      <c r="R24" s="774"/>
      <c r="S24" s="775"/>
      <c r="T24" s="774"/>
      <c r="U24" s="775"/>
      <c r="V24" s="774"/>
      <c r="W24" s="775"/>
      <c r="X24" s="1817"/>
      <c r="Y24" s="3274"/>
      <c r="Z24" s="1818"/>
      <c r="AA24" s="1815">
        <v>1</v>
      </c>
      <c r="AB24" s="1815">
        <v>1</v>
      </c>
      <c r="AC24" s="1815">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72"/>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74"/>
      <c r="Z25" s="1818" t="str">
        <f>Q25</f>
        <v>楼层-1</v>
      </c>
      <c r="AA25" s="1815">
        <f t="shared" ref="AA25:AA46" si="15">D25/F25</f>
        <v>1</v>
      </c>
      <c r="AB25" s="1815">
        <f t="shared" ref="AB25:AB46" si="16">D25/H25</f>
        <v>1</v>
      </c>
      <c r="AC25" s="1815">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72"/>
      <c r="Q26" s="1814" t="str">
        <f t="shared" si="11"/>
        <v>朝向</v>
      </c>
      <c r="R26" s="774" t="s">
        <v>21</v>
      </c>
      <c r="S26" s="775">
        <f t="shared" si="12"/>
        <v>100</v>
      </c>
      <c r="T26" s="774" t="s">
        <v>21</v>
      </c>
      <c r="U26" s="775">
        <f t="shared" si="13"/>
        <v>100</v>
      </c>
      <c r="V26" s="774" t="s">
        <v>21</v>
      </c>
      <c r="W26" s="775">
        <f t="shared" si="14"/>
        <v>100</v>
      </c>
      <c r="X26" s="1817"/>
      <c r="Y26" s="3274"/>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72"/>
      <c r="Q27" s="1799">
        <f t="shared" si="11"/>
        <v>111</v>
      </c>
      <c r="R27" s="770" t="s">
        <v>21</v>
      </c>
      <c r="S27" s="771">
        <f t="shared" si="12"/>
        <v>100</v>
      </c>
      <c r="T27" s="770" t="s">
        <v>21</v>
      </c>
      <c r="U27" s="771">
        <f t="shared" si="13"/>
        <v>100</v>
      </c>
      <c r="V27" s="770" t="s">
        <v>21</v>
      </c>
      <c r="W27" s="771">
        <f t="shared" si="14"/>
        <v>100</v>
      </c>
      <c r="X27" s="772"/>
      <c r="Y27" s="3274"/>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72"/>
      <c r="Q28" s="1814">
        <f t="shared" si="11"/>
        <v>111</v>
      </c>
      <c r="R28" s="774" t="s">
        <v>21</v>
      </c>
      <c r="S28" s="775">
        <f t="shared" si="12"/>
        <v>100</v>
      </c>
      <c r="T28" s="774" t="s">
        <v>21</v>
      </c>
      <c r="U28" s="775">
        <f t="shared" si="13"/>
        <v>100</v>
      </c>
      <c r="V28" s="774" t="s">
        <v>21</v>
      </c>
      <c r="W28" s="775">
        <f t="shared" si="14"/>
        <v>100</v>
      </c>
      <c r="X28" s="1817"/>
      <c r="Y28" s="3274"/>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72"/>
      <c r="Q29" s="1814">
        <f t="shared" si="11"/>
        <v>111</v>
      </c>
      <c r="R29" s="774" t="s">
        <v>21</v>
      </c>
      <c r="S29" s="775">
        <f t="shared" si="12"/>
        <v>100</v>
      </c>
      <c r="T29" s="774" t="s">
        <v>21</v>
      </c>
      <c r="U29" s="775">
        <f t="shared" si="13"/>
        <v>100</v>
      </c>
      <c r="V29" s="774" t="s">
        <v>21</v>
      </c>
      <c r="W29" s="775">
        <f t="shared" si="14"/>
        <v>100</v>
      </c>
      <c r="X29" s="1817"/>
      <c r="Y29" s="3274"/>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72"/>
      <c r="Q30" s="1814">
        <f t="shared" si="11"/>
        <v>111</v>
      </c>
      <c r="R30" s="774" t="s">
        <v>21</v>
      </c>
      <c r="S30" s="775">
        <f t="shared" si="12"/>
        <v>100</v>
      </c>
      <c r="T30" s="774" t="s">
        <v>21</v>
      </c>
      <c r="U30" s="775">
        <f t="shared" si="13"/>
        <v>100</v>
      </c>
      <c r="V30" s="774" t="s">
        <v>21</v>
      </c>
      <c r="W30" s="775">
        <f t="shared" si="14"/>
        <v>100</v>
      </c>
      <c r="X30" s="1817"/>
      <c r="Y30" s="3274"/>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72"/>
      <c r="Q31" s="1814">
        <f t="shared" si="11"/>
        <v>111</v>
      </c>
      <c r="R31" s="774" t="s">
        <v>21</v>
      </c>
      <c r="S31" s="775">
        <f t="shared" si="12"/>
        <v>100</v>
      </c>
      <c r="T31" s="774" t="s">
        <v>21</v>
      </c>
      <c r="U31" s="775">
        <f t="shared" si="13"/>
        <v>100</v>
      </c>
      <c r="V31" s="774" t="s">
        <v>21</v>
      </c>
      <c r="W31" s="775">
        <f t="shared" si="14"/>
        <v>100</v>
      </c>
      <c r="X31" s="1817"/>
      <c r="Y31" s="3274"/>
      <c r="Z31" s="1818">
        <f t="shared" si="18"/>
        <v>111</v>
      </c>
      <c r="AA31" s="1815">
        <f t="shared" si="15"/>
        <v>1</v>
      </c>
      <c r="AB31" s="1815">
        <f t="shared" si="16"/>
        <v>1</v>
      </c>
      <c r="AC31" s="1815">
        <f t="shared" si="17"/>
        <v>1</v>
      </c>
    </row>
    <row r="32" spans="1:29" ht="15">
      <c r="A32" s="440" t="s">
        <v>2561</v>
      </c>
      <c r="B32" s="70"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75" t="s">
        <v>2563</v>
      </c>
      <c r="Q32" s="1814" t="str">
        <f t="shared" si="11"/>
        <v>建筑类型</v>
      </c>
      <c r="R32" s="774" t="s">
        <v>21</v>
      </c>
      <c r="S32" s="775">
        <f t="shared" si="12"/>
        <v>100</v>
      </c>
      <c r="T32" s="774" t="s">
        <v>21</v>
      </c>
      <c r="U32" s="775">
        <f t="shared" si="13"/>
        <v>100</v>
      </c>
      <c r="V32" s="774" t="s">
        <v>21</v>
      </c>
      <c r="W32" s="775">
        <f t="shared" si="14"/>
        <v>100</v>
      </c>
      <c r="X32" s="1817"/>
      <c r="Y32" s="3278" t="s">
        <v>2563</v>
      </c>
      <c r="Z32" s="1818" t="str">
        <f t="shared" si="18"/>
        <v>建筑类型</v>
      </c>
      <c r="AA32" s="1815">
        <f t="shared" si="15"/>
        <v>1</v>
      </c>
      <c r="AB32" s="1815">
        <f t="shared" si="16"/>
        <v>1</v>
      </c>
      <c r="AC32" s="1815">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76"/>
      <c r="Q33" s="776" t="str">
        <f t="shared" si="11"/>
        <v>项目建筑规模</v>
      </c>
      <c r="R33" s="777" t="s">
        <v>21</v>
      </c>
      <c r="S33" s="778" t="e">
        <f t="shared" si="12"/>
        <v>#N/A</v>
      </c>
      <c r="T33" s="777" t="s">
        <v>21</v>
      </c>
      <c r="U33" s="778" t="e">
        <f t="shared" si="13"/>
        <v>#N/A</v>
      </c>
      <c r="V33" s="777" t="s">
        <v>21</v>
      </c>
      <c r="W33" s="778" t="e">
        <f t="shared" si="14"/>
        <v>#N/A</v>
      </c>
      <c r="X33" s="779"/>
      <c r="Y33" s="3278"/>
      <c r="Z33" s="780" t="str">
        <f t="shared" si="18"/>
        <v>项目建筑规模</v>
      </c>
      <c r="AA33" s="1815" t="e">
        <f t="shared" si="15"/>
        <v>#N/A</v>
      </c>
      <c r="AB33" s="1815" t="e">
        <f t="shared" si="16"/>
        <v>#N/A</v>
      </c>
      <c r="AC33" s="1815"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76"/>
      <c r="Q34" s="1814" t="str">
        <f t="shared" si="11"/>
        <v>建筑结构</v>
      </c>
      <c r="R34" s="774" t="s">
        <v>21</v>
      </c>
      <c r="S34" s="775">
        <f t="shared" si="12"/>
        <v>100</v>
      </c>
      <c r="T34" s="774" t="s">
        <v>21</v>
      </c>
      <c r="U34" s="775">
        <f t="shared" si="13"/>
        <v>100</v>
      </c>
      <c r="V34" s="774" t="s">
        <v>21</v>
      </c>
      <c r="W34" s="775">
        <f t="shared" si="14"/>
        <v>100</v>
      </c>
      <c r="X34" s="1817"/>
      <c r="Y34" s="3278"/>
      <c r="Z34" s="1818" t="str">
        <f t="shared" si="18"/>
        <v>建筑结构</v>
      </c>
      <c r="AA34" s="1815">
        <f t="shared" si="15"/>
        <v>1</v>
      </c>
      <c r="AB34" s="1815">
        <f t="shared" si="16"/>
        <v>1</v>
      </c>
      <c r="AC34" s="1815">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76"/>
      <c r="Q35" s="1814" t="str">
        <f t="shared" si="11"/>
        <v>建筑品质</v>
      </c>
      <c r="R35" s="774" t="s">
        <v>21</v>
      </c>
      <c r="S35" s="775">
        <f t="shared" si="12"/>
        <v>100</v>
      </c>
      <c r="T35" s="774" t="s">
        <v>21</v>
      </c>
      <c r="U35" s="775">
        <f t="shared" si="13"/>
        <v>100</v>
      </c>
      <c r="V35" s="774" t="s">
        <v>21</v>
      </c>
      <c r="W35" s="775">
        <f t="shared" si="14"/>
        <v>100</v>
      </c>
      <c r="X35" s="1817"/>
      <c r="Y35" s="3278"/>
      <c r="Z35" s="1818" t="str">
        <f t="shared" si="18"/>
        <v>建筑品质</v>
      </c>
      <c r="AA35" s="1815">
        <f t="shared" si="15"/>
        <v>1</v>
      </c>
      <c r="AB35" s="1815">
        <f t="shared" si="16"/>
        <v>1</v>
      </c>
      <c r="AC35" s="1815">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76"/>
      <c r="Q36" s="1814" t="str">
        <f t="shared" si="11"/>
        <v>公共部分装修</v>
      </c>
      <c r="R36" s="774" t="s">
        <v>21</v>
      </c>
      <c r="S36" s="775">
        <f t="shared" si="12"/>
        <v>100</v>
      </c>
      <c r="T36" s="774" t="s">
        <v>21</v>
      </c>
      <c r="U36" s="775">
        <f t="shared" si="13"/>
        <v>100</v>
      </c>
      <c r="V36" s="774" t="s">
        <v>21</v>
      </c>
      <c r="W36" s="775">
        <f t="shared" si="14"/>
        <v>100</v>
      </c>
      <c r="X36" s="1817"/>
      <c r="Y36" s="3278"/>
      <c r="Z36" s="1818" t="str">
        <f t="shared" si="18"/>
        <v>公共部分装修</v>
      </c>
      <c r="AA36" s="1815">
        <f t="shared" si="15"/>
        <v>1</v>
      </c>
      <c r="AB36" s="1815">
        <f t="shared" si="16"/>
        <v>1</v>
      </c>
      <c r="AC36" s="1815">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76"/>
      <c r="Q37" s="1799" t="str">
        <f t="shared" si="11"/>
        <v>成新度</v>
      </c>
      <c r="R37" s="770" t="s">
        <v>21</v>
      </c>
      <c r="S37" s="771" t="e">
        <f t="shared" si="12"/>
        <v>#N/A</v>
      </c>
      <c r="T37" s="770" t="s">
        <v>21</v>
      </c>
      <c r="U37" s="771" t="e">
        <f t="shared" si="13"/>
        <v>#N/A</v>
      </c>
      <c r="V37" s="770" t="s">
        <v>21</v>
      </c>
      <c r="W37" s="771" t="e">
        <f t="shared" si="14"/>
        <v>#N/A</v>
      </c>
      <c r="X37" s="772"/>
      <c r="Y37" s="3278"/>
      <c r="Z37" s="54"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76" t="s">
        <v>2563</v>
      </c>
      <c r="Q38" s="1814" t="str">
        <f t="shared" si="11"/>
        <v>物业管理</v>
      </c>
      <c r="R38" s="774" t="s">
        <v>21</v>
      </c>
      <c r="S38" s="775">
        <f t="shared" si="12"/>
        <v>100</v>
      </c>
      <c r="T38" s="774" t="s">
        <v>21</v>
      </c>
      <c r="U38" s="775">
        <f t="shared" si="13"/>
        <v>100</v>
      </c>
      <c r="V38" s="774" t="s">
        <v>21</v>
      </c>
      <c r="W38" s="775">
        <f t="shared" si="14"/>
        <v>100</v>
      </c>
      <c r="X38" s="1817"/>
      <c r="Y38" s="3278" t="s">
        <v>2563</v>
      </c>
      <c r="Z38" s="1818" t="str">
        <f t="shared" si="18"/>
        <v>物业管理</v>
      </c>
      <c r="AA38" s="1815">
        <f t="shared" si="15"/>
        <v>1</v>
      </c>
      <c r="AB38" s="1815">
        <f t="shared" si="16"/>
        <v>1</v>
      </c>
      <c r="AC38" s="1815">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76"/>
      <c r="Q39" s="1814" t="str">
        <f t="shared" si="11"/>
        <v>市政基础设施</v>
      </c>
      <c r="R39" s="774" t="s">
        <v>21</v>
      </c>
      <c r="S39" s="775">
        <f t="shared" si="12"/>
        <v>100</v>
      </c>
      <c r="T39" s="774" t="s">
        <v>21</v>
      </c>
      <c r="U39" s="775">
        <f t="shared" si="13"/>
        <v>100</v>
      </c>
      <c r="V39" s="774" t="s">
        <v>21</v>
      </c>
      <c r="W39" s="775">
        <f t="shared" si="14"/>
        <v>100</v>
      </c>
      <c r="X39" s="1817"/>
      <c r="Y39" s="3278"/>
      <c r="Z39" s="1818" t="str">
        <f t="shared" si="18"/>
        <v>市政基础设施</v>
      </c>
      <c r="AA39" s="1815">
        <f t="shared" si="15"/>
        <v>1</v>
      </c>
      <c r="AB39" s="1815">
        <f t="shared" si="16"/>
        <v>1</v>
      </c>
      <c r="AC39" s="1815">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76"/>
      <c r="Q40" s="1814" t="str">
        <f t="shared" si="11"/>
        <v>房型</v>
      </c>
      <c r="R40" s="774" t="s">
        <v>21</v>
      </c>
      <c r="S40" s="775">
        <f t="shared" si="12"/>
        <v>100</v>
      </c>
      <c r="T40" s="774" t="s">
        <v>21</v>
      </c>
      <c r="U40" s="775">
        <f t="shared" si="13"/>
        <v>100</v>
      </c>
      <c r="V40" s="774" t="s">
        <v>21</v>
      </c>
      <c r="W40" s="775">
        <f t="shared" si="14"/>
        <v>100</v>
      </c>
      <c r="X40" s="1817"/>
      <c r="Y40" s="3278"/>
      <c r="Z40" s="1818" t="str">
        <f t="shared" si="18"/>
        <v>房型</v>
      </c>
      <c r="AA40" s="1815">
        <f t="shared" si="15"/>
        <v>1</v>
      </c>
      <c r="AB40" s="1815">
        <f t="shared" si="16"/>
        <v>1</v>
      </c>
      <c r="AC40" s="1815">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76"/>
      <c r="Q41" s="776" t="str">
        <f t="shared" si="11"/>
        <v>单套/主力户型建筑面积</v>
      </c>
      <c r="R41" s="777" t="s">
        <v>21</v>
      </c>
      <c r="S41" s="778">
        <f t="shared" si="12"/>
        <v>100</v>
      </c>
      <c r="T41" s="777" t="s">
        <v>21</v>
      </c>
      <c r="U41" s="778">
        <f t="shared" si="13"/>
        <v>100</v>
      </c>
      <c r="V41" s="777" t="s">
        <v>21</v>
      </c>
      <c r="W41" s="778">
        <f t="shared" si="14"/>
        <v>100</v>
      </c>
      <c r="X41" s="779"/>
      <c r="Y41" s="3278"/>
      <c r="Z41" s="780" t="str">
        <f t="shared" si="18"/>
        <v>单套/主力户型建筑面积</v>
      </c>
      <c r="AA41" s="1815">
        <f t="shared" si="15"/>
        <v>1</v>
      </c>
      <c r="AB41" s="1815">
        <f t="shared" si="16"/>
        <v>1</v>
      </c>
      <c r="AC41" s="1815">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76"/>
      <c r="Q42" s="1814" t="str">
        <f t="shared" si="11"/>
        <v>内部装修</v>
      </c>
      <c r="R42" s="774" t="s">
        <v>21</v>
      </c>
      <c r="S42" s="775">
        <f t="shared" si="12"/>
        <v>100</v>
      </c>
      <c r="T42" s="774" t="s">
        <v>21</v>
      </c>
      <c r="U42" s="775">
        <f t="shared" si="13"/>
        <v>100</v>
      </c>
      <c r="V42" s="774" t="s">
        <v>21</v>
      </c>
      <c r="W42" s="775">
        <f t="shared" si="14"/>
        <v>100</v>
      </c>
      <c r="X42" s="1817"/>
      <c r="Y42" s="3278"/>
      <c r="Z42" s="1818" t="str">
        <f t="shared" si="18"/>
        <v>内部装修</v>
      </c>
      <c r="AA42" s="1815">
        <f t="shared" si="15"/>
        <v>1</v>
      </c>
      <c r="AB42" s="1815">
        <f t="shared" si="16"/>
        <v>1</v>
      </c>
      <c r="AC42" s="1815">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76"/>
      <c r="Q43" s="1814" t="str">
        <f t="shared" si="11"/>
        <v>内部装修维护情况</v>
      </c>
      <c r="R43" s="774" t="s">
        <v>21</v>
      </c>
      <c r="S43" s="775">
        <f t="shared" si="12"/>
        <v>100</v>
      </c>
      <c r="T43" s="774" t="s">
        <v>21</v>
      </c>
      <c r="U43" s="775">
        <f t="shared" si="13"/>
        <v>100</v>
      </c>
      <c r="V43" s="774" t="s">
        <v>21</v>
      </c>
      <c r="W43" s="775">
        <f t="shared" si="14"/>
        <v>100</v>
      </c>
      <c r="X43" s="1817"/>
      <c r="Y43" s="3278"/>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76"/>
      <c r="Q44" s="1799">
        <f t="shared" si="11"/>
        <v>111</v>
      </c>
      <c r="R44" s="770" t="s">
        <v>21</v>
      </c>
      <c r="S44" s="771">
        <f t="shared" si="12"/>
        <v>100</v>
      </c>
      <c r="T44" s="770" t="s">
        <v>21</v>
      </c>
      <c r="U44" s="771">
        <f t="shared" si="13"/>
        <v>100</v>
      </c>
      <c r="V44" s="770" t="s">
        <v>21</v>
      </c>
      <c r="W44" s="771">
        <f t="shared" si="14"/>
        <v>100</v>
      </c>
      <c r="X44" s="772"/>
      <c r="Y44" s="3278"/>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76"/>
      <c r="Q45" s="1814">
        <f t="shared" si="11"/>
        <v>111</v>
      </c>
      <c r="R45" s="774" t="s">
        <v>21</v>
      </c>
      <c r="S45" s="775">
        <f t="shared" si="12"/>
        <v>100</v>
      </c>
      <c r="T45" s="774" t="s">
        <v>21</v>
      </c>
      <c r="U45" s="775">
        <f t="shared" si="13"/>
        <v>100</v>
      </c>
      <c r="V45" s="774" t="s">
        <v>21</v>
      </c>
      <c r="W45" s="775">
        <f t="shared" si="14"/>
        <v>100</v>
      </c>
      <c r="X45" s="1817"/>
      <c r="Y45" s="3278"/>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77"/>
      <c r="Q46" s="1814">
        <f t="shared" si="11"/>
        <v>111</v>
      </c>
      <c r="R46" s="774" t="s">
        <v>20</v>
      </c>
      <c r="S46" s="775">
        <f t="shared" si="12"/>
        <v>100</v>
      </c>
      <c r="T46" s="774" t="s">
        <v>20</v>
      </c>
      <c r="U46" s="775">
        <f t="shared" si="13"/>
        <v>100</v>
      </c>
      <c r="V46" s="774" t="s">
        <v>20</v>
      </c>
      <c r="W46" s="775">
        <f t="shared" si="14"/>
        <v>100</v>
      </c>
      <c r="X46" s="1817"/>
      <c r="Y46" s="3279"/>
      <c r="Z46" s="1818">
        <f t="shared" si="18"/>
        <v>111</v>
      </c>
      <c r="AA46" s="1815">
        <f t="shared" si="15"/>
        <v>1</v>
      </c>
      <c r="AB46" s="1815">
        <f t="shared" si="16"/>
        <v>1</v>
      </c>
      <c r="AC46" s="1815">
        <f t="shared" si="17"/>
        <v>1</v>
      </c>
    </row>
    <row r="47" spans="1:29" ht="15">
      <c r="A47" s="479" t="s">
        <v>2575</v>
      </c>
      <c r="B47" s="480"/>
      <c r="C47" s="1410" t="s">
        <v>19</v>
      </c>
      <c r="D47" s="1411"/>
      <c r="E47" s="1412"/>
      <c r="F47" s="1413"/>
      <c r="G47" s="1414"/>
      <c r="H47" s="1415"/>
      <c r="I47" s="1412"/>
      <c r="J47" s="1415"/>
      <c r="K47" s="2623"/>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347" t="str">
        <f>A49</f>
        <v>估价对象XX用房的比较价值（楼面单价，元/平方米）</v>
      </c>
      <c r="Q49" s="3348"/>
      <c r="R49" s="3349" t="e">
        <f>IF(F1="售价",ROUND(AVERAGE(R48:V48),0),ROUND(AVERAGE(R48:V48),1))</f>
        <v>#DIV/0!</v>
      </c>
      <c r="S49" s="3349"/>
      <c r="T49" s="3349"/>
      <c r="U49" s="3349"/>
      <c r="V49" s="3349"/>
      <c r="W49" s="334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2584</v>
      </c>
      <c r="B61" s="510"/>
      <c r="C61" s="522" t="s">
        <v>2585</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2609</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2640</v>
      </c>
      <c r="C1" s="1638" t="s">
        <v>2528</v>
      </c>
      <c r="D1" s="1625"/>
      <c r="E1" s="2659"/>
      <c r="F1" s="2586"/>
      <c r="G1" s="1635" t="s">
        <v>2641</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27877.57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00" t="s">
        <v>2646</v>
      </c>
      <c r="AC4" s="3350" t="s">
        <v>2647</v>
      </c>
    </row>
    <row r="5" spans="1:29"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00"/>
      <c r="AC5" s="3313"/>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354"/>
      <c r="Q6" s="3292"/>
      <c r="R6" s="3295"/>
      <c r="S6" s="3296"/>
      <c r="T6" s="3297"/>
      <c r="U6" s="3298"/>
      <c r="V6" s="3300"/>
      <c r="W6" s="3300"/>
      <c r="X6" s="1817"/>
      <c r="Y6" s="3297"/>
      <c r="Z6" s="3298"/>
      <c r="AA6" s="3314"/>
      <c r="AB6" s="3300"/>
      <c r="AC6" s="3314"/>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7" t="s">
        <v>2547</v>
      </c>
      <c r="Q7" s="3308"/>
      <c r="R7" s="770" t="s">
        <v>17</v>
      </c>
      <c r="S7" s="771">
        <f t="shared" ref="S7:S15" si="0">F7</f>
        <v>0</v>
      </c>
      <c r="T7" s="770" t="s">
        <v>17</v>
      </c>
      <c r="U7" s="771">
        <f t="shared" ref="U7:U15" si="1">H7</f>
        <v>0</v>
      </c>
      <c r="V7" s="770" t="s">
        <v>17</v>
      </c>
      <c r="W7" s="771">
        <f t="shared" ref="W7:W15" si="2">J7</f>
        <v>0</v>
      </c>
      <c r="X7" s="772"/>
      <c r="Y7" s="3307" t="s">
        <v>2547</v>
      </c>
      <c r="Z7" s="3306"/>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65" t="s">
        <v>2553</v>
      </c>
      <c r="Q9" s="1799" t="str">
        <f t="shared" ref="Q9:Q15" si="6">B9</f>
        <v>用途</v>
      </c>
      <c r="R9" s="770" t="s">
        <v>17</v>
      </c>
      <c r="S9" s="771">
        <f t="shared" si="0"/>
        <v>100</v>
      </c>
      <c r="T9" s="770" t="s">
        <v>17</v>
      </c>
      <c r="U9" s="771">
        <f t="shared" si="1"/>
        <v>100</v>
      </c>
      <c r="V9" s="770" t="s">
        <v>17</v>
      </c>
      <c r="W9" s="771">
        <f t="shared" si="2"/>
        <v>100</v>
      </c>
      <c r="X9" s="772"/>
      <c r="Y9" s="3119"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65"/>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65"/>
      <c r="Q11" s="1799" t="str">
        <f t="shared" si="6"/>
        <v>容积率</v>
      </c>
      <c r="R11" s="770" t="s">
        <v>17</v>
      </c>
      <c r="S11" s="771" t="e">
        <f t="shared" si="0"/>
        <v>#N/A</v>
      </c>
      <c r="T11" s="770" t="s">
        <v>17</v>
      </c>
      <c r="U11" s="771" t="e">
        <f t="shared" si="1"/>
        <v>#N/A</v>
      </c>
      <c r="V11" s="770" t="s">
        <v>17</v>
      </c>
      <c r="W11" s="771" t="e">
        <f t="shared" si="2"/>
        <v>#N/A</v>
      </c>
      <c r="X11" s="772"/>
      <c r="Y11" s="311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65"/>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5"/>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5"/>
      <c r="Q14" s="1799">
        <f t="shared" si="6"/>
        <v>111</v>
      </c>
      <c r="R14" s="770" t="s">
        <v>17</v>
      </c>
      <c r="S14" s="771">
        <f t="shared" si="0"/>
        <v>100</v>
      </c>
      <c r="T14" s="770" t="s">
        <v>17</v>
      </c>
      <c r="U14" s="771">
        <f t="shared" si="1"/>
        <v>100</v>
      </c>
      <c r="V14" s="770" t="s">
        <v>17</v>
      </c>
      <c r="W14" s="771">
        <f t="shared" si="2"/>
        <v>100</v>
      </c>
      <c r="X14" s="772"/>
      <c r="Y14" s="3119"/>
      <c r="Z14" s="54">
        <f t="shared" si="7"/>
        <v>111</v>
      </c>
      <c r="AA14" s="773">
        <f t="shared" si="3"/>
        <v>1</v>
      </c>
      <c r="AB14" s="773">
        <f t="shared" si="4"/>
        <v>1</v>
      </c>
      <c r="AC14" s="773">
        <f t="shared" si="5"/>
        <v>1</v>
      </c>
    </row>
    <row r="15" spans="1:29" ht="71.25">
      <c r="A15" s="440" t="s">
        <v>2557</v>
      </c>
      <c r="B15" s="68"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1" t="s">
        <v>2558</v>
      </c>
      <c r="Q15" s="1814" t="str">
        <f t="shared" si="6"/>
        <v>商业繁华度</v>
      </c>
      <c r="R15" s="774" t="s">
        <v>17</v>
      </c>
      <c r="S15" s="775">
        <f t="shared" si="0"/>
        <v>100</v>
      </c>
      <c r="T15" s="774" t="s">
        <v>17</v>
      </c>
      <c r="U15" s="775">
        <f t="shared" si="1"/>
        <v>100</v>
      </c>
      <c r="V15" s="774" t="s">
        <v>17</v>
      </c>
      <c r="W15" s="775">
        <f t="shared" si="2"/>
        <v>100</v>
      </c>
      <c r="X15" s="1817"/>
      <c r="Y15" s="3273" t="s">
        <v>2558</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72"/>
      <c r="Q16" s="1814"/>
      <c r="R16" s="774"/>
      <c r="S16" s="775"/>
      <c r="T16" s="774"/>
      <c r="U16" s="775"/>
      <c r="V16" s="774"/>
      <c r="W16" s="775"/>
      <c r="X16" s="1817"/>
      <c r="Y16" s="3274"/>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2"/>
      <c r="Q17" s="1814" t="str">
        <f>B17</f>
        <v>交通便捷度</v>
      </c>
      <c r="R17" s="774" t="s">
        <v>17</v>
      </c>
      <c r="S17" s="775">
        <f>F17</f>
        <v>100</v>
      </c>
      <c r="T17" s="774" t="s">
        <v>17</v>
      </c>
      <c r="U17" s="775">
        <f>H17</f>
        <v>100</v>
      </c>
      <c r="V17" s="774" t="s">
        <v>17</v>
      </c>
      <c r="W17" s="775">
        <f>J17</f>
        <v>100</v>
      </c>
      <c r="X17" s="1817"/>
      <c r="Y17" s="3274"/>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72"/>
      <c r="Q18" s="1814"/>
      <c r="R18" s="774"/>
      <c r="S18" s="775"/>
      <c r="T18" s="774"/>
      <c r="U18" s="775"/>
      <c r="V18" s="774"/>
      <c r="W18" s="775"/>
      <c r="X18" s="1817"/>
      <c r="Y18" s="3274"/>
      <c r="Z18" s="1818"/>
      <c r="AA18" s="1815">
        <v>1</v>
      </c>
      <c r="AB18" s="1815">
        <v>1</v>
      </c>
      <c r="AC18" s="1815">
        <v>1</v>
      </c>
    </row>
    <row r="19" spans="1:29" ht="199.5">
      <c r="A19" s="428"/>
      <c r="B19" s="451" t="s">
        <v>2652</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2"/>
      <c r="Q19" s="1814" t="str">
        <f>B19</f>
        <v>公共配套设施</v>
      </c>
      <c r="R19" s="774" t="s">
        <v>17</v>
      </c>
      <c r="S19" s="775">
        <f>F19</f>
        <v>100</v>
      </c>
      <c r="T19" s="774" t="s">
        <v>17</v>
      </c>
      <c r="U19" s="775">
        <f>H19</f>
        <v>100</v>
      </c>
      <c r="V19" s="774" t="s">
        <v>17</v>
      </c>
      <c r="W19" s="775">
        <f>J19</f>
        <v>100</v>
      </c>
      <c r="X19" s="1817"/>
      <c r="Y19" s="3274"/>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72"/>
      <c r="Q20" s="1814"/>
      <c r="R20" s="774"/>
      <c r="S20" s="775"/>
      <c r="T20" s="774"/>
      <c r="U20" s="775"/>
      <c r="V20" s="774"/>
      <c r="W20" s="775"/>
      <c r="X20" s="1817"/>
      <c r="Y20" s="3274"/>
      <c r="Z20" s="1818"/>
      <c r="AA20" s="1815">
        <v>1</v>
      </c>
      <c r="AB20" s="1815">
        <v>1</v>
      </c>
      <c r="AC20" s="1815">
        <v>1</v>
      </c>
    </row>
    <row r="21" spans="1:29" ht="42.75">
      <c r="A21" s="428"/>
      <c r="B21" s="1387" t="s">
        <v>2653</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2"/>
      <c r="Q21" s="1814" t="str">
        <f>B21</f>
        <v>基础设施水平</v>
      </c>
      <c r="R21" s="774" t="s">
        <v>17</v>
      </c>
      <c r="S21" s="775">
        <f>F21</f>
        <v>100</v>
      </c>
      <c r="T21" s="774" t="s">
        <v>17</v>
      </c>
      <c r="U21" s="775">
        <f>H21</f>
        <v>100</v>
      </c>
      <c r="V21" s="774" t="s">
        <v>17</v>
      </c>
      <c r="W21" s="775">
        <f>J21</f>
        <v>100</v>
      </c>
      <c r="X21" s="1817"/>
      <c r="Y21" s="327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72"/>
      <c r="Q22" s="1814"/>
      <c r="R22" s="774"/>
      <c r="S22" s="775"/>
      <c r="T22" s="774"/>
      <c r="U22" s="775"/>
      <c r="V22" s="774"/>
      <c r="W22" s="775"/>
      <c r="X22" s="1817"/>
      <c r="Y22" s="3274"/>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2"/>
      <c r="Q23" s="1814" t="str">
        <f>B23</f>
        <v>自然及人文环境</v>
      </c>
      <c r="R23" s="774" t="s">
        <v>17</v>
      </c>
      <c r="S23" s="775">
        <f>F23</f>
        <v>100</v>
      </c>
      <c r="T23" s="774" t="s">
        <v>17</v>
      </c>
      <c r="U23" s="775">
        <f>H23</f>
        <v>100</v>
      </c>
      <c r="V23" s="774" t="s">
        <v>17</v>
      </c>
      <c r="W23" s="775">
        <f>J23</f>
        <v>100</v>
      </c>
      <c r="X23" s="1817"/>
      <c r="Y23" s="3274"/>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72"/>
      <c r="Q24" s="1814"/>
      <c r="R24" s="774"/>
      <c r="S24" s="775"/>
      <c r="T24" s="774"/>
      <c r="U24" s="775"/>
      <c r="V24" s="774"/>
      <c r="W24" s="775"/>
      <c r="X24" s="1817"/>
      <c r="Y24" s="3274"/>
      <c r="Z24" s="1818"/>
      <c r="AA24" s="1815">
        <v>1</v>
      </c>
      <c r="AB24" s="1815">
        <v>1</v>
      </c>
      <c r="AC24" s="181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2"/>
      <c r="Q25" s="1814" t="str">
        <f t="shared" ref="Q25:Q46" si="11">B25</f>
        <v>临街状况</v>
      </c>
      <c r="R25" s="774" t="s">
        <v>17</v>
      </c>
      <c r="S25" s="775">
        <f>F25</f>
        <v>100</v>
      </c>
      <c r="T25" s="774" t="s">
        <v>17</v>
      </c>
      <c r="U25" s="775">
        <f>H25</f>
        <v>100</v>
      </c>
      <c r="V25" s="774" t="s">
        <v>17</v>
      </c>
      <c r="W25" s="775">
        <f>J25</f>
        <v>100</v>
      </c>
      <c r="X25" s="1817"/>
      <c r="Y25" s="3274"/>
      <c r="Z25" s="1818" t="str">
        <f>Q25</f>
        <v>临街状况</v>
      </c>
      <c r="AA25" s="1815">
        <f t="shared" si="3"/>
        <v>1</v>
      </c>
      <c r="AB25" s="1815">
        <f t="shared" si="4"/>
        <v>1</v>
      </c>
      <c r="AC25" s="1815">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2"/>
      <c r="Q26" s="1814" t="str">
        <f t="shared" si="11"/>
        <v>平面位置/可视性</v>
      </c>
      <c r="R26" s="774" t="s">
        <v>17</v>
      </c>
      <c r="S26" s="775">
        <f>F26</f>
        <v>100</v>
      </c>
      <c r="T26" s="774" t="s">
        <v>17</v>
      </c>
      <c r="U26" s="775">
        <f>H26</f>
        <v>100</v>
      </c>
      <c r="V26" s="774" t="s">
        <v>17</v>
      </c>
      <c r="W26" s="775">
        <f>J26</f>
        <v>100</v>
      </c>
      <c r="X26" s="1817"/>
      <c r="Y26" s="3274"/>
      <c r="Z26" s="1818" t="str">
        <f>Q26</f>
        <v>平面位置/可视性</v>
      </c>
      <c r="AA26" s="1815">
        <f t="shared" si="3"/>
        <v>1</v>
      </c>
      <c r="AB26" s="1815">
        <f t="shared" si="4"/>
        <v>1</v>
      </c>
      <c r="AC26" s="1815">
        <f t="shared" si="5"/>
        <v>1</v>
      </c>
    </row>
    <row r="27" spans="1:29" s="116"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72"/>
      <c r="Q27" s="1799" t="str">
        <f t="shared" si="11"/>
        <v>人流量</v>
      </c>
      <c r="R27" s="770" t="s">
        <v>17</v>
      </c>
      <c r="S27" s="771">
        <f>F27</f>
        <v>100</v>
      </c>
      <c r="T27" s="770" t="s">
        <v>17</v>
      </c>
      <c r="U27" s="771">
        <f>H27</f>
        <v>100</v>
      </c>
      <c r="V27" s="770" t="s">
        <v>17</v>
      </c>
      <c r="W27" s="771">
        <f>J27</f>
        <v>100</v>
      </c>
      <c r="X27" s="772"/>
      <c r="Y27" s="3274"/>
      <c r="Z27" s="54" t="str">
        <f>Q27</f>
        <v>人流量</v>
      </c>
      <c r="AA27" s="1815">
        <f>D27/F27</f>
        <v>1</v>
      </c>
      <c r="AB27" s="1815">
        <f>D27/H27</f>
        <v>1</v>
      </c>
      <c r="AC27" s="181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2"/>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74"/>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2"/>
      <c r="Q29" s="1814">
        <f t="shared" si="11"/>
        <v>111</v>
      </c>
      <c r="R29" s="774" t="s">
        <v>17</v>
      </c>
      <c r="S29" s="775">
        <f t="shared" si="12"/>
        <v>100</v>
      </c>
      <c r="T29" s="774" t="s">
        <v>17</v>
      </c>
      <c r="U29" s="775">
        <f t="shared" si="13"/>
        <v>100</v>
      </c>
      <c r="V29" s="774" t="s">
        <v>17</v>
      </c>
      <c r="W29" s="775">
        <f t="shared" si="14"/>
        <v>100</v>
      </c>
      <c r="X29" s="1817"/>
      <c r="Y29" s="3274"/>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2"/>
      <c r="Q30" s="1814">
        <f t="shared" si="11"/>
        <v>111</v>
      </c>
      <c r="R30" s="774" t="s">
        <v>17</v>
      </c>
      <c r="S30" s="775">
        <f t="shared" si="12"/>
        <v>100</v>
      </c>
      <c r="T30" s="774" t="s">
        <v>17</v>
      </c>
      <c r="U30" s="775">
        <f t="shared" si="13"/>
        <v>100</v>
      </c>
      <c r="V30" s="774" t="s">
        <v>17</v>
      </c>
      <c r="W30" s="775">
        <f t="shared" si="14"/>
        <v>100</v>
      </c>
      <c r="X30" s="1817"/>
      <c r="Y30" s="3274"/>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2"/>
      <c r="Q31" s="1814">
        <f t="shared" si="11"/>
        <v>111</v>
      </c>
      <c r="R31" s="774" t="s">
        <v>17</v>
      </c>
      <c r="S31" s="775">
        <f t="shared" si="12"/>
        <v>100</v>
      </c>
      <c r="T31" s="774" t="s">
        <v>17</v>
      </c>
      <c r="U31" s="775">
        <f t="shared" si="13"/>
        <v>100</v>
      </c>
      <c r="V31" s="774" t="s">
        <v>17</v>
      </c>
      <c r="W31" s="775">
        <f t="shared" si="14"/>
        <v>100</v>
      </c>
      <c r="X31" s="1817"/>
      <c r="Y31" s="3274"/>
      <c r="Z31" s="1818">
        <f t="shared" si="15"/>
        <v>111</v>
      </c>
      <c r="AA31" s="1815">
        <f t="shared" si="3"/>
        <v>1</v>
      </c>
      <c r="AB31" s="1815">
        <f t="shared" si="4"/>
        <v>1</v>
      </c>
      <c r="AC31" s="1815">
        <f t="shared" si="5"/>
        <v>1</v>
      </c>
    </row>
    <row r="32" spans="1:29" ht="15">
      <c r="A32" s="440" t="s">
        <v>2561</v>
      </c>
      <c r="B32" s="70"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75" t="s">
        <v>2563</v>
      </c>
      <c r="Q32" s="1814" t="str">
        <f t="shared" si="11"/>
        <v>商业类型</v>
      </c>
      <c r="R32" s="774" t="s">
        <v>17</v>
      </c>
      <c r="S32" s="775">
        <f t="shared" si="12"/>
        <v>100</v>
      </c>
      <c r="T32" s="774" t="s">
        <v>17</v>
      </c>
      <c r="U32" s="775">
        <f t="shared" si="13"/>
        <v>100</v>
      </c>
      <c r="V32" s="774" t="s">
        <v>17</v>
      </c>
      <c r="W32" s="775">
        <f t="shared" si="14"/>
        <v>100</v>
      </c>
      <c r="X32" s="1817"/>
      <c r="Y32" s="3278" t="s">
        <v>2563</v>
      </c>
      <c r="Z32" s="1818" t="str">
        <f t="shared" si="15"/>
        <v>商业类型</v>
      </c>
      <c r="AA32" s="1815">
        <f t="shared" si="3"/>
        <v>1</v>
      </c>
      <c r="AB32" s="1815">
        <f t="shared" si="4"/>
        <v>1</v>
      </c>
      <c r="AC32" s="1815">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76"/>
      <c r="Q33" s="776" t="str">
        <f t="shared" si="11"/>
        <v>项目建筑规模</v>
      </c>
      <c r="R33" s="777" t="s">
        <v>17</v>
      </c>
      <c r="S33" s="778" t="e">
        <f t="shared" si="12"/>
        <v>#N/A</v>
      </c>
      <c r="T33" s="777" t="s">
        <v>17</v>
      </c>
      <c r="U33" s="778" t="e">
        <f t="shared" si="13"/>
        <v>#N/A</v>
      </c>
      <c r="V33" s="777" t="s">
        <v>17</v>
      </c>
      <c r="W33" s="778" t="e">
        <f t="shared" si="14"/>
        <v>#N/A</v>
      </c>
      <c r="X33" s="779"/>
      <c r="Y33" s="3278"/>
      <c r="Z33" s="780" t="str">
        <f t="shared" si="15"/>
        <v>项目建筑规模</v>
      </c>
      <c r="AA33" s="1815" t="e">
        <f t="shared" si="3"/>
        <v>#N/A</v>
      </c>
      <c r="AB33" s="1815" t="e">
        <f t="shared" si="4"/>
        <v>#N/A</v>
      </c>
      <c r="AC33" s="1815"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76"/>
      <c r="Q34" s="1814" t="str">
        <f t="shared" si="11"/>
        <v>建筑结构</v>
      </c>
      <c r="R34" s="774" t="s">
        <v>17</v>
      </c>
      <c r="S34" s="775">
        <f t="shared" si="12"/>
        <v>100</v>
      </c>
      <c r="T34" s="774" t="s">
        <v>17</v>
      </c>
      <c r="U34" s="775">
        <f t="shared" si="13"/>
        <v>100</v>
      </c>
      <c r="V34" s="774" t="s">
        <v>17</v>
      </c>
      <c r="W34" s="775">
        <f t="shared" si="14"/>
        <v>100</v>
      </c>
      <c r="X34" s="1817"/>
      <c r="Y34" s="3278"/>
      <c r="Z34" s="1818" t="str">
        <f t="shared" si="15"/>
        <v>建筑结构</v>
      </c>
      <c r="AA34" s="1815">
        <f t="shared" si="3"/>
        <v>1</v>
      </c>
      <c r="AB34" s="1815">
        <f t="shared" si="4"/>
        <v>1</v>
      </c>
      <c r="AC34" s="1815">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76"/>
      <c r="Q35" s="1814" t="str">
        <f t="shared" si="11"/>
        <v>公共部分装修</v>
      </c>
      <c r="R35" s="774" t="s">
        <v>17</v>
      </c>
      <c r="S35" s="775">
        <f t="shared" si="12"/>
        <v>100</v>
      </c>
      <c r="T35" s="774" t="s">
        <v>17</v>
      </c>
      <c r="U35" s="775">
        <f t="shared" si="13"/>
        <v>100</v>
      </c>
      <c r="V35" s="774" t="s">
        <v>17</v>
      </c>
      <c r="W35" s="775">
        <f t="shared" si="14"/>
        <v>100</v>
      </c>
      <c r="X35" s="1817"/>
      <c r="Y35" s="3278"/>
      <c r="Z35" s="1818" t="str">
        <f t="shared" si="15"/>
        <v>公共部分装修</v>
      </c>
      <c r="AA35" s="1815">
        <f t="shared" si="3"/>
        <v>1</v>
      </c>
      <c r="AB35" s="1815">
        <f t="shared" si="4"/>
        <v>1</v>
      </c>
      <c r="AC35" s="181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6"/>
      <c r="Q36" s="1814" t="str">
        <f t="shared" si="11"/>
        <v>成新度</v>
      </c>
      <c r="R36" s="774" t="s">
        <v>17</v>
      </c>
      <c r="S36" s="775" t="e">
        <f t="shared" si="12"/>
        <v>#N/A</v>
      </c>
      <c r="T36" s="774" t="s">
        <v>17</v>
      </c>
      <c r="U36" s="775" t="e">
        <f t="shared" si="13"/>
        <v>#N/A</v>
      </c>
      <c r="V36" s="774" t="s">
        <v>17</v>
      </c>
      <c r="W36" s="775" t="e">
        <f t="shared" si="14"/>
        <v>#N/A</v>
      </c>
      <c r="X36" s="1817"/>
      <c r="Y36" s="3278"/>
      <c r="Z36" s="1818" t="str">
        <f t="shared" si="15"/>
        <v>成新度</v>
      </c>
      <c r="AA36" s="1815" t="e">
        <f t="shared" si="3"/>
        <v>#N/A</v>
      </c>
      <c r="AB36" s="1815" t="e">
        <f t="shared" si="4"/>
        <v>#N/A</v>
      </c>
      <c r="AC36" s="1815" t="e">
        <f t="shared" si="5"/>
        <v>#N/A</v>
      </c>
    </row>
    <row r="37" spans="1:29" s="116" customFormat="1" ht="15">
      <c r="A37" s="473"/>
      <c r="B37" s="422" t="s">
        <v>2661</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76"/>
      <c r="Q37" s="1799" t="str">
        <f t="shared" si="11"/>
        <v>市政基础设施</v>
      </c>
      <c r="R37" s="770" t="s">
        <v>17</v>
      </c>
      <c r="S37" s="771">
        <f t="shared" si="12"/>
        <v>100</v>
      </c>
      <c r="T37" s="770" t="s">
        <v>17</v>
      </c>
      <c r="U37" s="771">
        <f t="shared" si="13"/>
        <v>100</v>
      </c>
      <c r="V37" s="770" t="s">
        <v>17</v>
      </c>
      <c r="W37" s="771">
        <f t="shared" si="14"/>
        <v>100</v>
      </c>
      <c r="X37" s="772"/>
      <c r="Y37" s="3278"/>
      <c r="Z37" s="54"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76" t="s">
        <v>2563</v>
      </c>
      <c r="Q38" s="1814" t="str">
        <f t="shared" si="11"/>
        <v>业态</v>
      </c>
      <c r="R38" s="774" t="s">
        <v>17</v>
      </c>
      <c r="S38" s="775">
        <f t="shared" si="12"/>
        <v>100</v>
      </c>
      <c r="T38" s="774" t="s">
        <v>17</v>
      </c>
      <c r="U38" s="775">
        <f t="shared" si="13"/>
        <v>100</v>
      </c>
      <c r="V38" s="774" t="s">
        <v>17</v>
      </c>
      <c r="W38" s="775">
        <f t="shared" si="14"/>
        <v>100</v>
      </c>
      <c r="X38" s="1817"/>
      <c r="Y38" s="3278" t="s">
        <v>2563</v>
      </c>
      <c r="Z38" s="1818" t="str">
        <f t="shared" si="15"/>
        <v>业态</v>
      </c>
      <c r="AA38" s="1815">
        <f t="shared" si="3"/>
        <v>1</v>
      </c>
      <c r="AB38" s="1815">
        <f t="shared" si="4"/>
        <v>1</v>
      </c>
      <c r="AC38" s="1815">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76"/>
      <c r="Q39" s="1814" t="str">
        <f t="shared" si="11"/>
        <v>层高</v>
      </c>
      <c r="R39" s="774" t="s">
        <v>17</v>
      </c>
      <c r="S39" s="775">
        <f t="shared" si="12"/>
        <v>100</v>
      </c>
      <c r="T39" s="774" t="s">
        <v>17</v>
      </c>
      <c r="U39" s="775">
        <f t="shared" si="13"/>
        <v>100</v>
      </c>
      <c r="V39" s="774" t="s">
        <v>17</v>
      </c>
      <c r="W39" s="775">
        <f t="shared" si="14"/>
        <v>100</v>
      </c>
      <c r="X39" s="1817"/>
      <c r="Y39" s="3278"/>
      <c r="Z39" s="1818" t="str">
        <f t="shared" si="15"/>
        <v>层高</v>
      </c>
      <c r="AA39" s="1815">
        <f t="shared" si="3"/>
        <v>1</v>
      </c>
      <c r="AB39" s="1815">
        <f t="shared" si="4"/>
        <v>1</v>
      </c>
      <c r="AC39" s="181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6"/>
      <c r="Q40" s="1814" t="str">
        <f t="shared" si="11"/>
        <v>单套建筑面积</v>
      </c>
      <c r="R40" s="774" t="s">
        <v>17</v>
      </c>
      <c r="S40" s="775">
        <f t="shared" si="12"/>
        <v>100</v>
      </c>
      <c r="T40" s="774" t="s">
        <v>17</v>
      </c>
      <c r="U40" s="775">
        <f t="shared" si="13"/>
        <v>100</v>
      </c>
      <c r="V40" s="774" t="s">
        <v>17</v>
      </c>
      <c r="W40" s="775">
        <f t="shared" si="14"/>
        <v>100</v>
      </c>
      <c r="X40" s="1817"/>
      <c r="Y40" s="3278"/>
      <c r="Z40" s="1818" t="str">
        <f t="shared" si="15"/>
        <v>单套建筑面积</v>
      </c>
      <c r="AA40" s="1815">
        <f t="shared" si="3"/>
        <v>1</v>
      </c>
      <c r="AB40" s="1815">
        <f t="shared" si="4"/>
        <v>1</v>
      </c>
      <c r="AC40" s="1815">
        <f t="shared" si="5"/>
        <v>1</v>
      </c>
    </row>
    <row r="41" spans="1:29" s="471" customFormat="1" ht="15">
      <c r="A41" s="468"/>
      <c r="B41" s="181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6"/>
      <c r="Q41" s="776" t="str">
        <f t="shared" si="11"/>
        <v>进深比</v>
      </c>
      <c r="R41" s="777" t="s">
        <v>17</v>
      </c>
      <c r="S41" s="778">
        <f t="shared" si="12"/>
        <v>100</v>
      </c>
      <c r="T41" s="777" t="s">
        <v>17</v>
      </c>
      <c r="U41" s="778">
        <f t="shared" si="13"/>
        <v>100</v>
      </c>
      <c r="V41" s="777" t="s">
        <v>17</v>
      </c>
      <c r="W41" s="778">
        <f t="shared" si="14"/>
        <v>100</v>
      </c>
      <c r="X41" s="779"/>
      <c r="Y41" s="3278"/>
      <c r="Z41" s="780" t="str">
        <f t="shared" si="15"/>
        <v>进深比</v>
      </c>
      <c r="AA41" s="1815">
        <f t="shared" si="3"/>
        <v>1</v>
      </c>
      <c r="AB41" s="1815">
        <f t="shared" si="4"/>
        <v>1</v>
      </c>
      <c r="AC41" s="1815">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76"/>
      <c r="Q42" s="1814" t="str">
        <f t="shared" si="11"/>
        <v>内部装修</v>
      </c>
      <c r="R42" s="774" t="s">
        <v>17</v>
      </c>
      <c r="S42" s="775">
        <f t="shared" si="12"/>
        <v>100</v>
      </c>
      <c r="T42" s="774" t="s">
        <v>17</v>
      </c>
      <c r="U42" s="775">
        <f t="shared" si="13"/>
        <v>100</v>
      </c>
      <c r="V42" s="774" t="s">
        <v>17</v>
      </c>
      <c r="W42" s="775">
        <f t="shared" si="14"/>
        <v>100</v>
      </c>
      <c r="X42" s="1817"/>
      <c r="Y42" s="3278"/>
      <c r="Z42" s="1818" t="str">
        <f t="shared" si="15"/>
        <v>内部装修</v>
      </c>
      <c r="AA42" s="1815">
        <f t="shared" si="3"/>
        <v>1</v>
      </c>
      <c r="AB42" s="1815">
        <f t="shared" si="4"/>
        <v>1</v>
      </c>
      <c r="AC42" s="1815">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76"/>
      <c r="Q43" s="1814" t="str">
        <f t="shared" si="11"/>
        <v>内部装修维护情况</v>
      </c>
      <c r="R43" s="774" t="s">
        <v>17</v>
      </c>
      <c r="S43" s="775">
        <f t="shared" si="12"/>
        <v>100</v>
      </c>
      <c r="T43" s="774" t="s">
        <v>17</v>
      </c>
      <c r="U43" s="775">
        <f t="shared" si="13"/>
        <v>100</v>
      </c>
      <c r="V43" s="774" t="s">
        <v>17</v>
      </c>
      <c r="W43" s="775">
        <f t="shared" si="14"/>
        <v>100</v>
      </c>
      <c r="X43" s="1817"/>
      <c r="Y43" s="3278"/>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76"/>
      <c r="Q44" s="1799">
        <f t="shared" si="11"/>
        <v>111</v>
      </c>
      <c r="R44" s="770" t="s">
        <v>17</v>
      </c>
      <c r="S44" s="771">
        <f t="shared" si="12"/>
        <v>100</v>
      </c>
      <c r="T44" s="770" t="s">
        <v>17</v>
      </c>
      <c r="U44" s="771">
        <f t="shared" si="13"/>
        <v>100</v>
      </c>
      <c r="V44" s="770" t="s">
        <v>17</v>
      </c>
      <c r="W44" s="771">
        <f t="shared" si="14"/>
        <v>100</v>
      </c>
      <c r="X44" s="772"/>
      <c r="Y44" s="3278"/>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6"/>
      <c r="Q45" s="1814">
        <f t="shared" si="11"/>
        <v>111</v>
      </c>
      <c r="R45" s="774" t="s">
        <v>17</v>
      </c>
      <c r="S45" s="775">
        <f t="shared" si="12"/>
        <v>100</v>
      </c>
      <c r="T45" s="774" t="s">
        <v>17</v>
      </c>
      <c r="U45" s="775">
        <f t="shared" si="13"/>
        <v>100</v>
      </c>
      <c r="V45" s="774" t="s">
        <v>17</v>
      </c>
      <c r="W45" s="775">
        <f t="shared" si="14"/>
        <v>100</v>
      </c>
      <c r="X45" s="1817"/>
      <c r="Y45" s="3278"/>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7"/>
      <c r="Q46" s="1814">
        <f t="shared" si="11"/>
        <v>111</v>
      </c>
      <c r="R46" s="774" t="s">
        <v>17</v>
      </c>
      <c r="S46" s="775">
        <f t="shared" si="12"/>
        <v>100</v>
      </c>
      <c r="T46" s="774" t="s">
        <v>17</v>
      </c>
      <c r="U46" s="775">
        <f t="shared" si="13"/>
        <v>100</v>
      </c>
      <c r="V46" s="774" t="s">
        <v>17</v>
      </c>
      <c r="W46" s="775">
        <f t="shared" si="14"/>
        <v>100</v>
      </c>
      <c r="X46" s="1817"/>
      <c r="Y46" s="3279"/>
      <c r="Z46" s="1818">
        <f t="shared" si="15"/>
        <v>111</v>
      </c>
      <c r="AA46" s="1815">
        <f t="shared" si="3"/>
        <v>1</v>
      </c>
      <c r="AB46" s="1815">
        <f t="shared" si="4"/>
        <v>1</v>
      </c>
      <c r="AC46" s="1815">
        <f t="shared" si="5"/>
        <v>1</v>
      </c>
    </row>
    <row r="47" spans="1:29" ht="15">
      <c r="A47" s="479" t="s">
        <v>2575</v>
      </c>
      <c r="B47" s="480"/>
      <c r="C47" s="1410" t="s">
        <v>1</v>
      </c>
      <c r="D47" s="1411"/>
      <c r="E47" s="1412"/>
      <c r="F47" s="1413"/>
      <c r="G47" s="1414"/>
      <c r="H47" s="1415"/>
      <c r="I47" s="1412"/>
      <c r="J47" s="1415"/>
      <c r="K47" s="783"/>
      <c r="L47" s="1146"/>
      <c r="M47" s="1147"/>
      <c r="N47" s="1134"/>
      <c r="O47" s="1147"/>
      <c r="P47" s="3266" t="str">
        <f>A47</f>
        <v>成交单价（元/平方米）</v>
      </c>
      <c r="Q47" s="3266"/>
      <c r="R47" s="3300">
        <f>E47</f>
        <v>0</v>
      </c>
      <c r="S47" s="3300"/>
      <c r="T47" s="3300">
        <f>G47</f>
        <v>0</v>
      </c>
      <c r="U47" s="3300"/>
      <c r="V47" s="3300">
        <f>I47</f>
        <v>0</v>
      </c>
      <c r="W47" s="3300"/>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47" t="str">
        <f>A49</f>
        <v>估价对象XX用房的比较价值（楼面单价，元/平方米）</v>
      </c>
      <c r="Q49" s="3348"/>
      <c r="R49" s="3349" t="e">
        <f>IF(F1="售价",ROUND(AVERAGE(R48:V48),0),ROUND(AVERAGE(R48:V48),1))</f>
        <v>#DIV/0!</v>
      </c>
      <c r="S49" s="3349"/>
      <c r="T49" s="3349"/>
      <c r="U49" s="3349"/>
      <c r="V49" s="3349"/>
      <c r="W49" s="334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2548</v>
      </c>
      <c r="B61" s="510"/>
      <c r="C61" s="522" t="s">
        <v>2650</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3260</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3074</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f>市场租金整理!A4</f>
        <v>5.8</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50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50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3026</v>
      </c>
      <c r="E53" s="358" t="s">
        <v>1412</v>
      </c>
      <c r="F53" s="1369" t="s">
        <v>3328</v>
      </c>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19" t="s">
        <v>1404</v>
      </c>
      <c r="C6" s="1299" t="e">
        <f ca="1">ROUND(F6*F8*F7*(1-F9)/10000,0)</f>
        <v>#N/A</v>
      </c>
      <c r="D6" s="164" t="s">
        <v>3030</v>
      </c>
      <c r="E6" s="347" t="s">
        <v>1406</v>
      </c>
      <c r="F6" s="348" t="e">
        <f ca="1">INDIRECT("'数据-取费表'!u"&amp;$G$1)</f>
        <v>#N/A</v>
      </c>
      <c r="G6" s="1855"/>
      <c r="H6" s="1294" t="s">
        <v>1035</v>
      </c>
      <c r="I6" s="3319" t="s">
        <v>1404</v>
      </c>
      <c r="J6" s="346" t="e">
        <f ca="1">ROUND(M6*M8*M7*(1-M9)/10000,0)</f>
        <v>#N/A</v>
      </c>
      <c r="K6" s="164" t="s">
        <v>3029</v>
      </c>
      <c r="L6" s="347" t="s">
        <v>1406</v>
      </c>
      <c r="M6" s="348" t="e">
        <f ca="1">INDIRECT("'数据-取费表'!z"&amp;$G$1)</f>
        <v>#N/A</v>
      </c>
    </row>
    <row r="7" spans="1:37" ht="18" customHeight="1">
      <c r="A7" s="1298"/>
      <c r="B7" s="3320"/>
      <c r="C7" s="1300"/>
      <c r="D7" s="352"/>
      <c r="E7" s="2962" t="s">
        <v>1407</v>
      </c>
      <c r="F7" s="348" t="e">
        <f ca="1">IF(INDIRECT("'数据-取费表'!ah"&amp;$G$1)="",INDIRECT("'数据-取费表'!k"&amp;$G$1),INDIRECT("'数据-取费表'!ah"&amp;$G$1))</f>
        <v>#N/A</v>
      </c>
      <c r="G7" s="1855"/>
      <c r="H7" s="349"/>
      <c r="I7" s="3320"/>
      <c r="J7" s="351"/>
      <c r="K7" s="352"/>
      <c r="L7" s="347" t="s">
        <v>1407</v>
      </c>
      <c r="M7" s="348" t="e">
        <f ca="1">F7</f>
        <v>#N/A</v>
      </c>
    </row>
    <row r="8" spans="1:37" ht="18" customHeight="1">
      <c r="A8" s="349"/>
      <c r="B8" s="3320"/>
      <c r="C8" s="351"/>
      <c r="D8" s="352"/>
      <c r="E8" s="347" t="s">
        <v>1408</v>
      </c>
      <c r="F8" s="348" t="e">
        <f ca="1">INDIRECT("'数据-取费表'!ai"&amp;$G$1)</f>
        <v>#N/A</v>
      </c>
      <c r="G8" s="1855"/>
      <c r="H8" s="349"/>
      <c r="I8" s="3320"/>
      <c r="J8" s="351"/>
      <c r="K8" s="352"/>
      <c r="L8" s="347" t="s">
        <v>1408</v>
      </c>
      <c r="M8" s="348" t="e">
        <f ca="1">INDIRECT("'数据-取费表'!ai"&amp;$G$1)</f>
        <v>#N/A</v>
      </c>
    </row>
    <row r="9" spans="1:37" ht="18" customHeight="1">
      <c r="A9" s="349"/>
      <c r="B9" s="3321"/>
      <c r="C9" s="351"/>
      <c r="D9" s="352"/>
      <c r="E9" s="347" t="s">
        <v>1409</v>
      </c>
      <c r="F9" s="357" t="e">
        <f ca="1">INDIRECT("'数据-取费表'!w"&amp;$G$1)</f>
        <v>#N/A</v>
      </c>
      <c r="G9" s="1855"/>
      <c r="H9" s="349"/>
      <c r="I9" s="332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17" t="s">
        <v>1550</v>
      </c>
      <c r="L53" s="3318"/>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2700</v>
      </c>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27877.57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13" t="s">
        <v>2646</v>
      </c>
      <c r="AC4" s="3350" t="s">
        <v>2647</v>
      </c>
    </row>
    <row r="5" spans="1:29"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13"/>
      <c r="AC5" s="3313"/>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354"/>
      <c r="Q6" s="3292"/>
      <c r="R6" s="3295"/>
      <c r="S6" s="3296"/>
      <c r="T6" s="3297"/>
      <c r="U6" s="3298"/>
      <c r="V6" s="3300"/>
      <c r="W6" s="3300"/>
      <c r="X6" s="1817"/>
      <c r="Y6" s="3297"/>
      <c r="Z6" s="3298"/>
      <c r="AA6" s="3314"/>
      <c r="AB6" s="3314"/>
      <c r="AC6" s="3314"/>
    </row>
    <row r="7" spans="1:29" s="116" customFormat="1" ht="15.75" thickBot="1">
      <c r="A7" s="408" t="s">
        <v>2546</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7" t="s">
        <v>2547</v>
      </c>
      <c r="Q7" s="3308"/>
      <c r="R7" s="770" t="s">
        <v>17</v>
      </c>
      <c r="S7" s="771">
        <f t="shared" ref="S7:S15" si="0">F7</f>
        <v>0</v>
      </c>
      <c r="T7" s="770" t="s">
        <v>17</v>
      </c>
      <c r="U7" s="771">
        <f t="shared" ref="U7:U15" si="1">H7</f>
        <v>0</v>
      </c>
      <c r="V7" s="770" t="s">
        <v>17</v>
      </c>
      <c r="W7" s="771">
        <f t="shared" ref="W7:W15" si="2">J7</f>
        <v>0</v>
      </c>
      <c r="X7" s="772"/>
      <c r="Y7" s="3307" t="s">
        <v>2547</v>
      </c>
      <c r="Z7" s="3306"/>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66" t="s">
        <v>2553</v>
      </c>
      <c r="Q9" s="1799" t="str">
        <f t="shared" ref="Q9:Q15" si="6">B9</f>
        <v>用途</v>
      </c>
      <c r="R9" s="770" t="s">
        <v>17</v>
      </c>
      <c r="S9" s="771">
        <f t="shared" si="0"/>
        <v>100</v>
      </c>
      <c r="T9" s="770" t="s">
        <v>17</v>
      </c>
      <c r="U9" s="771">
        <f t="shared" si="1"/>
        <v>100</v>
      </c>
      <c r="V9" s="770" t="s">
        <v>17</v>
      </c>
      <c r="W9" s="771">
        <f t="shared" si="2"/>
        <v>100</v>
      </c>
      <c r="X9" s="772"/>
      <c r="Y9" s="3119"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66"/>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66"/>
      <c r="Q11" s="1799" t="str">
        <f t="shared" si="6"/>
        <v>容积率</v>
      </c>
      <c r="R11" s="770" t="s">
        <v>17</v>
      </c>
      <c r="S11" s="771" t="e">
        <f t="shared" si="0"/>
        <v>#N/A</v>
      </c>
      <c r="T11" s="770" t="s">
        <v>17</v>
      </c>
      <c r="U11" s="771" t="e">
        <f t="shared" si="1"/>
        <v>#N/A</v>
      </c>
      <c r="V11" s="770" t="s">
        <v>17</v>
      </c>
      <c r="W11" s="771" t="e">
        <f t="shared" si="2"/>
        <v>#N/A</v>
      </c>
      <c r="X11" s="772"/>
      <c r="Y11" s="311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66"/>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66"/>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66"/>
      <c r="Q14" s="1799">
        <f t="shared" si="6"/>
        <v>111</v>
      </c>
      <c r="R14" s="770" t="s">
        <v>17</v>
      </c>
      <c r="S14" s="771">
        <f t="shared" si="0"/>
        <v>100</v>
      </c>
      <c r="T14" s="770" t="s">
        <v>17</v>
      </c>
      <c r="U14" s="771">
        <f t="shared" si="1"/>
        <v>100</v>
      </c>
      <c r="V14" s="770" t="s">
        <v>17</v>
      </c>
      <c r="W14" s="771">
        <f t="shared" si="2"/>
        <v>100</v>
      </c>
      <c r="X14" s="772"/>
      <c r="Y14" s="3119"/>
      <c r="Z14" s="54">
        <f t="shared" si="7"/>
        <v>111</v>
      </c>
      <c r="AA14" s="773">
        <f t="shared" si="3"/>
        <v>1</v>
      </c>
      <c r="AB14" s="773">
        <f t="shared" si="4"/>
        <v>1</v>
      </c>
      <c r="AC14" s="773">
        <f t="shared" si="5"/>
        <v>1</v>
      </c>
    </row>
    <row r="15" spans="1:29" ht="57">
      <c r="A15" s="440" t="s">
        <v>2557</v>
      </c>
      <c r="B15" s="68" t="s">
        <v>2701</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3" t="s">
        <v>2558</v>
      </c>
      <c r="Q15" s="1814" t="str">
        <f t="shared" si="6"/>
        <v>产业集聚程度</v>
      </c>
      <c r="R15" s="774" t="s">
        <v>17</v>
      </c>
      <c r="S15" s="775">
        <f t="shared" si="0"/>
        <v>100</v>
      </c>
      <c r="T15" s="774" t="s">
        <v>17</v>
      </c>
      <c r="U15" s="775">
        <f t="shared" si="1"/>
        <v>100</v>
      </c>
      <c r="V15" s="774" t="s">
        <v>17</v>
      </c>
      <c r="W15" s="775">
        <f t="shared" si="2"/>
        <v>100</v>
      </c>
      <c r="X15" s="1817"/>
      <c r="Y15" s="3273" t="s">
        <v>2558</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74"/>
      <c r="Q16" s="1814"/>
      <c r="R16" s="774"/>
      <c r="S16" s="775"/>
      <c r="T16" s="774"/>
      <c r="U16" s="775"/>
      <c r="V16" s="774"/>
      <c r="W16" s="775"/>
      <c r="X16" s="1817"/>
      <c r="Y16" s="3274"/>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4"/>
      <c r="Q17" s="1814" t="str">
        <f>B17</f>
        <v>交通便捷度</v>
      </c>
      <c r="R17" s="774" t="s">
        <v>17</v>
      </c>
      <c r="S17" s="775">
        <f>F17</f>
        <v>100</v>
      </c>
      <c r="T17" s="774" t="s">
        <v>17</v>
      </c>
      <c r="U17" s="775">
        <f>H17</f>
        <v>100</v>
      </c>
      <c r="V17" s="774" t="s">
        <v>17</v>
      </c>
      <c r="W17" s="775">
        <f>J17</f>
        <v>100</v>
      </c>
      <c r="X17" s="1817"/>
      <c r="Y17" s="3274"/>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74"/>
      <c r="Q18" s="1814"/>
      <c r="R18" s="774"/>
      <c r="S18" s="775"/>
      <c r="T18" s="774"/>
      <c r="U18" s="775"/>
      <c r="V18" s="774"/>
      <c r="W18" s="775"/>
      <c r="X18" s="1817"/>
      <c r="Y18" s="3274"/>
      <c r="Z18" s="1818"/>
      <c r="AA18" s="1815">
        <v>1</v>
      </c>
      <c r="AB18" s="1815">
        <v>1</v>
      </c>
      <c r="AC18" s="1815">
        <v>1</v>
      </c>
    </row>
    <row r="19" spans="1:29" ht="199.5">
      <c r="A19" s="428"/>
      <c r="B19" s="451" t="s">
        <v>2686</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4"/>
      <c r="Q19" s="1814" t="str">
        <f>B19</f>
        <v>公共配套设施</v>
      </c>
      <c r="R19" s="774" t="s">
        <v>17</v>
      </c>
      <c r="S19" s="775">
        <f>F19</f>
        <v>100</v>
      </c>
      <c r="T19" s="774" t="s">
        <v>17</v>
      </c>
      <c r="U19" s="775">
        <f>H19</f>
        <v>100</v>
      </c>
      <c r="V19" s="774" t="s">
        <v>17</v>
      </c>
      <c r="W19" s="775">
        <f>J19</f>
        <v>100</v>
      </c>
      <c r="X19" s="1817"/>
      <c r="Y19" s="3274"/>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74"/>
      <c r="Q20" s="1814"/>
      <c r="R20" s="774"/>
      <c r="S20" s="775"/>
      <c r="T20" s="774"/>
      <c r="U20" s="775"/>
      <c r="V20" s="774"/>
      <c r="W20" s="775"/>
      <c r="X20" s="1817"/>
      <c r="Y20" s="3274"/>
      <c r="Z20" s="1818"/>
      <c r="AA20" s="1815">
        <v>1</v>
      </c>
      <c r="AB20" s="1815">
        <v>1</v>
      </c>
      <c r="AC20" s="1815">
        <v>1</v>
      </c>
    </row>
    <row r="21" spans="1:29" ht="42.75">
      <c r="A21" s="428"/>
      <c r="B21" s="1387" t="s">
        <v>2687</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4"/>
      <c r="Q21" s="1814" t="str">
        <f>B21</f>
        <v>基础设施水平</v>
      </c>
      <c r="R21" s="774" t="s">
        <v>17</v>
      </c>
      <c r="S21" s="775">
        <f>F21</f>
        <v>100</v>
      </c>
      <c r="T21" s="774" t="s">
        <v>17</v>
      </c>
      <c r="U21" s="775">
        <f>H21</f>
        <v>100</v>
      </c>
      <c r="V21" s="774" t="s">
        <v>17</v>
      </c>
      <c r="W21" s="775">
        <f>J21</f>
        <v>100</v>
      </c>
      <c r="X21" s="1817"/>
      <c r="Y21" s="327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74"/>
      <c r="Q22" s="1814"/>
      <c r="R22" s="774"/>
      <c r="S22" s="775"/>
      <c r="T22" s="774"/>
      <c r="U22" s="775"/>
      <c r="V22" s="774"/>
      <c r="W22" s="775"/>
      <c r="X22" s="1817"/>
      <c r="Y22" s="3274"/>
      <c r="Z22" s="1818"/>
      <c r="AA22" s="1815">
        <v>1</v>
      </c>
      <c r="AB22" s="1815">
        <v>1</v>
      </c>
      <c r="AC22" s="1815">
        <v>1</v>
      </c>
    </row>
    <row r="23" spans="1:29" ht="85.5">
      <c r="A23" s="428"/>
      <c r="B23" s="451" t="s">
        <v>2688</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4"/>
      <c r="Q23" s="1814" t="str">
        <f>B23</f>
        <v>环境质量</v>
      </c>
      <c r="R23" s="774" t="s">
        <v>17</v>
      </c>
      <c r="S23" s="775">
        <f>F23</f>
        <v>100</v>
      </c>
      <c r="T23" s="774" t="s">
        <v>17</v>
      </c>
      <c r="U23" s="775">
        <f>H23</f>
        <v>100</v>
      </c>
      <c r="V23" s="774" t="s">
        <v>17</v>
      </c>
      <c r="W23" s="775">
        <f>J23</f>
        <v>100</v>
      </c>
      <c r="X23" s="1817"/>
      <c r="Y23" s="3274"/>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74"/>
      <c r="Q24" s="1814"/>
      <c r="R24" s="774"/>
      <c r="S24" s="775"/>
      <c r="T24" s="774"/>
      <c r="U24" s="775"/>
      <c r="V24" s="774"/>
      <c r="W24" s="775"/>
      <c r="X24" s="1817"/>
      <c r="Y24" s="3274"/>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4"/>
      <c r="Q25" s="1814">
        <f>B25</f>
        <v>111</v>
      </c>
      <c r="R25" s="774" t="s">
        <v>17</v>
      </c>
      <c r="S25" s="775">
        <f>F25</f>
        <v>100</v>
      </c>
      <c r="T25" s="774" t="s">
        <v>17</v>
      </c>
      <c r="U25" s="775">
        <f>H25</f>
        <v>100</v>
      </c>
      <c r="V25" s="774" t="s">
        <v>17</v>
      </c>
      <c r="W25" s="775">
        <f>J25</f>
        <v>100</v>
      </c>
      <c r="X25" s="1817"/>
      <c r="Y25" s="3274"/>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4"/>
      <c r="Q26" s="1814">
        <f t="shared" ref="Q26:Q40" si="11">B26</f>
        <v>111</v>
      </c>
      <c r="R26" s="774" t="s">
        <v>17</v>
      </c>
      <c r="S26" s="775">
        <f>F26</f>
        <v>100</v>
      </c>
      <c r="T26" s="774" t="s">
        <v>17</v>
      </c>
      <c r="U26" s="775">
        <f>H26</f>
        <v>100</v>
      </c>
      <c r="V26" s="774" t="s">
        <v>17</v>
      </c>
      <c r="W26" s="775">
        <f>J26</f>
        <v>100</v>
      </c>
      <c r="X26" s="1817"/>
      <c r="Y26" s="3274"/>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4"/>
      <c r="Q27" s="1799">
        <f t="shared" si="11"/>
        <v>111</v>
      </c>
      <c r="R27" s="770" t="s">
        <v>17</v>
      </c>
      <c r="S27" s="771">
        <f>F27</f>
        <v>100</v>
      </c>
      <c r="T27" s="770" t="s">
        <v>17</v>
      </c>
      <c r="U27" s="771">
        <f>H27</f>
        <v>100</v>
      </c>
      <c r="V27" s="770" t="s">
        <v>17</v>
      </c>
      <c r="W27" s="771">
        <f>J27</f>
        <v>100</v>
      </c>
      <c r="X27" s="772"/>
      <c r="Y27" s="3274"/>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4"/>
      <c r="Q28" s="1814">
        <f t="shared" si="11"/>
        <v>111</v>
      </c>
      <c r="R28" s="774" t="s">
        <v>17</v>
      </c>
      <c r="S28" s="775">
        <f t="shared" ref="S28:S40" si="12">F28</f>
        <v>100</v>
      </c>
      <c r="T28" s="774" t="s">
        <v>17</v>
      </c>
      <c r="U28" s="775">
        <f t="shared" ref="U28:U40" si="13">H28</f>
        <v>100</v>
      </c>
      <c r="V28" s="774" t="s">
        <v>17</v>
      </c>
      <c r="W28" s="775">
        <f t="shared" ref="W28:W40" si="14">J28</f>
        <v>100</v>
      </c>
      <c r="X28" s="1817"/>
      <c r="Y28" s="3274"/>
      <c r="Z28" s="1818">
        <f t="shared" ref="Z28:Z40" si="15">Q28</f>
        <v>111</v>
      </c>
      <c r="AA28" s="1815">
        <f t="shared" si="3"/>
        <v>1</v>
      </c>
      <c r="AB28" s="1815">
        <f t="shared" si="4"/>
        <v>1</v>
      </c>
      <c r="AC28" s="1815">
        <f t="shared" si="5"/>
        <v>1</v>
      </c>
    </row>
    <row r="29" spans="1:29" ht="15">
      <c r="A29" s="466" t="s">
        <v>2561</v>
      </c>
      <c r="B29" s="70"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58" t="s">
        <v>2563</v>
      </c>
      <c r="Q29" s="1814" t="str">
        <f t="shared" si="11"/>
        <v>建筑类型</v>
      </c>
      <c r="R29" s="774" t="s">
        <v>17</v>
      </c>
      <c r="S29" s="775">
        <f t="shared" si="12"/>
        <v>100</v>
      </c>
      <c r="T29" s="774" t="s">
        <v>17</v>
      </c>
      <c r="U29" s="775">
        <f t="shared" si="13"/>
        <v>100</v>
      </c>
      <c r="V29" s="774" t="s">
        <v>17</v>
      </c>
      <c r="W29" s="775">
        <f t="shared" si="14"/>
        <v>100</v>
      </c>
      <c r="X29" s="1817"/>
      <c r="Y29" s="3278" t="s">
        <v>2563</v>
      </c>
      <c r="Z29" s="1818" t="str">
        <f t="shared" si="15"/>
        <v>建筑类型</v>
      </c>
      <c r="AA29" s="1815">
        <f t="shared" si="3"/>
        <v>1</v>
      </c>
      <c r="AB29" s="1815">
        <f t="shared" si="4"/>
        <v>1</v>
      </c>
      <c r="AC29" s="1815">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78"/>
      <c r="Q30" s="776" t="str">
        <f t="shared" si="11"/>
        <v>项目建筑规模</v>
      </c>
      <c r="R30" s="777" t="s">
        <v>17</v>
      </c>
      <c r="S30" s="778" t="e">
        <f t="shared" si="12"/>
        <v>#N/A</v>
      </c>
      <c r="T30" s="777" t="s">
        <v>17</v>
      </c>
      <c r="U30" s="778" t="e">
        <f t="shared" si="13"/>
        <v>#N/A</v>
      </c>
      <c r="V30" s="777" t="s">
        <v>17</v>
      </c>
      <c r="W30" s="778" t="e">
        <f t="shared" si="14"/>
        <v>#N/A</v>
      </c>
      <c r="X30" s="779"/>
      <c r="Y30" s="3278"/>
      <c r="Z30" s="780" t="str">
        <f t="shared" si="15"/>
        <v>项目建筑规模</v>
      </c>
      <c r="AA30" s="1815" t="e">
        <f t="shared" si="3"/>
        <v>#N/A</v>
      </c>
      <c r="AB30" s="1815" t="e">
        <f t="shared" si="4"/>
        <v>#N/A</v>
      </c>
      <c r="AC30" s="181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8"/>
      <c r="Q31" s="1814" t="str">
        <f t="shared" si="11"/>
        <v>建筑结构</v>
      </c>
      <c r="R31" s="774" t="s">
        <v>17</v>
      </c>
      <c r="S31" s="775">
        <f t="shared" si="12"/>
        <v>100</v>
      </c>
      <c r="T31" s="774" t="s">
        <v>17</v>
      </c>
      <c r="U31" s="775">
        <f t="shared" si="13"/>
        <v>100</v>
      </c>
      <c r="V31" s="774" t="s">
        <v>17</v>
      </c>
      <c r="W31" s="775">
        <f t="shared" si="14"/>
        <v>100</v>
      </c>
      <c r="X31" s="1817"/>
      <c r="Y31" s="3278"/>
      <c r="Z31" s="1818" t="str">
        <f t="shared" si="15"/>
        <v>建筑结构</v>
      </c>
      <c r="AA31" s="1815">
        <f t="shared" si="3"/>
        <v>1</v>
      </c>
      <c r="AB31" s="1815">
        <f t="shared" si="4"/>
        <v>1</v>
      </c>
      <c r="AC31" s="181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8"/>
      <c r="Q32" s="1814" t="str">
        <f t="shared" si="11"/>
        <v>公共部分装修</v>
      </c>
      <c r="R32" s="774" t="s">
        <v>17</v>
      </c>
      <c r="S32" s="775">
        <f t="shared" si="12"/>
        <v>100</v>
      </c>
      <c r="T32" s="774" t="s">
        <v>17</v>
      </c>
      <c r="U32" s="775">
        <f t="shared" si="13"/>
        <v>100</v>
      </c>
      <c r="V32" s="774" t="s">
        <v>17</v>
      </c>
      <c r="W32" s="775">
        <f t="shared" si="14"/>
        <v>100</v>
      </c>
      <c r="X32" s="1817"/>
      <c r="Y32" s="3278"/>
      <c r="Z32" s="1818" t="str">
        <f t="shared" si="15"/>
        <v>公共部分装修</v>
      </c>
      <c r="AA32" s="1815">
        <f t="shared" si="3"/>
        <v>1</v>
      </c>
      <c r="AB32" s="1815">
        <f t="shared" si="4"/>
        <v>1</v>
      </c>
      <c r="AC32" s="181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8"/>
      <c r="Q33" s="1814" t="str">
        <f t="shared" si="11"/>
        <v>成新度</v>
      </c>
      <c r="R33" s="774" t="s">
        <v>17</v>
      </c>
      <c r="S33" s="775" t="e">
        <f t="shared" si="12"/>
        <v>#N/A</v>
      </c>
      <c r="T33" s="774" t="s">
        <v>17</v>
      </c>
      <c r="U33" s="775" t="e">
        <f t="shared" si="13"/>
        <v>#N/A</v>
      </c>
      <c r="V33" s="774" t="s">
        <v>17</v>
      </c>
      <c r="W33" s="775" t="e">
        <f t="shared" si="14"/>
        <v>#N/A</v>
      </c>
      <c r="X33" s="1817"/>
      <c r="Y33" s="3278"/>
      <c r="Z33" s="1818" t="str">
        <f t="shared" si="15"/>
        <v>成新度</v>
      </c>
      <c r="AA33" s="1815" t="e">
        <f t="shared" si="3"/>
        <v>#N/A</v>
      </c>
      <c r="AB33" s="1815" t="e">
        <f t="shared" si="4"/>
        <v>#N/A</v>
      </c>
      <c r="AC33" s="1815"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8"/>
      <c r="Q34" s="1799" t="str">
        <f t="shared" si="11"/>
        <v>物业管理</v>
      </c>
      <c r="R34" s="770" t="s">
        <v>17</v>
      </c>
      <c r="S34" s="771">
        <f t="shared" si="12"/>
        <v>100</v>
      </c>
      <c r="T34" s="770" t="s">
        <v>17</v>
      </c>
      <c r="U34" s="771">
        <f t="shared" si="13"/>
        <v>100</v>
      </c>
      <c r="V34" s="770" t="s">
        <v>17</v>
      </c>
      <c r="W34" s="771">
        <f t="shared" si="14"/>
        <v>100</v>
      </c>
      <c r="X34" s="772"/>
      <c r="Y34" s="3278"/>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8" t="s">
        <v>2563</v>
      </c>
      <c r="Q35" s="1814" t="str">
        <f t="shared" si="11"/>
        <v>市政基础设施</v>
      </c>
      <c r="R35" s="774" t="s">
        <v>17</v>
      </c>
      <c r="S35" s="775">
        <f t="shared" si="12"/>
        <v>100</v>
      </c>
      <c r="T35" s="774" t="s">
        <v>17</v>
      </c>
      <c r="U35" s="775">
        <f t="shared" si="13"/>
        <v>100</v>
      </c>
      <c r="V35" s="774" t="s">
        <v>17</v>
      </c>
      <c r="W35" s="775">
        <f t="shared" si="14"/>
        <v>100</v>
      </c>
      <c r="X35" s="1817"/>
      <c r="Y35" s="3278" t="s">
        <v>2563</v>
      </c>
      <c r="Z35" s="1818" t="str">
        <f t="shared" si="15"/>
        <v>市政基础设施</v>
      </c>
      <c r="AA35" s="1815">
        <f t="shared" si="3"/>
        <v>1</v>
      </c>
      <c r="AB35" s="1815">
        <f t="shared" si="4"/>
        <v>1</v>
      </c>
      <c r="AC35" s="181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8"/>
      <c r="Q36" s="1814" t="str">
        <f t="shared" si="11"/>
        <v>内部装修</v>
      </c>
      <c r="R36" s="774" t="s">
        <v>17</v>
      </c>
      <c r="S36" s="775">
        <f t="shared" si="12"/>
        <v>100</v>
      </c>
      <c r="T36" s="774" t="s">
        <v>17</v>
      </c>
      <c r="U36" s="775">
        <f t="shared" si="13"/>
        <v>100</v>
      </c>
      <c r="V36" s="774" t="s">
        <v>17</v>
      </c>
      <c r="W36" s="775">
        <f t="shared" si="14"/>
        <v>100</v>
      </c>
      <c r="X36" s="1817"/>
      <c r="Y36" s="3278"/>
      <c r="Z36" s="1818" t="str">
        <f t="shared" si="15"/>
        <v>内部装修</v>
      </c>
      <c r="AA36" s="1815">
        <f t="shared" si="3"/>
        <v>1</v>
      </c>
      <c r="AB36" s="1815">
        <f t="shared" si="4"/>
        <v>1</v>
      </c>
      <c r="AC36" s="181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8"/>
      <c r="Q37" s="1814" t="str">
        <f t="shared" si="11"/>
        <v>内部装修状况</v>
      </c>
      <c r="R37" s="774" t="s">
        <v>17</v>
      </c>
      <c r="S37" s="775">
        <f t="shared" si="12"/>
        <v>100</v>
      </c>
      <c r="T37" s="774" t="s">
        <v>17</v>
      </c>
      <c r="U37" s="775">
        <f t="shared" si="13"/>
        <v>100</v>
      </c>
      <c r="V37" s="774" t="s">
        <v>17</v>
      </c>
      <c r="W37" s="775">
        <f t="shared" si="14"/>
        <v>100</v>
      </c>
      <c r="X37" s="1817"/>
      <c r="Y37" s="3278"/>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8"/>
      <c r="Q38" s="776">
        <f t="shared" si="11"/>
        <v>111</v>
      </c>
      <c r="R38" s="777" t="s">
        <v>17</v>
      </c>
      <c r="S38" s="778">
        <f t="shared" si="12"/>
        <v>100</v>
      </c>
      <c r="T38" s="777" t="s">
        <v>17</v>
      </c>
      <c r="U38" s="778">
        <f t="shared" si="13"/>
        <v>100</v>
      </c>
      <c r="V38" s="777" t="s">
        <v>17</v>
      </c>
      <c r="W38" s="778">
        <f t="shared" si="14"/>
        <v>100</v>
      </c>
      <c r="X38" s="779"/>
      <c r="Y38" s="3278"/>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8"/>
      <c r="Q39" s="1814">
        <f t="shared" si="11"/>
        <v>111</v>
      </c>
      <c r="R39" s="774" t="s">
        <v>17</v>
      </c>
      <c r="S39" s="775">
        <f t="shared" si="12"/>
        <v>100</v>
      </c>
      <c r="T39" s="774" t="s">
        <v>17</v>
      </c>
      <c r="U39" s="775">
        <f t="shared" si="13"/>
        <v>100</v>
      </c>
      <c r="V39" s="774" t="s">
        <v>17</v>
      </c>
      <c r="W39" s="775">
        <f t="shared" si="14"/>
        <v>100</v>
      </c>
      <c r="X39" s="1817"/>
      <c r="Y39" s="3278"/>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9"/>
      <c r="Q40" s="1814">
        <f t="shared" si="11"/>
        <v>111</v>
      </c>
      <c r="R40" s="774" t="s">
        <v>17</v>
      </c>
      <c r="S40" s="775">
        <f t="shared" si="12"/>
        <v>100</v>
      </c>
      <c r="T40" s="774" t="s">
        <v>17</v>
      </c>
      <c r="U40" s="775">
        <f t="shared" si="13"/>
        <v>100</v>
      </c>
      <c r="V40" s="774" t="s">
        <v>17</v>
      </c>
      <c r="W40" s="775">
        <f t="shared" si="14"/>
        <v>100</v>
      </c>
      <c r="X40" s="1817"/>
      <c r="Y40" s="3279"/>
      <c r="Z40" s="1818">
        <f t="shared" si="15"/>
        <v>111</v>
      </c>
      <c r="AA40" s="1815">
        <f t="shared" si="3"/>
        <v>1</v>
      </c>
      <c r="AB40" s="1815">
        <f t="shared" si="4"/>
        <v>1</v>
      </c>
      <c r="AC40" s="1815">
        <f t="shared" si="5"/>
        <v>1</v>
      </c>
    </row>
    <row r="41" spans="1:29" ht="15">
      <c r="A41" s="479" t="s">
        <v>2575</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47" t="str">
        <f>A43</f>
        <v>估价对象XX用房的比较价值（楼面单价，元/平方米）</v>
      </c>
      <c r="Q43" s="3348"/>
      <c r="R43" s="3349" t="e">
        <f>IF(F1="售价",ROUND(AVERAGE(R42:V42),0),ROUND(AVERAGE(R42:V42),1))</f>
        <v>#DIV/0!</v>
      </c>
      <c r="S43" s="3349"/>
      <c r="T43" s="3349"/>
      <c r="U43" s="3349"/>
      <c r="V43" s="3349"/>
      <c r="W43" s="334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26"/>
      <c r="F1" s="2586"/>
      <c r="G1" s="1627" t="s">
        <v>2641</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13" t="s">
        <v>2646</v>
      </c>
      <c r="AC4" s="3350" t="s">
        <v>2647</v>
      </c>
    </row>
    <row r="5" spans="1:29"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13"/>
      <c r="AC5" s="3313"/>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354"/>
      <c r="Q6" s="3292"/>
      <c r="R6" s="3295"/>
      <c r="S6" s="3296"/>
      <c r="T6" s="3297"/>
      <c r="U6" s="3298"/>
      <c r="V6" s="3300"/>
      <c r="W6" s="3300"/>
      <c r="X6" s="1817"/>
      <c r="Y6" s="3297"/>
      <c r="Z6" s="3298"/>
      <c r="AA6" s="3314"/>
      <c r="AB6" s="3314"/>
      <c r="AC6" s="3314"/>
    </row>
    <row r="7" spans="1:29" s="116" customFormat="1" ht="15.75" thickBot="1">
      <c r="A7" s="408" t="s">
        <v>2546</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7" t="s">
        <v>2547</v>
      </c>
      <c r="Q7" s="3308"/>
      <c r="R7" s="770" t="s">
        <v>17</v>
      </c>
      <c r="S7" s="771">
        <f t="shared" ref="S7:S14" si="0">F7</f>
        <v>0</v>
      </c>
      <c r="T7" s="770" t="s">
        <v>17</v>
      </c>
      <c r="U7" s="771">
        <f t="shared" ref="U7:U14" si="1">H7</f>
        <v>0</v>
      </c>
      <c r="V7" s="770" t="s">
        <v>17</v>
      </c>
      <c r="W7" s="771">
        <f t="shared" ref="W7:W14" si="2">J7</f>
        <v>0</v>
      </c>
      <c r="X7" s="772"/>
      <c r="Y7" s="3307" t="s">
        <v>2547</v>
      </c>
      <c r="Z7" s="3306"/>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66" t="s">
        <v>2553</v>
      </c>
      <c r="Q9" s="1799" t="str">
        <f t="shared" ref="Q9:Q14" si="6">B9</f>
        <v>用途</v>
      </c>
      <c r="R9" s="770" t="s">
        <v>17</v>
      </c>
      <c r="S9" s="771">
        <f t="shared" si="0"/>
        <v>100</v>
      </c>
      <c r="T9" s="770" t="s">
        <v>17</v>
      </c>
      <c r="U9" s="771">
        <f t="shared" si="1"/>
        <v>100</v>
      </c>
      <c r="V9" s="770" t="s">
        <v>17</v>
      </c>
      <c r="W9" s="771">
        <f t="shared" si="2"/>
        <v>100</v>
      </c>
      <c r="X9" s="772"/>
      <c r="Y9" s="3119"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66"/>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66"/>
      <c r="Q11" s="1799">
        <f t="shared" si="6"/>
        <v>111</v>
      </c>
      <c r="R11" s="770" t="s">
        <v>17</v>
      </c>
      <c r="S11" s="771">
        <f t="shared" si="0"/>
        <v>100</v>
      </c>
      <c r="T11" s="770" t="s">
        <v>17</v>
      </c>
      <c r="U11" s="771">
        <f t="shared" si="1"/>
        <v>100</v>
      </c>
      <c r="V11" s="770" t="s">
        <v>17</v>
      </c>
      <c r="W11" s="771">
        <f t="shared" si="2"/>
        <v>100</v>
      </c>
      <c r="X11" s="772"/>
      <c r="Y11" s="3119"/>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66"/>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66"/>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3" t="s">
        <v>2558</v>
      </c>
      <c r="Q14" s="1814" t="str">
        <f t="shared" si="6"/>
        <v>交通便捷度</v>
      </c>
      <c r="R14" s="774" t="s">
        <v>17</v>
      </c>
      <c r="S14" s="775">
        <f t="shared" si="0"/>
        <v>100</v>
      </c>
      <c r="T14" s="774" t="s">
        <v>17</v>
      </c>
      <c r="U14" s="775">
        <f t="shared" si="1"/>
        <v>100</v>
      </c>
      <c r="V14" s="774" t="s">
        <v>17</v>
      </c>
      <c r="W14" s="775">
        <f t="shared" si="2"/>
        <v>100</v>
      </c>
      <c r="X14" s="1817"/>
      <c r="Y14" s="3273" t="s">
        <v>2558</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74"/>
      <c r="Q15" s="1814"/>
      <c r="R15" s="774"/>
      <c r="S15" s="775"/>
      <c r="T15" s="774"/>
      <c r="U15" s="775"/>
      <c r="V15" s="774"/>
      <c r="W15" s="775"/>
      <c r="X15" s="1817"/>
      <c r="Y15" s="3274"/>
      <c r="Z15" s="1818"/>
      <c r="AA15" s="1815">
        <v>1</v>
      </c>
      <c r="AB15" s="1815">
        <v>1</v>
      </c>
      <c r="AC15" s="1815">
        <v>1</v>
      </c>
    </row>
    <row r="16" spans="1:29" ht="199.5">
      <c r="A16" s="404"/>
      <c r="B16" s="63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4"/>
      <c r="Q16" s="1814" t="str">
        <f>B16</f>
        <v>公共配套设施</v>
      </c>
      <c r="R16" s="774" t="s">
        <v>17</v>
      </c>
      <c r="S16" s="775">
        <f>F16</f>
        <v>100</v>
      </c>
      <c r="T16" s="774" t="s">
        <v>17</v>
      </c>
      <c r="U16" s="775">
        <f>H16</f>
        <v>100</v>
      </c>
      <c r="V16" s="774" t="s">
        <v>17</v>
      </c>
      <c r="W16" s="775">
        <f>J16</f>
        <v>100</v>
      </c>
      <c r="X16" s="1817"/>
      <c r="Y16" s="3274"/>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74"/>
      <c r="Q17" s="1814"/>
      <c r="R17" s="774"/>
      <c r="S17" s="775"/>
      <c r="T17" s="774"/>
      <c r="U17" s="775"/>
      <c r="V17" s="774"/>
      <c r="W17" s="775"/>
      <c r="X17" s="1817"/>
      <c r="Y17" s="3274"/>
      <c r="Z17" s="1818"/>
      <c r="AA17" s="1815">
        <v>1</v>
      </c>
      <c r="AB17" s="1815">
        <v>1</v>
      </c>
      <c r="AC17" s="1815">
        <v>1</v>
      </c>
    </row>
    <row r="18" spans="1:29" ht="42.75">
      <c r="A18" s="404"/>
      <c r="B18" s="633" t="s">
        <v>2687</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4"/>
      <c r="Q18" s="1814" t="str">
        <f>B18</f>
        <v>基础设施水平</v>
      </c>
      <c r="R18" s="774" t="s">
        <v>17</v>
      </c>
      <c r="S18" s="775">
        <f>F18</f>
        <v>100</v>
      </c>
      <c r="T18" s="774" t="s">
        <v>17</v>
      </c>
      <c r="U18" s="775">
        <f>H18</f>
        <v>100</v>
      </c>
      <c r="V18" s="774" t="s">
        <v>17</v>
      </c>
      <c r="W18" s="775">
        <f>J18</f>
        <v>100</v>
      </c>
      <c r="X18" s="1817"/>
      <c r="Y18" s="3274"/>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74"/>
      <c r="Q19" s="1814"/>
      <c r="R19" s="774"/>
      <c r="S19" s="775"/>
      <c r="T19" s="774"/>
      <c r="U19" s="775"/>
      <c r="V19" s="774"/>
      <c r="W19" s="775"/>
      <c r="X19" s="1817"/>
      <c r="Y19" s="3274"/>
      <c r="Z19" s="1818"/>
      <c r="AA19" s="1815">
        <v>1</v>
      </c>
      <c r="AB19" s="1815">
        <v>1</v>
      </c>
      <c r="AC19" s="1815">
        <v>1</v>
      </c>
    </row>
    <row r="20" spans="1:29" ht="142.5">
      <c r="A20" s="404"/>
      <c r="B20" s="63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4"/>
      <c r="Q20" s="1814" t="str">
        <f>B20</f>
        <v>自然及人文环境</v>
      </c>
      <c r="R20" s="774" t="s">
        <v>17</v>
      </c>
      <c r="S20" s="775">
        <f>F20</f>
        <v>100</v>
      </c>
      <c r="T20" s="774" t="s">
        <v>17</v>
      </c>
      <c r="U20" s="775">
        <f>H20</f>
        <v>100</v>
      </c>
      <c r="V20" s="774" t="s">
        <v>17</v>
      </c>
      <c r="W20" s="775">
        <f>J20</f>
        <v>100</v>
      </c>
      <c r="X20" s="1817"/>
      <c r="Y20" s="3274"/>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74"/>
      <c r="Q21" s="1814"/>
      <c r="R21" s="774"/>
      <c r="S21" s="775"/>
      <c r="T21" s="774"/>
      <c r="U21" s="775"/>
      <c r="V21" s="774"/>
      <c r="W21" s="775"/>
      <c r="X21" s="1817"/>
      <c r="Y21" s="3274"/>
      <c r="Z21" s="1818"/>
      <c r="AA21" s="1815">
        <v>1</v>
      </c>
      <c r="AB21" s="1815">
        <v>1</v>
      </c>
      <c r="AC21" s="181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4"/>
      <c r="Q22" s="1814" t="str">
        <f>B22</f>
        <v>楼层</v>
      </c>
      <c r="R22" s="774" t="s">
        <v>17</v>
      </c>
      <c r="S22" s="775">
        <f>F22</f>
        <v>100</v>
      </c>
      <c r="T22" s="774" t="s">
        <v>17</v>
      </c>
      <c r="U22" s="775">
        <f>H22</f>
        <v>100</v>
      </c>
      <c r="V22" s="774" t="s">
        <v>17</v>
      </c>
      <c r="W22" s="775">
        <f>J22</f>
        <v>100</v>
      </c>
      <c r="X22" s="1817"/>
      <c r="Y22" s="3274"/>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4"/>
      <c r="Q23" s="1814">
        <f>B23</f>
        <v>111</v>
      </c>
      <c r="R23" s="774" t="s">
        <v>17</v>
      </c>
      <c r="S23" s="775">
        <f>F23</f>
        <v>100</v>
      </c>
      <c r="T23" s="774" t="s">
        <v>17</v>
      </c>
      <c r="U23" s="775">
        <f>H23</f>
        <v>100</v>
      </c>
      <c r="V23" s="774" t="s">
        <v>17</v>
      </c>
      <c r="W23" s="775">
        <f>J23</f>
        <v>100</v>
      </c>
      <c r="X23" s="1817"/>
      <c r="Y23" s="3274"/>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4"/>
      <c r="Q24" s="1814">
        <f t="shared" ref="Q24:Q36" si="11">B24</f>
        <v>111</v>
      </c>
      <c r="R24" s="774" t="s">
        <v>17</v>
      </c>
      <c r="S24" s="775">
        <f>F24</f>
        <v>100</v>
      </c>
      <c r="T24" s="774" t="s">
        <v>17</v>
      </c>
      <c r="U24" s="775">
        <f>H24</f>
        <v>100</v>
      </c>
      <c r="V24" s="774" t="s">
        <v>17</v>
      </c>
      <c r="W24" s="775">
        <f>J24</f>
        <v>100</v>
      </c>
      <c r="X24" s="1817"/>
      <c r="Y24" s="3274"/>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4"/>
      <c r="Q25" s="1799">
        <f t="shared" si="11"/>
        <v>111</v>
      </c>
      <c r="R25" s="770" t="s">
        <v>17</v>
      </c>
      <c r="S25" s="771">
        <f>F25</f>
        <v>100</v>
      </c>
      <c r="T25" s="770" t="s">
        <v>17</v>
      </c>
      <c r="U25" s="771">
        <f>H25</f>
        <v>100</v>
      </c>
      <c r="V25" s="770" t="s">
        <v>17</v>
      </c>
      <c r="W25" s="771">
        <f>J25</f>
        <v>100</v>
      </c>
      <c r="X25" s="772"/>
      <c r="Y25" s="3274"/>
      <c r="Z25" s="54">
        <f>Q25</f>
        <v>111</v>
      </c>
      <c r="AA25" s="1815">
        <f>D25/F25</f>
        <v>1</v>
      </c>
      <c r="AB25" s="1815">
        <f>D25/H25</f>
        <v>1</v>
      </c>
      <c r="AC25" s="1815">
        <f>D25/J25</f>
        <v>1</v>
      </c>
    </row>
    <row r="26" spans="1:29" ht="15">
      <c r="A26" s="652" t="s">
        <v>2561</v>
      </c>
      <c r="B26" s="69"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58" t="s">
        <v>2563</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78" t="s">
        <v>2563</v>
      </c>
      <c r="Z26" s="1818" t="str">
        <f t="shared" ref="Z26:Z36" si="15">Q26</f>
        <v>配套类型</v>
      </c>
      <c r="AA26" s="1815">
        <f t="shared" si="3"/>
        <v>1</v>
      </c>
      <c r="AB26" s="1815">
        <f t="shared" si="4"/>
        <v>1</v>
      </c>
      <c r="AC26" s="1815">
        <f t="shared" si="5"/>
        <v>1</v>
      </c>
    </row>
    <row r="27" spans="1:29" s="471" customFormat="1" ht="15">
      <c r="A27" s="653"/>
      <c r="B27" s="654" t="s">
        <v>2711</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8"/>
      <c r="Q27" s="776" t="str">
        <f t="shared" si="11"/>
        <v>项目停车位配比</v>
      </c>
      <c r="R27" s="777" t="s">
        <v>17</v>
      </c>
      <c r="S27" s="778">
        <f t="shared" si="12"/>
        <v>100</v>
      </c>
      <c r="T27" s="777" t="s">
        <v>17</v>
      </c>
      <c r="U27" s="778">
        <f t="shared" si="13"/>
        <v>100</v>
      </c>
      <c r="V27" s="777" t="s">
        <v>17</v>
      </c>
      <c r="W27" s="778">
        <f t="shared" si="14"/>
        <v>100</v>
      </c>
      <c r="X27" s="779"/>
      <c r="Y27" s="3278"/>
      <c r="Z27" s="780" t="str">
        <f t="shared" si="15"/>
        <v>项目停车位配比</v>
      </c>
      <c r="AA27" s="1815">
        <f t="shared" si="3"/>
        <v>1</v>
      </c>
      <c r="AB27" s="1815">
        <f t="shared" si="4"/>
        <v>1</v>
      </c>
      <c r="AC27" s="181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8"/>
      <c r="Q28" s="1814" t="str">
        <f t="shared" si="11"/>
        <v>公共部分装修</v>
      </c>
      <c r="R28" s="774" t="s">
        <v>17</v>
      </c>
      <c r="S28" s="775">
        <f t="shared" si="12"/>
        <v>100</v>
      </c>
      <c r="T28" s="774" t="s">
        <v>17</v>
      </c>
      <c r="U28" s="775">
        <f t="shared" si="13"/>
        <v>100</v>
      </c>
      <c r="V28" s="774" t="s">
        <v>17</v>
      </c>
      <c r="W28" s="775">
        <f t="shared" si="14"/>
        <v>100</v>
      </c>
      <c r="X28" s="1817"/>
      <c r="Y28" s="3278"/>
      <c r="Z28" s="1818" t="str">
        <f t="shared" si="15"/>
        <v>公共部分装修</v>
      </c>
      <c r="AA28" s="1815">
        <f t="shared" si="3"/>
        <v>1</v>
      </c>
      <c r="AB28" s="1815">
        <f t="shared" si="4"/>
        <v>1</v>
      </c>
      <c r="AC28" s="181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8"/>
      <c r="Q29" s="1814" t="str">
        <f t="shared" si="11"/>
        <v>成新率</v>
      </c>
      <c r="R29" s="774" t="s">
        <v>17</v>
      </c>
      <c r="S29" s="775" t="e">
        <f t="shared" si="12"/>
        <v>#N/A</v>
      </c>
      <c r="T29" s="774" t="s">
        <v>17</v>
      </c>
      <c r="U29" s="775" t="e">
        <f t="shared" si="13"/>
        <v>#N/A</v>
      </c>
      <c r="V29" s="774" t="s">
        <v>17</v>
      </c>
      <c r="W29" s="775" t="e">
        <f t="shared" si="14"/>
        <v>#N/A</v>
      </c>
      <c r="X29" s="1817"/>
      <c r="Y29" s="3278"/>
      <c r="Z29" s="1818" t="str">
        <f t="shared" si="15"/>
        <v>成新率</v>
      </c>
      <c r="AA29" s="1815" t="e">
        <f t="shared" si="3"/>
        <v>#N/A</v>
      </c>
      <c r="AB29" s="1815" t="e">
        <f t="shared" si="4"/>
        <v>#N/A</v>
      </c>
      <c r="AC29" s="181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8"/>
      <c r="Q30" s="1814" t="str">
        <f t="shared" si="11"/>
        <v>物业等级</v>
      </c>
      <c r="R30" s="774" t="s">
        <v>17</v>
      </c>
      <c r="S30" s="775">
        <f t="shared" si="12"/>
        <v>100</v>
      </c>
      <c r="T30" s="774" t="s">
        <v>17</v>
      </c>
      <c r="U30" s="775">
        <f t="shared" si="13"/>
        <v>100</v>
      </c>
      <c r="V30" s="774" t="s">
        <v>17</v>
      </c>
      <c r="W30" s="775">
        <f t="shared" si="14"/>
        <v>100</v>
      </c>
      <c r="X30" s="1817"/>
      <c r="Y30" s="3278"/>
      <c r="Z30" s="1818" t="str">
        <f t="shared" si="15"/>
        <v>物业等级</v>
      </c>
      <c r="AA30" s="1815">
        <f t="shared" si="3"/>
        <v>1</v>
      </c>
      <c r="AB30" s="1815">
        <f t="shared" si="4"/>
        <v>1</v>
      </c>
      <c r="AC30" s="1815">
        <f t="shared" si="5"/>
        <v>1</v>
      </c>
    </row>
    <row r="31" spans="1:29" s="116" customFormat="1" ht="15">
      <c r="A31" s="658"/>
      <c r="B31" s="654" t="s">
        <v>2715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8"/>
      <c r="Q31" s="1799" t="str">
        <f t="shared" si="11"/>
        <v>停车位面积</v>
      </c>
      <c r="R31" s="770" t="s">
        <v>17</v>
      </c>
      <c r="S31" s="771" t="e">
        <f t="shared" si="12"/>
        <v>#N/A</v>
      </c>
      <c r="T31" s="770" t="s">
        <v>17</v>
      </c>
      <c r="U31" s="771" t="e">
        <f t="shared" si="13"/>
        <v>#N/A</v>
      </c>
      <c r="V31" s="770" t="s">
        <v>17</v>
      </c>
      <c r="W31" s="771" t="e">
        <f t="shared" si="14"/>
        <v>#N/A</v>
      </c>
      <c r="X31" s="772"/>
      <c r="Y31" s="3278"/>
      <c r="Z31" s="54"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8" t="s">
        <v>2563</v>
      </c>
      <c r="Q32" s="1814" t="str">
        <f t="shared" si="11"/>
        <v>车位类型</v>
      </c>
      <c r="R32" s="774" t="s">
        <v>17</v>
      </c>
      <c r="S32" s="775">
        <f t="shared" si="12"/>
        <v>100</v>
      </c>
      <c r="T32" s="774" t="s">
        <v>17</v>
      </c>
      <c r="U32" s="775">
        <f t="shared" si="13"/>
        <v>100</v>
      </c>
      <c r="V32" s="774" t="s">
        <v>17</v>
      </c>
      <c r="W32" s="775">
        <f t="shared" si="14"/>
        <v>100</v>
      </c>
      <c r="X32" s="1817"/>
      <c r="Y32" s="3278" t="s">
        <v>2563</v>
      </c>
      <c r="Z32" s="1818" t="str">
        <f t="shared" si="15"/>
        <v>车位类型</v>
      </c>
      <c r="AA32" s="1815">
        <f t="shared" si="3"/>
        <v>1</v>
      </c>
      <c r="AB32" s="1815">
        <f t="shared" si="4"/>
        <v>1</v>
      </c>
      <c r="AC32" s="181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8"/>
      <c r="Q33" s="1814" t="str">
        <f t="shared" si="11"/>
        <v>是否直接入户</v>
      </c>
      <c r="R33" s="774" t="s">
        <v>17</v>
      </c>
      <c r="S33" s="775">
        <f t="shared" si="12"/>
        <v>100</v>
      </c>
      <c r="T33" s="774" t="s">
        <v>17</v>
      </c>
      <c r="U33" s="775">
        <f t="shared" si="13"/>
        <v>100</v>
      </c>
      <c r="V33" s="774" t="s">
        <v>17</v>
      </c>
      <c r="W33" s="775">
        <f t="shared" si="14"/>
        <v>100</v>
      </c>
      <c r="X33" s="1817"/>
      <c r="Y33" s="3278"/>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8"/>
      <c r="Q34" s="1814">
        <f t="shared" si="11"/>
        <v>111</v>
      </c>
      <c r="R34" s="774" t="s">
        <v>17</v>
      </c>
      <c r="S34" s="775">
        <f t="shared" si="12"/>
        <v>100</v>
      </c>
      <c r="T34" s="774" t="s">
        <v>17</v>
      </c>
      <c r="U34" s="775">
        <f t="shared" si="13"/>
        <v>100</v>
      </c>
      <c r="V34" s="774" t="s">
        <v>17</v>
      </c>
      <c r="W34" s="775">
        <f t="shared" si="14"/>
        <v>100</v>
      </c>
      <c r="X34" s="1817"/>
      <c r="Y34" s="3278"/>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8"/>
      <c r="Q35" s="776">
        <f t="shared" si="11"/>
        <v>111</v>
      </c>
      <c r="R35" s="777" t="s">
        <v>17</v>
      </c>
      <c r="S35" s="778">
        <f t="shared" si="12"/>
        <v>100</v>
      </c>
      <c r="T35" s="777" t="s">
        <v>17</v>
      </c>
      <c r="U35" s="778">
        <f t="shared" si="13"/>
        <v>100</v>
      </c>
      <c r="V35" s="777" t="s">
        <v>17</v>
      </c>
      <c r="W35" s="778">
        <f t="shared" si="14"/>
        <v>100</v>
      </c>
      <c r="X35" s="779"/>
      <c r="Y35" s="3278"/>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8"/>
      <c r="Q36" s="1814">
        <f t="shared" si="11"/>
        <v>111</v>
      </c>
      <c r="R36" s="774" t="s">
        <v>17</v>
      </c>
      <c r="S36" s="775">
        <f t="shared" si="12"/>
        <v>100</v>
      </c>
      <c r="T36" s="774" t="s">
        <v>17</v>
      </c>
      <c r="U36" s="775">
        <f t="shared" si="13"/>
        <v>100</v>
      </c>
      <c r="V36" s="774" t="s">
        <v>17</v>
      </c>
      <c r="W36" s="775">
        <f t="shared" si="14"/>
        <v>100</v>
      </c>
      <c r="X36" s="1817"/>
      <c r="Y36" s="3278"/>
      <c r="Z36" s="1818">
        <f t="shared" si="15"/>
        <v>111</v>
      </c>
      <c r="AA36" s="1815">
        <f t="shared" si="3"/>
        <v>1</v>
      </c>
      <c r="AB36" s="1815">
        <f t="shared" si="4"/>
        <v>1</v>
      </c>
      <c r="AC36" s="1815">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47" t="str">
        <f>A39</f>
        <v>估价对象XX用房的比较价值（楼面单价，元/平方米）</v>
      </c>
      <c r="Q39" s="3348"/>
      <c r="R39" s="3349" t="e">
        <f>IF(F1="售价",ROUND(AVERAGE(R38:V38),0),ROUND(AVERAGE(R38:V38),1))</f>
        <v>#DIV/0!</v>
      </c>
      <c r="S39" s="3349"/>
      <c r="T39" s="3349"/>
      <c r="U39" s="3349"/>
      <c r="V39" s="3349"/>
      <c r="W39" s="334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13" t="s">
        <v>2646</v>
      </c>
      <c r="AC4" s="3350" t="s">
        <v>2647</v>
      </c>
    </row>
    <row r="5" spans="1:29"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13"/>
      <c r="AC5" s="3313"/>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354"/>
      <c r="Q6" s="3292"/>
      <c r="R6" s="3295"/>
      <c r="S6" s="3296"/>
      <c r="T6" s="3297"/>
      <c r="U6" s="3298"/>
      <c r="V6" s="3300"/>
      <c r="W6" s="3300"/>
      <c r="X6" s="1817"/>
      <c r="Y6" s="3297"/>
      <c r="Z6" s="3298"/>
      <c r="AA6" s="3314"/>
      <c r="AB6" s="3314"/>
      <c r="AC6" s="3314"/>
    </row>
    <row r="7" spans="1:29" s="116" customFormat="1" ht="15.75" thickBot="1">
      <c r="A7" s="408" t="s">
        <v>2546</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307" t="s">
        <v>2547</v>
      </c>
      <c r="Q7" s="3308"/>
      <c r="R7" s="770" t="s">
        <v>17</v>
      </c>
      <c r="S7" s="771">
        <f t="shared" ref="S7:S14" si="0">F7</f>
        <v>0</v>
      </c>
      <c r="T7" s="770" t="s">
        <v>17</v>
      </c>
      <c r="U7" s="771">
        <f t="shared" ref="U7:U14" si="1">H7</f>
        <v>0</v>
      </c>
      <c r="V7" s="770" t="s">
        <v>17</v>
      </c>
      <c r="W7" s="771">
        <f t="shared" ref="W7:W14" si="2">J7</f>
        <v>0</v>
      </c>
      <c r="X7" s="772"/>
      <c r="Y7" s="3307" t="s">
        <v>2547</v>
      </c>
      <c r="Z7" s="3306"/>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66" t="s">
        <v>2553</v>
      </c>
      <c r="Q9" s="1799" t="str">
        <f t="shared" ref="Q9:Q14" si="6">B9</f>
        <v>用途</v>
      </c>
      <c r="R9" s="770" t="s">
        <v>17</v>
      </c>
      <c r="S9" s="771">
        <f t="shared" si="0"/>
        <v>100</v>
      </c>
      <c r="T9" s="770" t="s">
        <v>17</v>
      </c>
      <c r="U9" s="771">
        <f t="shared" si="1"/>
        <v>100</v>
      </c>
      <c r="V9" s="770" t="s">
        <v>17</v>
      </c>
      <c r="W9" s="771">
        <f t="shared" si="2"/>
        <v>100</v>
      </c>
      <c r="X9" s="772"/>
      <c r="Y9" s="3119"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66"/>
      <c r="Q10" s="1799" t="str">
        <f t="shared" si="6"/>
        <v>土地使用年限（年）</v>
      </c>
      <c r="R10" s="770" t="s">
        <v>17</v>
      </c>
      <c r="S10" s="771">
        <f t="shared" si="0"/>
        <v>100</v>
      </c>
      <c r="T10" s="770" t="s">
        <v>17</v>
      </c>
      <c r="U10" s="771">
        <f t="shared" si="1"/>
        <v>100</v>
      </c>
      <c r="V10" s="770" t="s">
        <v>17</v>
      </c>
      <c r="W10" s="771">
        <f t="shared" si="2"/>
        <v>100</v>
      </c>
      <c r="X10" s="772"/>
      <c r="Y10" s="3119"/>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66"/>
      <c r="Q11" s="1799">
        <f t="shared" si="6"/>
        <v>111</v>
      </c>
      <c r="R11" s="770" t="s">
        <v>17</v>
      </c>
      <c r="S11" s="771">
        <f t="shared" si="0"/>
        <v>100</v>
      </c>
      <c r="T11" s="770" t="s">
        <v>17</v>
      </c>
      <c r="U11" s="771">
        <f t="shared" si="1"/>
        <v>100</v>
      </c>
      <c r="V11" s="770" t="s">
        <v>17</v>
      </c>
      <c r="W11" s="771">
        <f t="shared" si="2"/>
        <v>100</v>
      </c>
      <c r="X11" s="772"/>
      <c r="Y11" s="3119"/>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66"/>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66"/>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773">
        <f t="shared" si="5"/>
        <v>1</v>
      </c>
    </row>
    <row r="14" spans="1:29" ht="128.25">
      <c r="A14" s="440" t="s">
        <v>2557</v>
      </c>
      <c r="B14" s="68"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3" t="s">
        <v>2558</v>
      </c>
      <c r="Q14" s="1814" t="str">
        <f t="shared" si="6"/>
        <v>交通便捷度</v>
      </c>
      <c r="R14" s="774" t="s">
        <v>17</v>
      </c>
      <c r="S14" s="775">
        <f t="shared" si="0"/>
        <v>100</v>
      </c>
      <c r="T14" s="774" t="s">
        <v>17</v>
      </c>
      <c r="U14" s="775">
        <f t="shared" si="1"/>
        <v>100</v>
      </c>
      <c r="V14" s="774" t="s">
        <v>17</v>
      </c>
      <c r="W14" s="775">
        <f t="shared" si="2"/>
        <v>100</v>
      </c>
      <c r="X14" s="1817"/>
      <c r="Y14" s="3273" t="s">
        <v>2558</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74"/>
      <c r="Q15" s="1814"/>
      <c r="R15" s="774"/>
      <c r="S15" s="775"/>
      <c r="T15" s="774"/>
      <c r="U15" s="775"/>
      <c r="V15" s="774"/>
      <c r="W15" s="775"/>
      <c r="X15" s="1817"/>
      <c r="Y15" s="3274"/>
      <c r="Z15" s="1818"/>
      <c r="AA15" s="1815">
        <v>1</v>
      </c>
      <c r="AB15" s="1815">
        <v>1</v>
      </c>
      <c r="AC15" s="1815">
        <v>1</v>
      </c>
    </row>
    <row r="16" spans="1:29" ht="199.5">
      <c r="A16" s="428"/>
      <c r="B16" s="45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4"/>
      <c r="Q16" s="1814" t="str">
        <f>B16</f>
        <v>公共配套设施</v>
      </c>
      <c r="R16" s="774" t="s">
        <v>17</v>
      </c>
      <c r="S16" s="775">
        <f>F16</f>
        <v>100</v>
      </c>
      <c r="T16" s="774" t="s">
        <v>17</v>
      </c>
      <c r="U16" s="775">
        <f>H16</f>
        <v>100</v>
      </c>
      <c r="V16" s="774" t="s">
        <v>17</v>
      </c>
      <c r="W16" s="775">
        <f>J16</f>
        <v>100</v>
      </c>
      <c r="X16" s="1817"/>
      <c r="Y16" s="3274"/>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74"/>
      <c r="Q17" s="1814"/>
      <c r="R17" s="774"/>
      <c r="S17" s="775"/>
      <c r="T17" s="774"/>
      <c r="U17" s="775"/>
      <c r="V17" s="774"/>
      <c r="W17" s="775"/>
      <c r="X17" s="1817"/>
      <c r="Y17" s="3274"/>
      <c r="Z17" s="1818"/>
      <c r="AA17" s="1815">
        <v>1</v>
      </c>
      <c r="AB17" s="1815">
        <v>1</v>
      </c>
      <c r="AC17" s="1815">
        <v>1</v>
      </c>
    </row>
    <row r="18" spans="1:29" ht="42.75">
      <c r="A18" s="428"/>
      <c r="B18" s="1387" t="s">
        <v>2687</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4"/>
      <c r="Q18" s="1814" t="str">
        <f>B18</f>
        <v>基础设施水平</v>
      </c>
      <c r="R18" s="774" t="s">
        <v>17</v>
      </c>
      <c r="S18" s="775">
        <f>F18</f>
        <v>100</v>
      </c>
      <c r="T18" s="774" t="s">
        <v>17</v>
      </c>
      <c r="U18" s="775">
        <f>H18</f>
        <v>100</v>
      </c>
      <c r="V18" s="774" t="s">
        <v>17</v>
      </c>
      <c r="W18" s="775">
        <f>J18</f>
        <v>100</v>
      </c>
      <c r="X18" s="1817"/>
      <c r="Y18" s="3274"/>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74"/>
      <c r="Q19" s="1814"/>
      <c r="R19" s="774"/>
      <c r="S19" s="775"/>
      <c r="T19" s="774"/>
      <c r="U19" s="775"/>
      <c r="V19" s="774"/>
      <c r="W19" s="775"/>
      <c r="X19" s="1817"/>
      <c r="Y19" s="3274"/>
      <c r="Z19" s="1818"/>
      <c r="AA19" s="1815">
        <v>1</v>
      </c>
      <c r="AB19" s="1815">
        <v>1</v>
      </c>
      <c r="AC19" s="1815">
        <v>1</v>
      </c>
    </row>
    <row r="20" spans="1:29" ht="142.5">
      <c r="A20" s="428"/>
      <c r="B20" s="45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4"/>
      <c r="Q20" s="1814" t="str">
        <f>B20</f>
        <v>自然及人文环境</v>
      </c>
      <c r="R20" s="774" t="s">
        <v>17</v>
      </c>
      <c r="S20" s="775">
        <f>F20</f>
        <v>100</v>
      </c>
      <c r="T20" s="774" t="s">
        <v>17</v>
      </c>
      <c r="U20" s="775">
        <f>H20</f>
        <v>100</v>
      </c>
      <c r="V20" s="774" t="s">
        <v>17</v>
      </c>
      <c r="W20" s="775">
        <f>J20</f>
        <v>100</v>
      </c>
      <c r="X20" s="1817"/>
      <c r="Y20" s="3274"/>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74"/>
      <c r="Q21" s="1814"/>
      <c r="R21" s="774"/>
      <c r="S21" s="775"/>
      <c r="T21" s="774"/>
      <c r="U21" s="775"/>
      <c r="V21" s="774"/>
      <c r="W21" s="775"/>
      <c r="X21" s="1817"/>
      <c r="Y21" s="3274"/>
      <c r="Z21" s="1818"/>
      <c r="AA21" s="1815">
        <v>1</v>
      </c>
      <c r="AB21" s="1815">
        <v>1</v>
      </c>
      <c r="AC21" s="181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4"/>
      <c r="Q22" s="1814" t="str">
        <f>B22</f>
        <v>楼层</v>
      </c>
      <c r="R22" s="774" t="s">
        <v>17</v>
      </c>
      <c r="S22" s="775">
        <f>F22</f>
        <v>100</v>
      </c>
      <c r="T22" s="774" t="s">
        <v>17</v>
      </c>
      <c r="U22" s="775">
        <f>H22</f>
        <v>100</v>
      </c>
      <c r="V22" s="774" t="s">
        <v>17</v>
      </c>
      <c r="W22" s="775">
        <f>J22</f>
        <v>100</v>
      </c>
      <c r="X22" s="1817"/>
      <c r="Y22" s="3274"/>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4"/>
      <c r="Q23" s="1814">
        <f>B23</f>
        <v>111</v>
      </c>
      <c r="R23" s="774" t="s">
        <v>17</v>
      </c>
      <c r="S23" s="775">
        <f>F23</f>
        <v>100</v>
      </c>
      <c r="T23" s="774" t="s">
        <v>17</v>
      </c>
      <c r="U23" s="775">
        <f>H23</f>
        <v>100</v>
      </c>
      <c r="V23" s="774" t="s">
        <v>17</v>
      </c>
      <c r="W23" s="775">
        <f>J23</f>
        <v>100</v>
      </c>
      <c r="X23" s="1817"/>
      <c r="Y23" s="3274"/>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4"/>
      <c r="Q24" s="1814">
        <f t="shared" ref="Q24:Q34" si="11">B24</f>
        <v>111</v>
      </c>
      <c r="R24" s="774" t="s">
        <v>17</v>
      </c>
      <c r="S24" s="775">
        <f>F24</f>
        <v>100</v>
      </c>
      <c r="T24" s="774" t="s">
        <v>17</v>
      </c>
      <c r="U24" s="775">
        <f>H24</f>
        <v>100</v>
      </c>
      <c r="V24" s="774" t="s">
        <v>17</v>
      </c>
      <c r="W24" s="775">
        <f>J24</f>
        <v>100</v>
      </c>
      <c r="X24" s="1817"/>
      <c r="Y24" s="3274"/>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74"/>
      <c r="Q25" s="1799">
        <f t="shared" si="11"/>
        <v>111</v>
      </c>
      <c r="R25" s="770" t="s">
        <v>17</v>
      </c>
      <c r="S25" s="771">
        <f>F25</f>
        <v>100</v>
      </c>
      <c r="T25" s="770" t="s">
        <v>17</v>
      </c>
      <c r="U25" s="771">
        <f>H25</f>
        <v>100</v>
      </c>
      <c r="V25" s="770" t="s">
        <v>17</v>
      </c>
      <c r="W25" s="771">
        <f>J25</f>
        <v>100</v>
      </c>
      <c r="X25" s="772"/>
      <c r="Y25" s="3274"/>
      <c r="Z25" s="54">
        <f>Q25</f>
        <v>111</v>
      </c>
      <c r="AA25" s="1815">
        <f>D25/F25</f>
        <v>1</v>
      </c>
      <c r="AB25" s="1815">
        <f>D25/H25</f>
        <v>1</v>
      </c>
      <c r="AC25" s="1815">
        <f>D25/J25</f>
        <v>1</v>
      </c>
    </row>
    <row r="26" spans="1:29" ht="15">
      <c r="A26" s="466" t="s">
        <v>2561</v>
      </c>
      <c r="B26" s="70"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58" t="s">
        <v>2563</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78" t="s">
        <v>2563</v>
      </c>
      <c r="Z26" s="1818" t="str">
        <f t="shared" ref="Z26:Z34" si="15">Q26</f>
        <v>公共部分装修</v>
      </c>
      <c r="AA26" s="1815">
        <f t="shared" si="3"/>
        <v>1</v>
      </c>
      <c r="AB26" s="1815">
        <f t="shared" si="4"/>
        <v>1</v>
      </c>
      <c r="AC26" s="1815">
        <f t="shared" si="5"/>
        <v>1</v>
      </c>
    </row>
    <row r="27" spans="1:29" s="471" customFormat="1" ht="15">
      <c r="A27" s="468"/>
      <c r="B27" s="422" t="s">
        <v>2713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8"/>
      <c r="Q27" s="776" t="str">
        <f t="shared" si="11"/>
        <v>成新率</v>
      </c>
      <c r="R27" s="777" t="s">
        <v>17</v>
      </c>
      <c r="S27" s="778" t="e">
        <f t="shared" si="12"/>
        <v>#N/A</v>
      </c>
      <c r="T27" s="777" t="s">
        <v>17</v>
      </c>
      <c r="U27" s="778" t="e">
        <f t="shared" si="13"/>
        <v>#N/A</v>
      </c>
      <c r="V27" s="777" t="s">
        <v>17</v>
      </c>
      <c r="W27" s="778" t="e">
        <f t="shared" si="14"/>
        <v>#N/A</v>
      </c>
      <c r="X27" s="779"/>
      <c r="Y27" s="3278"/>
      <c r="Z27" s="780" t="str">
        <f t="shared" si="15"/>
        <v>成新率</v>
      </c>
      <c r="AA27" s="1815" t="e">
        <f t="shared" si="3"/>
        <v>#N/A</v>
      </c>
      <c r="AB27" s="1815" t="e">
        <f t="shared" si="4"/>
        <v>#N/A</v>
      </c>
      <c r="AC27" s="181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8"/>
      <c r="Q28" s="1814" t="str">
        <f t="shared" si="11"/>
        <v>物业等级</v>
      </c>
      <c r="R28" s="774" t="s">
        <v>17</v>
      </c>
      <c r="S28" s="775">
        <f t="shared" si="12"/>
        <v>100</v>
      </c>
      <c r="T28" s="774" t="s">
        <v>17</v>
      </c>
      <c r="U28" s="775">
        <f t="shared" si="13"/>
        <v>100</v>
      </c>
      <c r="V28" s="774" t="s">
        <v>17</v>
      </c>
      <c r="W28" s="775">
        <f t="shared" si="14"/>
        <v>100</v>
      </c>
      <c r="X28" s="1817"/>
      <c r="Y28" s="3278"/>
      <c r="Z28" s="1818" t="str">
        <f t="shared" si="15"/>
        <v>物业等级</v>
      </c>
      <c r="AA28" s="1815">
        <f t="shared" si="3"/>
        <v>1</v>
      </c>
      <c r="AB28" s="1815">
        <f t="shared" si="4"/>
        <v>1</v>
      </c>
      <c r="AC28" s="181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8"/>
      <c r="Q29" s="1814" t="str">
        <f t="shared" si="11"/>
        <v>有无电梯</v>
      </c>
      <c r="R29" s="774" t="s">
        <v>17</v>
      </c>
      <c r="S29" s="775">
        <f t="shared" si="12"/>
        <v>100</v>
      </c>
      <c r="T29" s="774" t="s">
        <v>17</v>
      </c>
      <c r="U29" s="775">
        <f t="shared" si="13"/>
        <v>100</v>
      </c>
      <c r="V29" s="774" t="s">
        <v>17</v>
      </c>
      <c r="W29" s="775">
        <f t="shared" si="14"/>
        <v>100</v>
      </c>
      <c r="X29" s="1817"/>
      <c r="Y29" s="3278"/>
      <c r="Z29" s="1818" t="str">
        <f t="shared" si="15"/>
        <v>有无电梯</v>
      </c>
      <c r="AA29" s="1815">
        <f t="shared" si="3"/>
        <v>1</v>
      </c>
      <c r="AB29" s="1815">
        <f t="shared" si="4"/>
        <v>1</v>
      </c>
      <c r="AC29" s="181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8"/>
      <c r="Q30" s="1814" t="str">
        <f t="shared" si="11"/>
        <v>建筑面积</v>
      </c>
      <c r="R30" s="774" t="s">
        <v>17</v>
      </c>
      <c r="S30" s="775" t="e">
        <f t="shared" si="12"/>
        <v>#N/A</v>
      </c>
      <c r="T30" s="774" t="s">
        <v>17</v>
      </c>
      <c r="U30" s="775" t="e">
        <f t="shared" si="13"/>
        <v>#N/A</v>
      </c>
      <c r="V30" s="774" t="s">
        <v>17</v>
      </c>
      <c r="W30" s="775" t="e">
        <f t="shared" si="14"/>
        <v>#N/A</v>
      </c>
      <c r="X30" s="1817"/>
      <c r="Y30" s="3278"/>
      <c r="Z30" s="1818" t="str">
        <f t="shared" si="15"/>
        <v>建筑面积</v>
      </c>
      <c r="AA30" s="1815" t="e">
        <f t="shared" si="3"/>
        <v>#N/A</v>
      </c>
      <c r="AB30" s="1815" t="e">
        <f t="shared" si="4"/>
        <v>#N/A</v>
      </c>
      <c r="AC30" s="1815" t="e">
        <f t="shared" si="5"/>
        <v>#N/A</v>
      </c>
    </row>
    <row r="31" spans="1:29" s="116" customFormat="1" ht="15">
      <c r="A31" s="473"/>
      <c r="B31" s="422" t="s">
        <v>2737</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8"/>
      <c r="Q31" s="1799" t="str">
        <f t="shared" si="11"/>
        <v>是否封闭</v>
      </c>
      <c r="R31" s="770" t="s">
        <v>17</v>
      </c>
      <c r="S31" s="771">
        <f t="shared" si="12"/>
        <v>100</v>
      </c>
      <c r="T31" s="770" t="s">
        <v>17</v>
      </c>
      <c r="U31" s="771">
        <f t="shared" si="13"/>
        <v>100</v>
      </c>
      <c r="V31" s="770" t="s">
        <v>17</v>
      </c>
      <c r="W31" s="771">
        <f t="shared" si="14"/>
        <v>100</v>
      </c>
      <c r="X31" s="772"/>
      <c r="Y31" s="3278"/>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8" t="s">
        <v>2563</v>
      </c>
      <c r="Q32" s="1814">
        <f t="shared" si="11"/>
        <v>111</v>
      </c>
      <c r="R32" s="774" t="s">
        <v>17</v>
      </c>
      <c r="S32" s="775">
        <f t="shared" si="12"/>
        <v>100</v>
      </c>
      <c r="T32" s="774" t="s">
        <v>17</v>
      </c>
      <c r="U32" s="775">
        <f t="shared" si="13"/>
        <v>100</v>
      </c>
      <c r="V32" s="774" t="s">
        <v>17</v>
      </c>
      <c r="W32" s="775">
        <f t="shared" si="14"/>
        <v>100</v>
      </c>
      <c r="X32" s="1817"/>
      <c r="Y32" s="3278" t="s">
        <v>2563</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8"/>
      <c r="Q33" s="1814">
        <f t="shared" si="11"/>
        <v>111</v>
      </c>
      <c r="R33" s="774" t="s">
        <v>17</v>
      </c>
      <c r="S33" s="775">
        <f t="shared" si="12"/>
        <v>100</v>
      </c>
      <c r="T33" s="774" t="s">
        <v>17</v>
      </c>
      <c r="U33" s="775">
        <f t="shared" si="13"/>
        <v>100</v>
      </c>
      <c r="V33" s="774" t="s">
        <v>17</v>
      </c>
      <c r="W33" s="775">
        <f t="shared" si="14"/>
        <v>100</v>
      </c>
      <c r="X33" s="1817"/>
      <c r="Y33" s="3278"/>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78"/>
      <c r="Q34" s="1814">
        <f t="shared" si="11"/>
        <v>111</v>
      </c>
      <c r="R34" s="774" t="s">
        <v>17</v>
      </c>
      <c r="S34" s="775">
        <f t="shared" si="12"/>
        <v>100</v>
      </c>
      <c r="T34" s="774" t="s">
        <v>17</v>
      </c>
      <c r="U34" s="775">
        <f t="shared" si="13"/>
        <v>100</v>
      </c>
      <c r="V34" s="774" t="s">
        <v>17</v>
      </c>
      <c r="W34" s="775">
        <f t="shared" si="14"/>
        <v>100</v>
      </c>
      <c r="X34" s="1817"/>
      <c r="Y34" s="3278"/>
      <c r="Z34" s="1818">
        <f t="shared" si="15"/>
        <v>111</v>
      </c>
      <c r="AA34" s="1815">
        <f t="shared" si="3"/>
        <v>1</v>
      </c>
      <c r="AB34" s="1815">
        <f t="shared" si="4"/>
        <v>1</v>
      </c>
      <c r="AC34" s="1815">
        <f t="shared" si="5"/>
        <v>1</v>
      </c>
    </row>
    <row r="35" spans="1:29" ht="15">
      <c r="A35" s="479" t="s">
        <v>2575</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47" t="str">
        <f>A37</f>
        <v>估价对象XX用房的比较价值（楼面单价，元/平方米）</v>
      </c>
      <c r="Q37" s="3348"/>
      <c r="R37" s="3349" t="e">
        <f>IF(F1="售价",ROUND(AVERAGE(R36:V36),0),ROUND(AVERAGE(R36:V36),1))</f>
        <v>#DIV/0!</v>
      </c>
      <c r="S37" s="3349"/>
      <c r="T37" s="3349"/>
      <c r="U37" s="3349"/>
      <c r="V37" s="3349"/>
      <c r="W37" s="334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2727</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2739</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13" t="s">
        <v>2646</v>
      </c>
      <c r="AC4" s="3350" t="s">
        <v>2647</v>
      </c>
    </row>
    <row r="5" spans="1:30"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13"/>
      <c r="AC5" s="3313"/>
    </row>
    <row r="6" spans="1:30" ht="15.75" thickBot="1">
      <c r="A6" s="406"/>
      <c r="B6" s="407"/>
      <c r="C6" s="3301" t="s">
        <v>2544</v>
      </c>
      <c r="D6" s="3302"/>
      <c r="E6" s="3310" t="s">
        <v>2544</v>
      </c>
      <c r="F6" s="3311"/>
      <c r="G6" s="3301" t="s">
        <v>2544</v>
      </c>
      <c r="H6" s="3302"/>
      <c r="I6" s="3301" t="s">
        <v>2544</v>
      </c>
      <c r="J6" s="3302"/>
      <c r="K6" s="610" t="s">
        <v>2545</v>
      </c>
      <c r="L6" s="1133"/>
      <c r="M6" s="1134"/>
      <c r="N6" s="1134"/>
      <c r="O6" s="1134"/>
      <c r="P6" s="3354"/>
      <c r="Q6" s="3292"/>
      <c r="R6" s="3295"/>
      <c r="S6" s="3296"/>
      <c r="T6" s="3297"/>
      <c r="U6" s="3298"/>
      <c r="V6" s="3300"/>
      <c r="W6" s="3300"/>
      <c r="X6" s="1817"/>
      <c r="Y6" s="3297"/>
      <c r="Z6" s="3298"/>
      <c r="AA6" s="3314"/>
      <c r="AB6" s="3314"/>
      <c r="AC6" s="3314"/>
    </row>
    <row r="7" spans="1:30" s="116" customFormat="1" ht="15.75" thickBot="1">
      <c r="A7" s="408" t="s">
        <v>2546</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307" t="s">
        <v>2547</v>
      </c>
      <c r="Q7" s="3308"/>
      <c r="R7" s="770" t="s">
        <v>17</v>
      </c>
      <c r="S7" s="771">
        <f t="shared" ref="S7:S15" si="0">F7</f>
        <v>0</v>
      </c>
      <c r="T7" s="770" t="s">
        <v>17</v>
      </c>
      <c r="U7" s="771">
        <f t="shared" ref="U7:U15" si="1">H7</f>
        <v>0</v>
      </c>
      <c r="V7" s="770" t="s">
        <v>17</v>
      </c>
      <c r="W7" s="771">
        <f t="shared" ref="W7:W15" si="2">J7</f>
        <v>0</v>
      </c>
      <c r="X7" s="772"/>
      <c r="Y7" s="3307" t="s">
        <v>2547</v>
      </c>
      <c r="Z7" s="3306"/>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45" si="3">D8/F8</f>
        <v>#DIV/0!</v>
      </c>
      <c r="AB8" s="773" t="e">
        <f t="shared" ref="AB8:AB45" si="4">D8/H8</f>
        <v>#DIV/0!</v>
      </c>
      <c r="AC8" s="773" t="e">
        <f t="shared" ref="AC8:AC45" si="5">D8/J8</f>
        <v>#DIV/0!</v>
      </c>
    </row>
    <row r="9" spans="1:30" s="116" customFormat="1">
      <c r="A9" s="415" t="s">
        <v>2551</v>
      </c>
      <c r="B9" s="70" t="s">
        <v>2552</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66" t="s">
        <v>2553</v>
      </c>
      <c r="Q9" s="1799" t="str">
        <f t="shared" ref="Q9:Q15" si="6">B9</f>
        <v>用途</v>
      </c>
      <c r="R9" s="770" t="s">
        <v>17</v>
      </c>
      <c r="S9" s="771">
        <f t="shared" si="0"/>
        <v>100</v>
      </c>
      <c r="T9" s="770" t="s">
        <v>17</v>
      </c>
      <c r="U9" s="771">
        <f t="shared" si="1"/>
        <v>100</v>
      </c>
      <c r="V9" s="770" t="s">
        <v>17</v>
      </c>
      <c r="W9" s="771">
        <f t="shared" si="2"/>
        <v>100</v>
      </c>
      <c r="X9" s="772"/>
      <c r="Y9" s="3119"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66"/>
      <c r="Q10" s="1799" t="str">
        <f t="shared" si="6"/>
        <v>土地使用年限（年）</v>
      </c>
      <c r="R10" s="770" t="s">
        <v>17</v>
      </c>
      <c r="S10" s="771">
        <f t="shared" si="0"/>
        <v>111</v>
      </c>
      <c r="T10" s="770" t="s">
        <v>17</v>
      </c>
      <c r="U10" s="771">
        <f t="shared" si="1"/>
        <v>111</v>
      </c>
      <c r="V10" s="770" t="s">
        <v>17</v>
      </c>
      <c r="W10" s="771">
        <f t="shared" si="2"/>
        <v>111</v>
      </c>
      <c r="X10" s="772"/>
      <c r="Y10" s="3119"/>
      <c r="Z10" s="54"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66"/>
      <c r="Q11" s="1799" t="str">
        <f t="shared" si="6"/>
        <v>容积率</v>
      </c>
      <c r="R11" s="770" t="s">
        <v>17</v>
      </c>
      <c r="S11" s="771" t="e">
        <f t="shared" si="0"/>
        <v>#N/A</v>
      </c>
      <c r="T11" s="770" t="s">
        <v>17</v>
      </c>
      <c r="U11" s="771" t="e">
        <f t="shared" si="1"/>
        <v>#N/A</v>
      </c>
      <c r="V11" s="770" t="s">
        <v>17</v>
      </c>
      <c r="W11" s="771" t="e">
        <f t="shared" si="2"/>
        <v>#N/A</v>
      </c>
      <c r="X11" s="772"/>
      <c r="Y11" s="3119"/>
      <c r="Z11" s="54" t="str">
        <f t="shared" si="7"/>
        <v>容积率</v>
      </c>
      <c r="AA11" s="773" t="e">
        <f t="shared" si="3"/>
        <v>#N/A</v>
      </c>
      <c r="AB11" s="773" t="e">
        <f t="shared" si="4"/>
        <v>#N/A</v>
      </c>
      <c r="AC11" s="773" t="e">
        <f t="shared" si="5"/>
        <v>#N/A</v>
      </c>
    </row>
    <row r="12" spans="1:30" s="116" customFormat="1" ht="15">
      <c r="A12" s="431"/>
      <c r="B12" s="2602" t="s">
        <v>2745</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66"/>
      <c r="Q12" s="1799" t="str">
        <f t="shared" si="6"/>
        <v>配建</v>
      </c>
      <c r="R12" s="770" t="s">
        <v>17</v>
      </c>
      <c r="S12" s="771">
        <f t="shared" si="0"/>
        <v>100</v>
      </c>
      <c r="T12" s="770" t="s">
        <v>17</v>
      </c>
      <c r="U12" s="771">
        <f t="shared" si="1"/>
        <v>100</v>
      </c>
      <c r="V12" s="770" t="s">
        <v>17</v>
      </c>
      <c r="W12" s="771">
        <f t="shared" si="2"/>
        <v>100</v>
      </c>
      <c r="X12" s="772"/>
      <c r="Y12" s="3119"/>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66"/>
      <c r="Q13" s="1799">
        <f t="shared" si="6"/>
        <v>111</v>
      </c>
      <c r="R13" s="770" t="s">
        <v>17</v>
      </c>
      <c r="S13" s="771">
        <f t="shared" si="0"/>
        <v>100</v>
      </c>
      <c r="T13" s="770" t="s">
        <v>17</v>
      </c>
      <c r="U13" s="771">
        <f t="shared" si="1"/>
        <v>100</v>
      </c>
      <c r="V13" s="770" t="s">
        <v>17</v>
      </c>
      <c r="W13" s="771">
        <f t="shared" si="2"/>
        <v>100</v>
      </c>
      <c r="X13" s="772"/>
      <c r="Y13" s="3119"/>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9">
        <f t="shared" si="6"/>
        <v>111</v>
      </c>
      <c r="R14" s="770" t="s">
        <v>17</v>
      </c>
      <c r="S14" s="771">
        <f t="shared" si="0"/>
        <v>100</v>
      </c>
      <c r="T14" s="770" t="s">
        <v>17</v>
      </c>
      <c r="U14" s="771">
        <f t="shared" si="1"/>
        <v>100</v>
      </c>
      <c r="V14" s="770" t="s">
        <v>17</v>
      </c>
      <c r="W14" s="771">
        <f t="shared" si="2"/>
        <v>100</v>
      </c>
      <c r="X14" s="772"/>
      <c r="Y14" s="3119"/>
      <c r="Z14" s="54">
        <f t="shared" si="7"/>
        <v>111</v>
      </c>
      <c r="AA14" s="773">
        <f>D14/F14</f>
        <v>1</v>
      </c>
      <c r="AB14" s="773">
        <f>D14/H14</f>
        <v>1</v>
      </c>
      <c r="AC14" s="773">
        <f>D14/J14</f>
        <v>1</v>
      </c>
    </row>
    <row r="15" spans="1:30" ht="99.75">
      <c r="A15" s="440" t="s">
        <v>2557</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3" t="s">
        <v>2558</v>
      </c>
      <c r="Q15" s="1814" t="str">
        <f t="shared" si="6"/>
        <v>居住社区成熟度</v>
      </c>
      <c r="R15" s="774" t="s">
        <v>17</v>
      </c>
      <c r="S15" s="775">
        <f t="shared" si="0"/>
        <v>100</v>
      </c>
      <c r="T15" s="774" t="s">
        <v>17</v>
      </c>
      <c r="U15" s="775">
        <f t="shared" si="1"/>
        <v>100</v>
      </c>
      <c r="V15" s="774" t="s">
        <v>17</v>
      </c>
      <c r="W15" s="775">
        <f t="shared" si="2"/>
        <v>100</v>
      </c>
      <c r="X15" s="1817"/>
      <c r="Y15" s="3273" t="s">
        <v>2558</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74"/>
      <c r="Q16" s="1814"/>
      <c r="R16" s="774"/>
      <c r="S16" s="775"/>
      <c r="T16" s="774"/>
      <c r="U16" s="775"/>
      <c r="V16" s="774"/>
      <c r="W16" s="775"/>
      <c r="X16" s="1817"/>
      <c r="Y16" s="3274"/>
      <c r="Z16" s="1818"/>
      <c r="AA16" s="1815">
        <v>1</v>
      </c>
      <c r="AB16" s="1815">
        <v>1</v>
      </c>
      <c r="AC16" s="1815">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4"/>
      <c r="Q17" s="1814" t="str">
        <f>B17</f>
        <v>商业繁华度</v>
      </c>
      <c r="R17" s="774" t="s">
        <v>17</v>
      </c>
      <c r="S17" s="775">
        <f>F17</f>
        <v>100</v>
      </c>
      <c r="T17" s="774" t="s">
        <v>17</v>
      </c>
      <c r="U17" s="775">
        <f>H17</f>
        <v>100</v>
      </c>
      <c r="V17" s="774" t="s">
        <v>17</v>
      </c>
      <c r="W17" s="775">
        <f>J17</f>
        <v>100</v>
      </c>
      <c r="X17" s="1817"/>
      <c r="Y17" s="3274"/>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74"/>
      <c r="Q18" s="1814"/>
      <c r="R18" s="774"/>
      <c r="S18" s="775"/>
      <c r="T18" s="774"/>
      <c r="U18" s="775"/>
      <c r="V18" s="774"/>
      <c r="W18" s="775"/>
      <c r="X18" s="1817"/>
      <c r="Y18" s="3274"/>
      <c r="Z18" s="1818"/>
      <c r="AA18" s="1815">
        <v>1</v>
      </c>
      <c r="AB18" s="1815">
        <v>1</v>
      </c>
      <c r="AC18" s="1815">
        <v>1</v>
      </c>
    </row>
    <row r="19" spans="1:29" ht="71.25">
      <c r="A19" s="428"/>
      <c r="B19" s="451" t="s">
        <v>2685</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4"/>
      <c r="Q19" s="1814" t="str">
        <f>B19</f>
        <v>办公集聚程度</v>
      </c>
      <c r="R19" s="774" t="s">
        <v>17</v>
      </c>
      <c r="S19" s="775">
        <f>F19</f>
        <v>100</v>
      </c>
      <c r="T19" s="774" t="s">
        <v>17</v>
      </c>
      <c r="U19" s="775">
        <f>H19</f>
        <v>100</v>
      </c>
      <c r="V19" s="774" t="s">
        <v>17</v>
      </c>
      <c r="W19" s="775">
        <f>J19</f>
        <v>100</v>
      </c>
      <c r="X19" s="1817"/>
      <c r="Y19" s="3274"/>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74"/>
      <c r="Q20" s="1814"/>
      <c r="R20" s="774"/>
      <c r="S20" s="775"/>
      <c r="T20" s="774"/>
      <c r="U20" s="775"/>
      <c r="V20" s="774"/>
      <c r="W20" s="775"/>
      <c r="X20" s="1817"/>
      <c r="Y20" s="3274"/>
      <c r="Z20" s="1818"/>
      <c r="AA20" s="1815">
        <v>1</v>
      </c>
      <c r="AB20" s="1815">
        <v>1</v>
      </c>
      <c r="AC20" s="1815">
        <v>1</v>
      </c>
    </row>
    <row r="21" spans="1:29" ht="128.25">
      <c r="A21" s="428"/>
      <c r="B21" s="451" t="s">
        <v>2707</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4"/>
      <c r="Q21" s="1814" t="str">
        <f>B21</f>
        <v>交通便捷度</v>
      </c>
      <c r="R21" s="774" t="s">
        <v>17</v>
      </c>
      <c r="S21" s="775">
        <f>F21</f>
        <v>100</v>
      </c>
      <c r="T21" s="774" t="s">
        <v>17</v>
      </c>
      <c r="U21" s="775">
        <f>H21</f>
        <v>100</v>
      </c>
      <c r="V21" s="774" t="s">
        <v>17</v>
      </c>
      <c r="W21" s="775">
        <f>J21</f>
        <v>100</v>
      </c>
      <c r="X21" s="1817"/>
      <c r="Y21" s="3274"/>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74"/>
      <c r="Q22" s="1814"/>
      <c r="R22" s="774"/>
      <c r="S22" s="775"/>
      <c r="T22" s="774"/>
      <c r="U22" s="775"/>
      <c r="V22" s="774"/>
      <c r="W22" s="775"/>
      <c r="X22" s="1817"/>
      <c r="Y22" s="3274"/>
      <c r="Z22" s="1818"/>
      <c r="AA22" s="1815">
        <v>1</v>
      </c>
      <c r="AB22" s="1815">
        <v>1</v>
      </c>
      <c r="AC22" s="1815">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4"/>
      <c r="Q23" s="1814" t="str">
        <f t="shared" ref="Q23:Q37" si="8">B23</f>
        <v>区域土地利用方向</v>
      </c>
      <c r="R23" s="774" t="s">
        <v>17</v>
      </c>
      <c r="S23" s="775">
        <f>F23</f>
        <v>100</v>
      </c>
      <c r="T23" s="774" t="s">
        <v>17</v>
      </c>
      <c r="U23" s="775">
        <f>H23</f>
        <v>100</v>
      </c>
      <c r="V23" s="774" t="s">
        <v>17</v>
      </c>
      <c r="W23" s="775">
        <f>J23</f>
        <v>100</v>
      </c>
      <c r="X23" s="1817"/>
      <c r="Y23" s="3274"/>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74"/>
      <c r="Q24" s="1814"/>
      <c r="R24" s="774"/>
      <c r="S24" s="775"/>
      <c r="T24" s="774"/>
      <c r="U24" s="775"/>
      <c r="V24" s="774"/>
      <c r="W24" s="775"/>
      <c r="X24" s="1817"/>
      <c r="Y24" s="3274"/>
      <c r="Z24" s="1818"/>
      <c r="AA24" s="1815"/>
      <c r="AB24" s="1815"/>
      <c r="AC24" s="1815"/>
    </row>
    <row r="25" spans="1:29" ht="142.5">
      <c r="A25" s="404"/>
      <c r="B25" s="1387" t="s">
        <v>2747</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4"/>
      <c r="Q25" s="1814" t="str">
        <f t="shared" si="8"/>
        <v>自然及人文环境状况</v>
      </c>
      <c r="R25" s="774" t="s">
        <v>17</v>
      </c>
      <c r="S25" s="775">
        <f>F25</f>
        <v>100</v>
      </c>
      <c r="T25" s="774" t="s">
        <v>17</v>
      </c>
      <c r="U25" s="775">
        <f>H25</f>
        <v>100</v>
      </c>
      <c r="V25" s="774" t="s">
        <v>17</v>
      </c>
      <c r="W25" s="775">
        <f>J25</f>
        <v>100</v>
      </c>
      <c r="X25" s="1817"/>
      <c r="Y25" s="3274"/>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74"/>
      <c r="Q26" s="1814"/>
      <c r="R26" s="774"/>
      <c r="S26" s="775"/>
      <c r="T26" s="774"/>
      <c r="U26" s="775"/>
      <c r="V26" s="774"/>
      <c r="W26" s="775"/>
      <c r="X26" s="1817"/>
      <c r="Y26" s="3274"/>
      <c r="Z26" s="1818"/>
      <c r="AA26" s="1815">
        <v>1</v>
      </c>
      <c r="AB26" s="1815">
        <v>1</v>
      </c>
      <c r="AC26" s="1815">
        <v>1</v>
      </c>
    </row>
    <row r="27" spans="1:29" s="116" customFormat="1" ht="199.5">
      <c r="A27" s="649"/>
      <c r="B27" s="1387" t="s">
        <v>2652</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4"/>
      <c r="Q27" s="1799" t="str">
        <f t="shared" si="8"/>
        <v>公共配套设施</v>
      </c>
      <c r="R27" s="770" t="s">
        <v>17</v>
      </c>
      <c r="S27" s="771">
        <f>F27</f>
        <v>100</v>
      </c>
      <c r="T27" s="770" t="s">
        <v>17</v>
      </c>
      <c r="U27" s="771">
        <f>H27</f>
        <v>100</v>
      </c>
      <c r="V27" s="770" t="s">
        <v>17</v>
      </c>
      <c r="W27" s="771">
        <f>J27</f>
        <v>100</v>
      </c>
      <c r="X27" s="772"/>
      <c r="Y27" s="3274"/>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74"/>
      <c r="Q28" s="1799"/>
      <c r="R28" s="770"/>
      <c r="S28" s="771"/>
      <c r="T28" s="770"/>
      <c r="U28" s="771"/>
      <c r="V28" s="770"/>
      <c r="W28" s="771"/>
      <c r="X28" s="772"/>
      <c r="Y28" s="3274"/>
      <c r="Z28" s="54"/>
      <c r="AA28" s="1815">
        <v>1</v>
      </c>
      <c r="AB28" s="1815">
        <v>1</v>
      </c>
      <c r="AC28" s="1815">
        <v>1</v>
      </c>
    </row>
    <row r="29" spans="1:29" s="116" customFormat="1" ht="42.75">
      <c r="A29" s="649"/>
      <c r="B29" s="1387" t="s">
        <v>2653</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4"/>
      <c r="Q29" s="1799" t="str">
        <f t="shared" ref="Q29" si="9">B29</f>
        <v>基础设施水平</v>
      </c>
      <c r="R29" s="770" t="s">
        <v>17</v>
      </c>
      <c r="S29" s="771">
        <f>F29</f>
        <v>100</v>
      </c>
      <c r="T29" s="770" t="s">
        <v>17</v>
      </c>
      <c r="U29" s="771">
        <f>H29</f>
        <v>100</v>
      </c>
      <c r="V29" s="770" t="s">
        <v>17</v>
      </c>
      <c r="W29" s="771">
        <f>J29</f>
        <v>100</v>
      </c>
      <c r="X29" s="772"/>
      <c r="Y29" s="3274"/>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74"/>
      <c r="Q30" s="1799"/>
      <c r="R30" s="770"/>
      <c r="S30" s="771"/>
      <c r="T30" s="770"/>
      <c r="U30" s="771"/>
      <c r="V30" s="770"/>
      <c r="W30" s="771"/>
      <c r="X30" s="772"/>
      <c r="Y30" s="3274"/>
      <c r="Z30" s="54"/>
      <c r="AA30" s="1815">
        <v>1</v>
      </c>
      <c r="AB30" s="1815">
        <v>1</v>
      </c>
      <c r="AC30" s="181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4"/>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74"/>
      <c r="Z31" s="1818" t="str">
        <f t="shared" ref="Z31:Z45" si="13">Q31</f>
        <v>临街状况</v>
      </c>
      <c r="AA31" s="1815">
        <f t="shared" si="3"/>
        <v>1</v>
      </c>
      <c r="AB31" s="1815">
        <f t="shared" si="4"/>
        <v>1</v>
      </c>
      <c r="AC31" s="1815">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4"/>
      <c r="Q32" s="1814" t="str">
        <f t="shared" si="8"/>
        <v>毗邻道路的类型与等级</v>
      </c>
      <c r="R32" s="774" t="s">
        <v>17</v>
      </c>
      <c r="S32" s="775">
        <f t="shared" si="10"/>
        <v>100</v>
      </c>
      <c r="T32" s="774" t="s">
        <v>17</v>
      </c>
      <c r="U32" s="775">
        <f t="shared" si="11"/>
        <v>100</v>
      </c>
      <c r="V32" s="774" t="s">
        <v>17</v>
      </c>
      <c r="W32" s="775">
        <f t="shared" si="12"/>
        <v>100</v>
      </c>
      <c r="X32" s="1817"/>
      <c r="Y32" s="3274"/>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74"/>
      <c r="Q33" s="1814"/>
      <c r="R33" s="774"/>
      <c r="S33" s="775"/>
      <c r="T33" s="774"/>
      <c r="U33" s="775"/>
      <c r="V33" s="774"/>
      <c r="W33" s="775"/>
      <c r="X33" s="1817"/>
      <c r="Y33" s="3274"/>
      <c r="Z33" s="1818"/>
      <c r="AA33" s="1815">
        <v>1</v>
      </c>
      <c r="AB33" s="1815">
        <v>1</v>
      </c>
      <c r="AC33" s="181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4"/>
      <c r="Q34" s="1814" t="str">
        <f t="shared" si="8"/>
        <v>土地级别</v>
      </c>
      <c r="R34" s="774" t="s">
        <v>17</v>
      </c>
      <c r="S34" s="775">
        <f t="shared" si="10"/>
        <v>100</v>
      </c>
      <c r="T34" s="774" t="s">
        <v>17</v>
      </c>
      <c r="U34" s="775">
        <f t="shared" si="11"/>
        <v>100</v>
      </c>
      <c r="V34" s="774" t="s">
        <v>17</v>
      </c>
      <c r="W34" s="775">
        <f t="shared" si="12"/>
        <v>100</v>
      </c>
      <c r="X34" s="1817"/>
      <c r="Y34" s="3274"/>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4"/>
      <c r="Q35" s="1814">
        <f t="shared" si="8"/>
        <v>111</v>
      </c>
      <c r="R35" s="774" t="s">
        <v>17</v>
      </c>
      <c r="S35" s="775">
        <f t="shared" si="10"/>
        <v>100</v>
      </c>
      <c r="T35" s="774" t="s">
        <v>17</v>
      </c>
      <c r="U35" s="775">
        <f t="shared" si="11"/>
        <v>100</v>
      </c>
      <c r="V35" s="774" t="s">
        <v>17</v>
      </c>
      <c r="W35" s="775">
        <f t="shared" si="12"/>
        <v>100</v>
      </c>
      <c r="X35" s="1817"/>
      <c r="Y35" s="3274"/>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58" t="s">
        <v>2563</v>
      </c>
      <c r="Q36" s="1814">
        <f t="shared" si="8"/>
        <v>111</v>
      </c>
      <c r="R36" s="774" t="s">
        <v>17</v>
      </c>
      <c r="S36" s="775">
        <f t="shared" si="10"/>
        <v>100</v>
      </c>
      <c r="T36" s="774" t="s">
        <v>17</v>
      </c>
      <c r="U36" s="775">
        <f t="shared" si="11"/>
        <v>100</v>
      </c>
      <c r="V36" s="774" t="s">
        <v>17</v>
      </c>
      <c r="W36" s="775">
        <f t="shared" si="12"/>
        <v>100</v>
      </c>
      <c r="X36" s="1817"/>
      <c r="Y36" s="3278" t="s">
        <v>2563</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8"/>
      <c r="Q37" s="1814">
        <f t="shared" si="8"/>
        <v>111</v>
      </c>
      <c r="R37" s="777" t="s">
        <v>17</v>
      </c>
      <c r="S37" s="778">
        <f t="shared" si="10"/>
        <v>100</v>
      </c>
      <c r="T37" s="777" t="s">
        <v>17</v>
      </c>
      <c r="U37" s="778">
        <f t="shared" si="11"/>
        <v>100</v>
      </c>
      <c r="V37" s="777" t="s">
        <v>17</v>
      </c>
      <c r="W37" s="778">
        <f t="shared" si="12"/>
        <v>100</v>
      </c>
      <c r="X37" s="779"/>
      <c r="Y37" s="3278"/>
      <c r="Z37" s="780">
        <f t="shared" si="13"/>
        <v>111</v>
      </c>
      <c r="AA37" s="1815">
        <f t="shared" si="3"/>
        <v>1</v>
      </c>
      <c r="AB37" s="1815">
        <f t="shared" si="4"/>
        <v>1</v>
      </c>
      <c r="AC37" s="181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8"/>
      <c r="Q38" s="1814" t="str">
        <f>B38</f>
        <v>宗地面积</v>
      </c>
      <c r="R38" s="774" t="s">
        <v>17</v>
      </c>
      <c r="S38" s="775" t="e">
        <f t="shared" si="10"/>
        <v>#N/A</v>
      </c>
      <c r="T38" s="774" t="s">
        <v>17</v>
      </c>
      <c r="U38" s="775" t="e">
        <f t="shared" si="11"/>
        <v>#N/A</v>
      </c>
      <c r="V38" s="774" t="s">
        <v>17</v>
      </c>
      <c r="W38" s="775" t="e">
        <f t="shared" si="12"/>
        <v>#N/A</v>
      </c>
      <c r="X38" s="1817"/>
      <c r="Y38" s="3278"/>
      <c r="Z38" s="1818" t="str">
        <f t="shared" si="13"/>
        <v>宗地面积</v>
      </c>
      <c r="AA38" s="1815" t="e">
        <f t="shared" si="3"/>
        <v>#N/A</v>
      </c>
      <c r="AB38" s="1815" t="e">
        <f t="shared" si="4"/>
        <v>#N/A</v>
      </c>
      <c r="AC38" s="1815"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78"/>
      <c r="Q39" s="1814" t="str">
        <f t="shared" ref="Q39:Q45" si="14">B39</f>
        <v>宗地形状</v>
      </c>
      <c r="R39" s="774" t="s">
        <v>17</v>
      </c>
      <c r="S39" s="775">
        <f t="shared" si="10"/>
        <v>100</v>
      </c>
      <c r="T39" s="774" t="s">
        <v>17</v>
      </c>
      <c r="U39" s="775">
        <f t="shared" si="11"/>
        <v>100</v>
      </c>
      <c r="V39" s="774" t="s">
        <v>17</v>
      </c>
      <c r="W39" s="775">
        <f t="shared" si="12"/>
        <v>100</v>
      </c>
      <c r="X39" s="1817"/>
      <c r="Y39" s="3278"/>
      <c r="Z39" s="1818" t="str">
        <f t="shared" si="13"/>
        <v>宗地形状</v>
      </c>
      <c r="AA39" s="1815">
        <f t="shared" si="3"/>
        <v>1</v>
      </c>
      <c r="AB39" s="1815">
        <f t="shared" si="4"/>
        <v>1</v>
      </c>
      <c r="AC39" s="1815">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78"/>
      <c r="Q40" s="1814" t="str">
        <f t="shared" si="14"/>
        <v>临街宽度及深度</v>
      </c>
      <c r="R40" s="774" t="s">
        <v>17</v>
      </c>
      <c r="S40" s="775">
        <f t="shared" si="10"/>
        <v>100</v>
      </c>
      <c r="T40" s="774" t="s">
        <v>17</v>
      </c>
      <c r="U40" s="775">
        <f t="shared" si="11"/>
        <v>100</v>
      </c>
      <c r="V40" s="774" t="s">
        <v>17</v>
      </c>
      <c r="W40" s="775">
        <f t="shared" si="12"/>
        <v>100</v>
      </c>
      <c r="X40" s="1817"/>
      <c r="Y40" s="3278"/>
      <c r="Z40" s="1818" t="str">
        <f t="shared" si="13"/>
        <v>临街宽度及深度</v>
      </c>
      <c r="AA40" s="1815">
        <f t="shared" si="3"/>
        <v>1</v>
      </c>
      <c r="AB40" s="1815">
        <f t="shared" si="4"/>
        <v>1</v>
      </c>
      <c r="AC40" s="1815">
        <f t="shared" si="5"/>
        <v>1</v>
      </c>
    </row>
    <row r="41" spans="1:29" s="116" customFormat="1" ht="15">
      <c r="A41" s="473"/>
      <c r="B41" s="422" t="s">
        <v>2752</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78"/>
      <c r="Q41" s="1814" t="str">
        <f t="shared" si="14"/>
        <v>宗地开发程度</v>
      </c>
      <c r="R41" s="770" t="s">
        <v>17</v>
      </c>
      <c r="S41" s="771">
        <f t="shared" si="10"/>
        <v>100</v>
      </c>
      <c r="T41" s="770" t="s">
        <v>17</v>
      </c>
      <c r="U41" s="771">
        <f t="shared" si="11"/>
        <v>100</v>
      </c>
      <c r="V41" s="770" t="s">
        <v>17</v>
      </c>
      <c r="W41" s="771">
        <f t="shared" si="12"/>
        <v>100</v>
      </c>
      <c r="X41" s="772"/>
      <c r="Y41" s="3278"/>
      <c r="Z41" s="54"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78" t="s">
        <v>2563</v>
      </c>
      <c r="Q42" s="1814" t="str">
        <f t="shared" si="14"/>
        <v>工程地质条件</v>
      </c>
      <c r="R42" s="774" t="s">
        <v>17</v>
      </c>
      <c r="S42" s="775">
        <f t="shared" si="10"/>
        <v>100</v>
      </c>
      <c r="T42" s="774" t="s">
        <v>17</v>
      </c>
      <c r="U42" s="775">
        <f t="shared" si="11"/>
        <v>100</v>
      </c>
      <c r="V42" s="774" t="s">
        <v>17</v>
      </c>
      <c r="W42" s="775">
        <f t="shared" si="12"/>
        <v>100</v>
      </c>
      <c r="X42" s="1817"/>
      <c r="Y42" s="3278" t="s">
        <v>2563</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8"/>
      <c r="Q43" s="1814">
        <f t="shared" si="14"/>
        <v>111</v>
      </c>
      <c r="R43" s="774" t="s">
        <v>17</v>
      </c>
      <c r="S43" s="775">
        <f t="shared" si="10"/>
        <v>100</v>
      </c>
      <c r="T43" s="774" t="s">
        <v>17</v>
      </c>
      <c r="U43" s="775">
        <f t="shared" si="11"/>
        <v>100</v>
      </c>
      <c r="V43" s="774" t="s">
        <v>17</v>
      </c>
      <c r="W43" s="775">
        <f t="shared" si="12"/>
        <v>100</v>
      </c>
      <c r="X43" s="1817"/>
      <c r="Y43" s="3278"/>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8"/>
      <c r="Q44" s="1814">
        <f t="shared" si="14"/>
        <v>111</v>
      </c>
      <c r="R44" s="774" t="s">
        <v>17</v>
      </c>
      <c r="S44" s="775">
        <f t="shared" si="10"/>
        <v>100</v>
      </c>
      <c r="T44" s="774" t="s">
        <v>17</v>
      </c>
      <c r="U44" s="775">
        <f t="shared" si="11"/>
        <v>100</v>
      </c>
      <c r="V44" s="774" t="s">
        <v>17</v>
      </c>
      <c r="W44" s="775">
        <f t="shared" si="12"/>
        <v>100</v>
      </c>
      <c r="X44" s="1817"/>
      <c r="Y44" s="3278"/>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8"/>
      <c r="Q45" s="1814">
        <f t="shared" si="14"/>
        <v>111</v>
      </c>
      <c r="R45" s="777" t="s">
        <v>17</v>
      </c>
      <c r="S45" s="778">
        <f t="shared" si="10"/>
        <v>100</v>
      </c>
      <c r="T45" s="777" t="s">
        <v>17</v>
      </c>
      <c r="U45" s="778">
        <f t="shared" si="11"/>
        <v>100</v>
      </c>
      <c r="V45" s="777" t="s">
        <v>17</v>
      </c>
      <c r="W45" s="778">
        <f t="shared" si="12"/>
        <v>100</v>
      </c>
      <c r="X45" s="779"/>
      <c r="Y45" s="3278"/>
      <c r="Z45" s="780">
        <f t="shared" si="13"/>
        <v>111</v>
      </c>
      <c r="AA45" s="1815">
        <f t="shared" si="3"/>
        <v>1</v>
      </c>
      <c r="AB45" s="1815">
        <f t="shared" si="4"/>
        <v>1</v>
      </c>
      <c r="AC45" s="1815">
        <f t="shared" si="5"/>
        <v>1</v>
      </c>
    </row>
    <row r="46" spans="1:29" ht="15">
      <c r="A46" s="479" t="s">
        <v>2718</v>
      </c>
      <c r="B46" s="2706" t="s">
        <v>2754</v>
      </c>
      <c r="C46" s="682" t="s">
        <v>1</v>
      </c>
      <c r="D46" s="481"/>
      <c r="E46" s="482"/>
      <c r="F46" s="483"/>
      <c r="G46" s="484"/>
      <c r="H46" s="485"/>
      <c r="I46" s="482"/>
      <c r="J46" s="485"/>
      <c r="K46" s="783"/>
      <c r="L46" s="1146"/>
      <c r="M46" s="1147"/>
      <c r="N46" s="1134"/>
      <c r="O46" s="1147"/>
      <c r="P46" s="3266" t="str">
        <f>A46</f>
        <v>成交单价</v>
      </c>
      <c r="Q46" s="3266"/>
      <c r="R46" s="3300">
        <f>E46</f>
        <v>0</v>
      </c>
      <c r="S46" s="3300"/>
      <c r="T46" s="3300">
        <f>G46</f>
        <v>0</v>
      </c>
      <c r="U46" s="3300"/>
      <c r="V46" s="3300">
        <f>I46</f>
        <v>0</v>
      </c>
      <c r="W46" s="330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66" t="str">
        <f>A47</f>
        <v>比较价值（元/平方米）</v>
      </c>
      <c r="Q47" s="3266"/>
      <c r="R47" s="3359" t="e">
        <f>ROUND(PRODUCT(R46,AA7:AA45),0)</f>
        <v>#DIV/0!</v>
      </c>
      <c r="S47" s="3359"/>
      <c r="T47" s="3359" t="e">
        <f>ROUND(PRODUCT(T46,AB7:AB45),0)</f>
        <v>#DIV/0!</v>
      </c>
      <c r="U47" s="3359"/>
      <c r="V47" s="3359" t="e">
        <f>ROUND(PRODUCT(V46,AC7:AC45),0)</f>
        <v>#DIV/0!</v>
      </c>
      <c r="W47" s="335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47" t="str">
        <f>A48</f>
        <v>估价对象XX用房的比较价值（楼面单价，元/平方米）</v>
      </c>
      <c r="Q48" s="3348"/>
      <c r="R48" s="3360" t="e">
        <f>ROUND(AVERAGE(R47:V47),0)</f>
        <v>#DIV/0!</v>
      </c>
      <c r="S48" s="3360"/>
      <c r="T48" s="3360"/>
      <c r="U48" s="3360"/>
      <c r="V48" s="3360"/>
      <c r="W48" s="33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283" t="s">
        <v>2762</v>
      </c>
      <c r="H55" s="3361"/>
      <c r="I55" s="143"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27877.57</v>
      </c>
      <c r="F56" s="1106" t="e">
        <f t="shared" ref="F56:F65" si="15">ROUND(B56*E56/10000,0)</f>
        <v>#DIV/0!</v>
      </c>
      <c r="G56" s="3265"/>
      <c r="H56" s="326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6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6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6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6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0.3</v>
      </c>
      <c r="D61" s="1167">
        <v>0.25</v>
      </c>
      <c r="E61" s="261">
        <f>'数据-汇总表'!E11</f>
        <v>0</v>
      </c>
      <c r="F61" s="1106" t="e">
        <f t="shared" si="15"/>
        <v>#DIV/0!</v>
      </c>
      <c r="G61" s="2711" t="s">
        <v>2772</v>
      </c>
      <c r="H61" s="1107" t="str">
        <f>项目基本情况!C37</f>
        <v>二级</v>
      </c>
      <c r="I61" s="1111">
        <f>SUMIF(修正!A45:A56,H61,修正!F45:F56)</f>
        <v>0.3</v>
      </c>
      <c r="J61" s="1115"/>
      <c r="K61" s="1147"/>
      <c r="L61" s="944"/>
      <c r="M61" s="944"/>
      <c r="N61" s="944"/>
      <c r="O61" s="944"/>
    </row>
    <row r="62" spans="1:15" s="692" customFormat="1">
      <c r="A62" s="693" t="s">
        <v>2773</v>
      </c>
      <c r="B62" s="262" t="e">
        <f t="shared" si="17"/>
        <v>#DIV/0!</v>
      </c>
      <c r="C62" s="200">
        <f t="shared" si="16"/>
        <v>0.3</v>
      </c>
      <c r="D62" s="1167">
        <v>0.25</v>
      </c>
      <c r="E62" s="261">
        <f>'数据-汇总表'!E12</f>
        <v>0</v>
      </c>
      <c r="F62" s="1106" t="e">
        <f t="shared" si="15"/>
        <v>#DIV/0!</v>
      </c>
      <c r="G62" s="1112" t="s">
        <v>2774</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0.25</v>
      </c>
      <c r="D65" s="1167">
        <v>0.25</v>
      </c>
      <c r="E65" s="261">
        <f>'数据-汇总表'!E15</f>
        <v>0</v>
      </c>
      <c r="F65" s="1106" t="e">
        <f t="shared" si="15"/>
        <v>#DIV/0!</v>
      </c>
      <c r="G65" s="2712" t="s">
        <v>2772</v>
      </c>
      <c r="H65" s="1117" t="str">
        <f>项目基本情况!C37</f>
        <v>二级</v>
      </c>
      <c r="I65" s="1113">
        <f>SUMIF(修正!A45:A56,H65,修正!H45:H56)</f>
        <v>0.25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27877.57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2781</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2748</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2790</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2791</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83" t="s">
        <v>2644</v>
      </c>
      <c r="D4" s="3284"/>
      <c r="E4" s="3285" t="s">
        <v>2645</v>
      </c>
      <c r="F4" s="3286"/>
      <c r="G4" s="3283" t="s">
        <v>2646</v>
      </c>
      <c r="H4" s="3284"/>
      <c r="I4" s="3283" t="s">
        <v>2647</v>
      </c>
      <c r="J4" s="3284"/>
      <c r="K4" s="610" t="s">
        <v>2648</v>
      </c>
      <c r="L4" s="1133"/>
      <c r="M4" s="1134"/>
      <c r="N4" s="1134"/>
      <c r="O4" s="1134"/>
      <c r="P4" s="3351" t="s">
        <v>2649</v>
      </c>
      <c r="Q4" s="3352"/>
      <c r="R4" s="3355" t="s">
        <v>2645</v>
      </c>
      <c r="S4" s="3356"/>
      <c r="T4" s="3355" t="s">
        <v>2646</v>
      </c>
      <c r="U4" s="3356"/>
      <c r="V4" s="3300" t="s">
        <v>2647</v>
      </c>
      <c r="W4" s="3300"/>
      <c r="X4" s="1817"/>
      <c r="Y4" s="3355" t="s">
        <v>2649</v>
      </c>
      <c r="Z4" s="3356"/>
      <c r="AA4" s="3350" t="s">
        <v>2645</v>
      </c>
      <c r="AB4" s="3313" t="s">
        <v>2646</v>
      </c>
      <c r="AC4" s="3350" t="s">
        <v>2647</v>
      </c>
    </row>
    <row r="5" spans="1:29" ht="15">
      <c r="A5" s="404"/>
      <c r="B5" s="405"/>
      <c r="C5" s="3309" t="s">
        <v>2540</v>
      </c>
      <c r="D5" s="3304"/>
      <c r="E5" s="3357" t="s">
        <v>2541</v>
      </c>
      <c r="F5" s="3316"/>
      <c r="G5" s="3309" t="s">
        <v>2542</v>
      </c>
      <c r="H5" s="3304"/>
      <c r="I5" s="3309" t="s">
        <v>2543</v>
      </c>
      <c r="J5" s="3304"/>
      <c r="K5" s="610"/>
      <c r="L5" s="1133"/>
      <c r="M5" s="1134"/>
      <c r="N5" s="1134"/>
      <c r="O5" s="1134"/>
      <c r="P5" s="3353"/>
      <c r="Q5" s="3290"/>
      <c r="R5" s="3295"/>
      <c r="S5" s="3296"/>
      <c r="T5" s="3295"/>
      <c r="U5" s="3296"/>
      <c r="V5" s="3300"/>
      <c r="W5" s="3300"/>
      <c r="X5" s="1817"/>
      <c r="Y5" s="3295"/>
      <c r="Z5" s="3296"/>
      <c r="AA5" s="3313"/>
      <c r="AB5" s="3313"/>
      <c r="AC5" s="3313"/>
    </row>
    <row r="6" spans="1:29" ht="15.75" thickBot="1">
      <c r="A6" s="406"/>
      <c r="B6" s="407"/>
      <c r="C6" s="3363" t="s">
        <v>2795</v>
      </c>
      <c r="D6" s="3364"/>
      <c r="E6" s="3365" t="s">
        <v>2795</v>
      </c>
      <c r="F6" s="3366"/>
      <c r="G6" s="3363" t="s">
        <v>2795</v>
      </c>
      <c r="H6" s="3364"/>
      <c r="I6" s="3363" t="s">
        <v>2795</v>
      </c>
      <c r="J6" s="3364"/>
      <c r="K6" s="610" t="s">
        <v>2545</v>
      </c>
      <c r="L6" s="1133"/>
      <c r="M6" s="1134"/>
      <c r="N6" s="1134"/>
      <c r="O6" s="1134"/>
      <c r="P6" s="3354"/>
      <c r="Q6" s="3292"/>
      <c r="R6" s="3295"/>
      <c r="S6" s="3296"/>
      <c r="T6" s="3297"/>
      <c r="U6" s="3298"/>
      <c r="V6" s="3300"/>
      <c r="W6" s="3300"/>
      <c r="X6" s="1817"/>
      <c r="Y6" s="3297"/>
      <c r="Z6" s="3298"/>
      <c r="AA6" s="3314"/>
      <c r="AB6" s="3314"/>
      <c r="AC6" s="3314"/>
    </row>
    <row r="7" spans="1:29" s="116" customFormat="1" ht="15.75" thickBot="1">
      <c r="A7" s="408" t="s">
        <v>2546</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307" t="s">
        <v>2547</v>
      </c>
      <c r="Q7" s="3308"/>
      <c r="R7" s="770" t="s">
        <v>17</v>
      </c>
      <c r="S7" s="771">
        <f t="shared" ref="S7:S15" si="0">F7</f>
        <v>0</v>
      </c>
      <c r="T7" s="770" t="s">
        <v>17</v>
      </c>
      <c r="U7" s="771">
        <f t="shared" ref="U7:U15" si="1">H7</f>
        <v>0</v>
      </c>
      <c r="V7" s="770" t="s">
        <v>17</v>
      </c>
      <c r="W7" s="771">
        <f t="shared" ref="W7:W15" si="2">J7</f>
        <v>0</v>
      </c>
      <c r="X7" s="772"/>
      <c r="Y7" s="3307" t="s">
        <v>2547</v>
      </c>
      <c r="Z7" s="3306"/>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7" t="s">
        <v>2550</v>
      </c>
      <c r="Q8" s="3306"/>
      <c r="R8" s="770" t="s">
        <v>17</v>
      </c>
      <c r="S8" s="771">
        <f t="shared" si="0"/>
        <v>0</v>
      </c>
      <c r="T8" s="770" t="s">
        <v>17</v>
      </c>
      <c r="U8" s="771">
        <f t="shared" si="1"/>
        <v>0</v>
      </c>
      <c r="V8" s="770" t="s">
        <v>17</v>
      </c>
      <c r="W8" s="771">
        <f t="shared" si="2"/>
        <v>0</v>
      </c>
      <c r="X8" s="772"/>
      <c r="Y8" s="3307" t="s">
        <v>2550</v>
      </c>
      <c r="Z8" s="3306"/>
      <c r="AA8" s="773" t="e">
        <f t="shared" ref="AA8:AA40" si="3">D8/F8</f>
        <v>#DIV/0!</v>
      </c>
      <c r="AB8" s="773" t="e">
        <f t="shared" ref="AB8:AB40" si="4">D8/H8</f>
        <v>#DIV/0!</v>
      </c>
      <c r="AC8" s="773" t="e">
        <f t="shared" ref="AC8:AC40" si="5">D8/J8</f>
        <v>#DIV/0!</v>
      </c>
    </row>
    <row r="9" spans="1:29" s="116" customFormat="1">
      <c r="A9" s="415" t="s">
        <v>2551</v>
      </c>
      <c r="B9" s="70" t="s">
        <v>2552</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66" t="s">
        <v>2553</v>
      </c>
      <c r="Q9" s="1799" t="str">
        <f t="shared" ref="Q9:Q15" si="6">B9</f>
        <v>用途</v>
      </c>
      <c r="R9" s="770" t="s">
        <v>17</v>
      </c>
      <c r="S9" s="771">
        <f t="shared" si="0"/>
        <v>100</v>
      </c>
      <c r="T9" s="770" t="s">
        <v>17</v>
      </c>
      <c r="U9" s="771">
        <f t="shared" si="1"/>
        <v>100</v>
      </c>
      <c r="V9" s="770" t="s">
        <v>17</v>
      </c>
      <c r="W9" s="771">
        <f t="shared" si="2"/>
        <v>100</v>
      </c>
      <c r="X9" s="772"/>
      <c r="Y9" s="3119"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66"/>
      <c r="Q10" s="1799" t="str">
        <f t="shared" si="6"/>
        <v>土地使用年限（年）</v>
      </c>
      <c r="R10" s="770" t="s">
        <v>17</v>
      </c>
      <c r="S10" s="771">
        <f t="shared" si="0"/>
        <v>111</v>
      </c>
      <c r="T10" s="770" t="s">
        <v>17</v>
      </c>
      <c r="U10" s="771">
        <f t="shared" si="1"/>
        <v>111</v>
      </c>
      <c r="V10" s="770" t="s">
        <v>17</v>
      </c>
      <c r="W10" s="771">
        <f t="shared" si="2"/>
        <v>111</v>
      </c>
      <c r="X10" s="772"/>
      <c r="Y10" s="3119"/>
      <c r="Z10" s="54"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66"/>
      <c r="Q11" s="1799" t="str">
        <f t="shared" si="6"/>
        <v>容积率</v>
      </c>
      <c r="R11" s="770" t="s">
        <v>17</v>
      </c>
      <c r="S11" s="771" t="e">
        <f t="shared" si="0"/>
        <v>#N/A</v>
      </c>
      <c r="T11" s="770" t="s">
        <v>17</v>
      </c>
      <c r="U11" s="771" t="e">
        <f t="shared" si="1"/>
        <v>#N/A</v>
      </c>
      <c r="V11" s="770" t="s">
        <v>17</v>
      </c>
      <c r="W11" s="771" t="e">
        <f t="shared" si="2"/>
        <v>#N/A</v>
      </c>
      <c r="X11" s="772"/>
      <c r="Y11" s="3119"/>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66"/>
      <c r="Q12" s="1799">
        <f t="shared" si="6"/>
        <v>111</v>
      </c>
      <c r="R12" s="770" t="s">
        <v>17</v>
      </c>
      <c r="S12" s="771">
        <f t="shared" si="0"/>
        <v>100</v>
      </c>
      <c r="T12" s="770" t="s">
        <v>17</v>
      </c>
      <c r="U12" s="771">
        <f t="shared" si="1"/>
        <v>100</v>
      </c>
      <c r="V12" s="770" t="s">
        <v>17</v>
      </c>
      <c r="W12" s="771">
        <f t="shared" si="2"/>
        <v>100</v>
      </c>
      <c r="X12" s="772"/>
      <c r="Y12" s="3119"/>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66"/>
      <c r="Q13" s="1799">
        <f t="shared" si="6"/>
        <v>111</v>
      </c>
      <c r="R13" s="770" t="s">
        <v>17</v>
      </c>
      <c r="S13" s="771">
        <f t="shared" si="0"/>
        <v>100</v>
      </c>
      <c r="T13" s="770" t="s">
        <v>17</v>
      </c>
      <c r="U13" s="771">
        <f t="shared" si="1"/>
        <v>100</v>
      </c>
      <c r="V13" s="770" t="s">
        <v>17</v>
      </c>
      <c r="W13" s="771">
        <f t="shared" si="2"/>
        <v>100</v>
      </c>
      <c r="X13" s="772"/>
      <c r="Y13" s="3119"/>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9">
        <f t="shared" si="6"/>
        <v>111</v>
      </c>
      <c r="R14" s="770" t="s">
        <v>17</v>
      </c>
      <c r="S14" s="771">
        <f t="shared" si="0"/>
        <v>100</v>
      </c>
      <c r="T14" s="770" t="s">
        <v>17</v>
      </c>
      <c r="U14" s="771">
        <f t="shared" si="1"/>
        <v>100</v>
      </c>
      <c r="V14" s="770" t="s">
        <v>17</v>
      </c>
      <c r="W14" s="771">
        <f t="shared" si="2"/>
        <v>100</v>
      </c>
      <c r="X14" s="772"/>
      <c r="Y14" s="3119"/>
      <c r="Z14" s="54">
        <f t="shared" si="7"/>
        <v>111</v>
      </c>
      <c r="AA14" s="773">
        <f t="shared" si="3"/>
        <v>1</v>
      </c>
      <c r="AB14" s="773">
        <f t="shared" si="4"/>
        <v>1</v>
      </c>
      <c r="AC14" s="773">
        <f t="shared" si="5"/>
        <v>1</v>
      </c>
    </row>
    <row r="15" spans="1:29" ht="57">
      <c r="A15" s="440" t="s">
        <v>2557</v>
      </c>
      <c r="B15" s="629" t="s">
        <v>2796</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3" t="s">
        <v>2558</v>
      </c>
      <c r="Q15" s="1814" t="str">
        <f t="shared" si="6"/>
        <v>产业集聚程度</v>
      </c>
      <c r="R15" s="774" t="s">
        <v>17</v>
      </c>
      <c r="S15" s="775">
        <f t="shared" si="0"/>
        <v>100</v>
      </c>
      <c r="T15" s="774" t="s">
        <v>17</v>
      </c>
      <c r="U15" s="775">
        <f t="shared" si="1"/>
        <v>100</v>
      </c>
      <c r="V15" s="774" t="s">
        <v>17</v>
      </c>
      <c r="W15" s="775">
        <f t="shared" si="2"/>
        <v>100</v>
      </c>
      <c r="X15" s="1817"/>
      <c r="Y15" s="3273" t="s">
        <v>2558</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74"/>
      <c r="Q16" s="1814"/>
      <c r="R16" s="774"/>
      <c r="S16" s="775"/>
      <c r="T16" s="774"/>
      <c r="U16" s="775"/>
      <c r="V16" s="774"/>
      <c r="W16" s="775"/>
      <c r="X16" s="1817"/>
      <c r="Y16" s="3274"/>
      <c r="Z16" s="1818"/>
      <c r="AA16" s="1815">
        <v>1</v>
      </c>
      <c r="AB16" s="1815">
        <v>1</v>
      </c>
      <c r="AC16" s="1815">
        <v>1</v>
      </c>
    </row>
    <row r="17" spans="1:29" ht="128.25">
      <c r="A17" s="428"/>
      <c r="B17" s="631" t="s">
        <v>2707</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4"/>
      <c r="Q17" s="1814" t="str">
        <f>B17</f>
        <v>交通便捷度</v>
      </c>
      <c r="R17" s="774" t="s">
        <v>17</v>
      </c>
      <c r="S17" s="775">
        <f>F17</f>
        <v>100</v>
      </c>
      <c r="T17" s="774" t="s">
        <v>17</v>
      </c>
      <c r="U17" s="775">
        <f>H17</f>
        <v>100</v>
      </c>
      <c r="V17" s="774" t="s">
        <v>17</v>
      </c>
      <c r="W17" s="775">
        <f>J17</f>
        <v>100</v>
      </c>
      <c r="X17" s="1817"/>
      <c r="Y17" s="3274"/>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74"/>
      <c r="Q18" s="1814"/>
      <c r="R18" s="774"/>
      <c r="S18" s="775"/>
      <c r="T18" s="774"/>
      <c r="U18" s="775"/>
      <c r="V18" s="774"/>
      <c r="W18" s="775"/>
      <c r="X18" s="1817"/>
      <c r="Y18" s="3274"/>
      <c r="Z18" s="1818"/>
      <c r="AA18" s="1815">
        <v>1</v>
      </c>
      <c r="AB18" s="1815">
        <v>1</v>
      </c>
      <c r="AC18" s="1815">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4"/>
      <c r="Q19" s="1814" t="str">
        <f t="shared" ref="Q19:Q33" si="8">B19</f>
        <v>区域土地利用方向</v>
      </c>
      <c r="R19" s="774" t="s">
        <v>17</v>
      </c>
      <c r="S19" s="775">
        <f>F19</f>
        <v>100</v>
      </c>
      <c r="T19" s="774" t="s">
        <v>17</v>
      </c>
      <c r="U19" s="775">
        <f>H19</f>
        <v>100</v>
      </c>
      <c r="V19" s="774" t="s">
        <v>17</v>
      </c>
      <c r="W19" s="775">
        <f>J19</f>
        <v>100</v>
      </c>
      <c r="X19" s="1817"/>
      <c r="Y19" s="3274"/>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74"/>
      <c r="Q20" s="1814"/>
      <c r="R20" s="774"/>
      <c r="S20" s="775"/>
      <c r="T20" s="774"/>
      <c r="U20" s="775"/>
      <c r="V20" s="774"/>
      <c r="W20" s="775"/>
      <c r="X20" s="1817"/>
      <c r="Y20" s="3274"/>
      <c r="Z20" s="1818"/>
      <c r="AA20" s="1815"/>
      <c r="AB20" s="1815"/>
      <c r="AC20" s="1815"/>
    </row>
    <row r="21" spans="1:29" ht="85.5">
      <c r="A21" s="404"/>
      <c r="B21" s="631" t="s">
        <v>2797</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4"/>
      <c r="Q21" s="1814" t="str">
        <f t="shared" si="8"/>
        <v>环境状况</v>
      </c>
      <c r="R21" s="774" t="s">
        <v>17</v>
      </c>
      <c r="S21" s="775">
        <f>F21</f>
        <v>100</v>
      </c>
      <c r="T21" s="774" t="s">
        <v>17</v>
      </c>
      <c r="U21" s="775">
        <f>H21</f>
        <v>100</v>
      </c>
      <c r="V21" s="774" t="s">
        <v>17</v>
      </c>
      <c r="W21" s="775">
        <f>J21</f>
        <v>100</v>
      </c>
      <c r="X21" s="1817"/>
      <c r="Y21" s="3274"/>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74"/>
      <c r="Q22" s="1814"/>
      <c r="R22" s="774"/>
      <c r="S22" s="775"/>
      <c r="T22" s="774"/>
      <c r="U22" s="775"/>
      <c r="V22" s="774"/>
      <c r="W22" s="775"/>
      <c r="X22" s="1817"/>
      <c r="Y22" s="3274"/>
      <c r="Z22" s="1818"/>
      <c r="AA22" s="1815">
        <v>1</v>
      </c>
      <c r="AB22" s="1815">
        <v>1</v>
      </c>
      <c r="AC22" s="1815">
        <v>1</v>
      </c>
    </row>
    <row r="23" spans="1:29" s="116" customFormat="1" ht="199.5">
      <c r="A23" s="649"/>
      <c r="B23" s="633" t="s">
        <v>2652</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4"/>
      <c r="Q23" s="1799" t="str">
        <f t="shared" si="8"/>
        <v>公共配套设施</v>
      </c>
      <c r="R23" s="770" t="s">
        <v>17</v>
      </c>
      <c r="S23" s="771">
        <f>F23</f>
        <v>100</v>
      </c>
      <c r="T23" s="770" t="s">
        <v>17</v>
      </c>
      <c r="U23" s="771">
        <f>H23</f>
        <v>100</v>
      </c>
      <c r="V23" s="770" t="s">
        <v>17</v>
      </c>
      <c r="W23" s="771">
        <f>J23</f>
        <v>100</v>
      </c>
      <c r="X23" s="772"/>
      <c r="Y23" s="3274"/>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74"/>
      <c r="Q24" s="1799"/>
      <c r="R24" s="770"/>
      <c r="S24" s="771"/>
      <c r="T24" s="770"/>
      <c r="U24" s="771"/>
      <c r="V24" s="770"/>
      <c r="W24" s="771"/>
      <c r="X24" s="772"/>
      <c r="Y24" s="3274"/>
      <c r="Z24" s="54"/>
      <c r="AA24" s="773">
        <v>1</v>
      </c>
      <c r="AB24" s="773">
        <v>1</v>
      </c>
      <c r="AC24" s="773">
        <v>1</v>
      </c>
    </row>
    <row r="25" spans="1:29" s="116" customFormat="1" ht="42.75">
      <c r="A25" s="649"/>
      <c r="B25" s="633" t="s">
        <v>2653</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4"/>
      <c r="Q25" s="1799" t="str">
        <f t="shared" ref="Q25" si="9">B25</f>
        <v>基础设施水平</v>
      </c>
      <c r="R25" s="770" t="s">
        <v>17</v>
      </c>
      <c r="S25" s="771">
        <f>F25</f>
        <v>100</v>
      </c>
      <c r="T25" s="770" t="s">
        <v>17</v>
      </c>
      <c r="U25" s="771">
        <f>H25</f>
        <v>100</v>
      </c>
      <c r="V25" s="770" t="s">
        <v>17</v>
      </c>
      <c r="W25" s="771">
        <f>J25</f>
        <v>100</v>
      </c>
      <c r="X25" s="772"/>
      <c r="Y25" s="3274"/>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74"/>
      <c r="Q26" s="1799"/>
      <c r="R26" s="770"/>
      <c r="S26" s="771"/>
      <c r="T26" s="770"/>
      <c r="U26" s="771"/>
      <c r="V26" s="770"/>
      <c r="W26" s="771"/>
      <c r="X26" s="772"/>
      <c r="Y26" s="3274"/>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4"/>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74"/>
      <c r="Z27" s="1818" t="str">
        <f t="shared" ref="Z27:Z40" si="13">Q27</f>
        <v>临街状况</v>
      </c>
      <c r="AA27" s="1815">
        <f t="shared" si="3"/>
        <v>1</v>
      </c>
      <c r="AB27" s="1815">
        <f t="shared" si="4"/>
        <v>1</v>
      </c>
      <c r="AC27" s="1815">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4"/>
      <c r="Q28" s="1814" t="str">
        <f t="shared" si="8"/>
        <v>毗邻道路的类型与等级</v>
      </c>
      <c r="R28" s="774" t="s">
        <v>17</v>
      </c>
      <c r="S28" s="775">
        <f t="shared" si="10"/>
        <v>100</v>
      </c>
      <c r="T28" s="774" t="s">
        <v>17</v>
      </c>
      <c r="U28" s="775">
        <f t="shared" si="11"/>
        <v>100</v>
      </c>
      <c r="V28" s="774" t="s">
        <v>17</v>
      </c>
      <c r="W28" s="775">
        <f t="shared" si="12"/>
        <v>100</v>
      </c>
      <c r="X28" s="1817"/>
      <c r="Y28" s="3274"/>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74"/>
      <c r="Q29" s="1814"/>
      <c r="R29" s="774"/>
      <c r="S29" s="775"/>
      <c r="T29" s="774"/>
      <c r="U29" s="775"/>
      <c r="V29" s="774"/>
      <c r="W29" s="775"/>
      <c r="X29" s="1817"/>
      <c r="Y29" s="3274"/>
      <c r="Z29" s="1818"/>
      <c r="AA29" s="1815">
        <v>1</v>
      </c>
      <c r="AB29" s="1815">
        <v>1</v>
      </c>
      <c r="AC29" s="1815">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4"/>
      <c r="Q30" s="1814" t="str">
        <f t="shared" si="8"/>
        <v>土地级别</v>
      </c>
      <c r="R30" s="774" t="s">
        <v>17</v>
      </c>
      <c r="S30" s="775">
        <f t="shared" si="10"/>
        <v>100</v>
      </c>
      <c r="T30" s="774" t="s">
        <v>17</v>
      </c>
      <c r="U30" s="775">
        <f t="shared" si="11"/>
        <v>100</v>
      </c>
      <c r="V30" s="774" t="s">
        <v>17</v>
      </c>
      <c r="W30" s="775">
        <f t="shared" si="12"/>
        <v>100</v>
      </c>
      <c r="X30" s="1817"/>
      <c r="Y30" s="3274"/>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4"/>
      <c r="Q31" s="1814">
        <f t="shared" si="8"/>
        <v>111</v>
      </c>
      <c r="R31" s="774" t="s">
        <v>17</v>
      </c>
      <c r="S31" s="775">
        <f t="shared" si="10"/>
        <v>100</v>
      </c>
      <c r="T31" s="774" t="s">
        <v>17</v>
      </c>
      <c r="U31" s="775">
        <f t="shared" si="11"/>
        <v>100</v>
      </c>
      <c r="V31" s="774" t="s">
        <v>17</v>
      </c>
      <c r="W31" s="775">
        <f t="shared" si="12"/>
        <v>100</v>
      </c>
      <c r="X31" s="1817"/>
      <c r="Y31" s="3274"/>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58" t="s">
        <v>2563</v>
      </c>
      <c r="Q32" s="1814">
        <f t="shared" si="8"/>
        <v>111</v>
      </c>
      <c r="R32" s="774" t="s">
        <v>17</v>
      </c>
      <c r="S32" s="775">
        <f t="shared" si="10"/>
        <v>100</v>
      </c>
      <c r="T32" s="774" t="s">
        <v>17</v>
      </c>
      <c r="U32" s="775">
        <f t="shared" si="11"/>
        <v>100</v>
      </c>
      <c r="V32" s="774" t="s">
        <v>17</v>
      </c>
      <c r="W32" s="775">
        <f t="shared" si="12"/>
        <v>100</v>
      </c>
      <c r="X32" s="1817"/>
      <c r="Y32" s="3278" t="s">
        <v>2563</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8"/>
      <c r="Q33" s="1814">
        <f t="shared" si="8"/>
        <v>111</v>
      </c>
      <c r="R33" s="777" t="s">
        <v>17</v>
      </c>
      <c r="S33" s="778">
        <f t="shared" si="10"/>
        <v>100</v>
      </c>
      <c r="T33" s="777" t="s">
        <v>17</v>
      </c>
      <c r="U33" s="778">
        <f t="shared" si="11"/>
        <v>100</v>
      </c>
      <c r="V33" s="777" t="s">
        <v>17</v>
      </c>
      <c r="W33" s="778">
        <f t="shared" si="12"/>
        <v>100</v>
      </c>
      <c r="X33" s="779"/>
      <c r="Y33" s="3278"/>
      <c r="Z33" s="780">
        <f t="shared" si="13"/>
        <v>111</v>
      </c>
      <c r="AA33" s="1815">
        <f t="shared" si="3"/>
        <v>1</v>
      </c>
      <c r="AB33" s="1815">
        <f t="shared" si="4"/>
        <v>1</v>
      </c>
      <c r="AC33" s="181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8"/>
      <c r="Q34" s="1814" t="str">
        <f>B34</f>
        <v>宗地面积</v>
      </c>
      <c r="R34" s="774" t="s">
        <v>17</v>
      </c>
      <c r="S34" s="775" t="e">
        <f t="shared" si="10"/>
        <v>#N/A</v>
      </c>
      <c r="T34" s="774" t="s">
        <v>17</v>
      </c>
      <c r="U34" s="775" t="e">
        <f t="shared" si="11"/>
        <v>#N/A</v>
      </c>
      <c r="V34" s="774" t="s">
        <v>17</v>
      </c>
      <c r="W34" s="775" t="e">
        <f t="shared" si="12"/>
        <v>#N/A</v>
      </c>
      <c r="X34" s="1817"/>
      <c r="Y34" s="3278"/>
      <c r="Z34" s="1818" t="str">
        <f t="shared" si="13"/>
        <v>宗地面积</v>
      </c>
      <c r="AA34" s="1815" t="e">
        <f t="shared" si="3"/>
        <v>#N/A</v>
      </c>
      <c r="AB34" s="1815" t="e">
        <f t="shared" si="4"/>
        <v>#N/A</v>
      </c>
      <c r="AC34" s="1815"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78"/>
      <c r="Q35" s="1814" t="str">
        <f t="shared" ref="Q35:Q40" si="14">B35</f>
        <v>宗地形状</v>
      </c>
      <c r="R35" s="774" t="s">
        <v>17</v>
      </c>
      <c r="S35" s="775">
        <f t="shared" si="10"/>
        <v>100</v>
      </c>
      <c r="T35" s="774" t="s">
        <v>17</v>
      </c>
      <c r="U35" s="775">
        <f t="shared" si="11"/>
        <v>100</v>
      </c>
      <c r="V35" s="774" t="s">
        <v>17</v>
      </c>
      <c r="W35" s="775">
        <f t="shared" si="12"/>
        <v>100</v>
      </c>
      <c r="X35" s="1817"/>
      <c r="Y35" s="3278"/>
      <c r="Z35" s="1818" t="str">
        <f t="shared" si="13"/>
        <v>宗地形状</v>
      </c>
      <c r="AA35" s="1815">
        <f t="shared" si="3"/>
        <v>1</v>
      </c>
      <c r="AB35" s="1815">
        <f t="shared" si="4"/>
        <v>1</v>
      </c>
      <c r="AC35" s="1815">
        <f t="shared" si="5"/>
        <v>1</v>
      </c>
    </row>
    <row r="36" spans="1:29" s="116" customFormat="1" ht="15">
      <c r="A36" s="473"/>
      <c r="B36" s="422" t="s">
        <v>2752</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78"/>
      <c r="Q36" s="1814" t="str">
        <f t="shared" si="14"/>
        <v>宗地开发程度</v>
      </c>
      <c r="R36" s="770" t="s">
        <v>17</v>
      </c>
      <c r="S36" s="771">
        <f t="shared" si="10"/>
        <v>100</v>
      </c>
      <c r="T36" s="770" t="s">
        <v>17</v>
      </c>
      <c r="U36" s="771">
        <f t="shared" si="11"/>
        <v>100</v>
      </c>
      <c r="V36" s="770" t="s">
        <v>17</v>
      </c>
      <c r="W36" s="771">
        <f t="shared" si="12"/>
        <v>100</v>
      </c>
      <c r="X36" s="772"/>
      <c r="Y36" s="3278"/>
      <c r="Z36" s="54"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78" t="s">
        <v>2563</v>
      </c>
      <c r="Q37" s="1814" t="str">
        <f t="shared" si="14"/>
        <v>工程地质条件</v>
      </c>
      <c r="R37" s="774" t="s">
        <v>17</v>
      </c>
      <c r="S37" s="775">
        <f t="shared" si="10"/>
        <v>100</v>
      </c>
      <c r="T37" s="774" t="s">
        <v>17</v>
      </c>
      <c r="U37" s="775">
        <f t="shared" si="11"/>
        <v>100</v>
      </c>
      <c r="V37" s="774" t="s">
        <v>17</v>
      </c>
      <c r="W37" s="775">
        <f t="shared" si="12"/>
        <v>100</v>
      </c>
      <c r="X37" s="1817"/>
      <c r="Y37" s="3278" t="s">
        <v>2563</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8"/>
      <c r="Q38" s="1814">
        <f t="shared" si="14"/>
        <v>111</v>
      </c>
      <c r="R38" s="774" t="s">
        <v>17</v>
      </c>
      <c r="S38" s="775">
        <f t="shared" si="10"/>
        <v>100</v>
      </c>
      <c r="T38" s="774" t="s">
        <v>17</v>
      </c>
      <c r="U38" s="775">
        <f t="shared" si="11"/>
        <v>100</v>
      </c>
      <c r="V38" s="774" t="s">
        <v>17</v>
      </c>
      <c r="W38" s="775">
        <f t="shared" si="12"/>
        <v>100</v>
      </c>
      <c r="X38" s="1817"/>
      <c r="Y38" s="3278"/>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8"/>
      <c r="Q39" s="1814">
        <f t="shared" si="14"/>
        <v>111</v>
      </c>
      <c r="R39" s="774" t="s">
        <v>17</v>
      </c>
      <c r="S39" s="775">
        <f t="shared" si="10"/>
        <v>100</v>
      </c>
      <c r="T39" s="774" t="s">
        <v>17</v>
      </c>
      <c r="U39" s="775">
        <f t="shared" si="11"/>
        <v>100</v>
      </c>
      <c r="V39" s="774" t="s">
        <v>17</v>
      </c>
      <c r="W39" s="775">
        <f t="shared" si="12"/>
        <v>100</v>
      </c>
      <c r="X39" s="1817"/>
      <c r="Y39" s="3278"/>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8"/>
      <c r="Q40" s="1814">
        <f t="shared" si="14"/>
        <v>111</v>
      </c>
      <c r="R40" s="777" t="s">
        <v>17</v>
      </c>
      <c r="S40" s="778">
        <f t="shared" si="10"/>
        <v>100</v>
      </c>
      <c r="T40" s="777" t="s">
        <v>17</v>
      </c>
      <c r="U40" s="778">
        <f t="shared" si="11"/>
        <v>100</v>
      </c>
      <c r="V40" s="777" t="s">
        <v>17</v>
      </c>
      <c r="W40" s="778">
        <f t="shared" si="12"/>
        <v>100</v>
      </c>
      <c r="X40" s="779"/>
      <c r="Y40" s="3278"/>
      <c r="Z40" s="780">
        <f t="shared" si="13"/>
        <v>111</v>
      </c>
      <c r="AA40" s="1815">
        <f t="shared" si="3"/>
        <v>1</v>
      </c>
      <c r="AB40" s="1815">
        <f t="shared" si="4"/>
        <v>1</v>
      </c>
      <c r="AC40" s="1815">
        <f t="shared" si="5"/>
        <v>1</v>
      </c>
    </row>
    <row r="41" spans="1:29" ht="15">
      <c r="A41" s="479" t="s">
        <v>2718</v>
      </c>
      <c r="B41" s="2706" t="s">
        <v>2798</v>
      </c>
      <c r="C41" s="682" t="s">
        <v>1</v>
      </c>
      <c r="D41" s="481"/>
      <c r="E41" s="482"/>
      <c r="F41" s="483"/>
      <c r="G41" s="484"/>
      <c r="H41" s="485"/>
      <c r="I41" s="482"/>
      <c r="J41" s="485"/>
      <c r="K41" s="783"/>
      <c r="L41" s="1146"/>
      <c r="M41" s="1134"/>
      <c r="N41" s="1134"/>
      <c r="O41" s="1147"/>
      <c r="P41" s="3266" t="str">
        <f>A41</f>
        <v>成交单价</v>
      </c>
      <c r="Q41" s="3266"/>
      <c r="R41" s="3300">
        <f>E41</f>
        <v>0</v>
      </c>
      <c r="S41" s="3300"/>
      <c r="T41" s="3300">
        <f>G41</f>
        <v>0</v>
      </c>
      <c r="U41" s="3300"/>
      <c r="V41" s="3300">
        <f>I41</f>
        <v>0</v>
      </c>
      <c r="W41" s="330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59" t="e">
        <f>ROUND(PRODUCT(R41,AA7:AA40),0)</f>
        <v>#DIV/0!</v>
      </c>
      <c r="S42" s="3359"/>
      <c r="T42" s="3359" t="e">
        <f>ROUND(PRODUCT(T41,AB7:AB40),0)</f>
        <v>#DIV/0!</v>
      </c>
      <c r="U42" s="3359"/>
      <c r="V42" s="3359" t="e">
        <f>ROUND(PRODUCT(V41,AC7:AC40),0)</f>
        <v>#DIV/0!</v>
      </c>
      <c r="W42" s="335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47" t="str">
        <f>A43</f>
        <v>估价对象XX用房的比较价值（楼面单价，元/平方米）</v>
      </c>
      <c r="Q43" s="3348"/>
      <c r="R43" s="3360" t="e">
        <f>ROUND(AVERAGE(R42:V42),0)</f>
        <v>#DIV/0!</v>
      </c>
      <c r="S43" s="3360"/>
      <c r="T43" s="3360"/>
      <c r="U43" s="3360"/>
      <c r="V43" s="3360"/>
      <c r="W43" s="33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283" t="s">
        <v>2762</v>
      </c>
      <c r="H50" s="3361"/>
      <c r="I50" s="1818" t="s">
        <v>2799</v>
      </c>
      <c r="J50" s="1818">
        <f>项目基本情况!F35</f>
        <v>0</v>
      </c>
      <c r="K50" s="2710" t="s">
        <v>2764</v>
      </c>
      <c r="L50" s="1109"/>
      <c r="M50" s="1147"/>
      <c r="N50" s="1147"/>
      <c r="O50" s="1147"/>
    </row>
    <row r="51" spans="1:17" s="692" customFormat="1">
      <c r="A51" s="688" t="s">
        <v>2765</v>
      </c>
      <c r="B51" s="689" t="e">
        <f>C43</f>
        <v>#DIV/0!</v>
      </c>
      <c r="C51" s="690">
        <v>1</v>
      </c>
      <c r="D51" s="1166">
        <v>1</v>
      </c>
      <c r="E51" s="690">
        <f>'数据-汇总表'!E8+'数据-汇总表'!E9</f>
        <v>27877.57</v>
      </c>
      <c r="F51" s="691" t="e">
        <f t="shared" ref="F51:F60" si="15">ROUND(B51*E51/10000,0)</f>
        <v>#DIV/0!</v>
      </c>
      <c r="G51" s="3265"/>
      <c r="H51" s="326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6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62"/>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62"/>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62"/>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0.3</v>
      </c>
      <c r="D56" s="1167">
        <v>0.25</v>
      </c>
      <c r="E56" s="261">
        <f>'数据-汇总表'!E11</f>
        <v>0</v>
      </c>
      <c r="F56" s="691" t="e">
        <f t="shared" si="15"/>
        <v>#DIV/0!</v>
      </c>
      <c r="G56" s="2711" t="s">
        <v>2772</v>
      </c>
      <c r="H56" s="1107" t="str">
        <f>项目基本情况!C37</f>
        <v>二级</v>
      </c>
      <c r="I56" s="945">
        <f>SUMIF(修正!A45:A56,H56,修正!F45:F56)</f>
        <v>0.3</v>
      </c>
      <c r="J56" s="946"/>
      <c r="K56" s="1147"/>
      <c r="L56" s="944"/>
      <c r="M56" s="944"/>
      <c r="N56" s="944"/>
      <c r="O56" s="944"/>
    </row>
    <row r="57" spans="1:17" s="692" customFormat="1">
      <c r="A57" s="693" t="s">
        <v>2773</v>
      </c>
      <c r="B57" s="262" t="e">
        <f t="shared" si="17"/>
        <v>#DIV/0!</v>
      </c>
      <c r="C57" s="200">
        <f t="shared" si="16"/>
        <v>0.3</v>
      </c>
      <c r="D57" s="1167">
        <v>0.25</v>
      </c>
      <c r="E57" s="261">
        <f>'数据-汇总表'!E12</f>
        <v>0</v>
      </c>
      <c r="F57" s="691" t="e">
        <f t="shared" si="15"/>
        <v>#DIV/0!</v>
      </c>
      <c r="G57" s="1112" t="s">
        <v>2774</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0.25</v>
      </c>
      <c r="D60" s="1167">
        <v>0.25</v>
      </c>
      <c r="E60" s="261">
        <f>'数据-汇总表'!E15</f>
        <v>0</v>
      </c>
      <c r="F60" s="691" t="e">
        <f t="shared" si="15"/>
        <v>#DIV/0!</v>
      </c>
      <c r="G60" s="2712" t="s">
        <v>2772</v>
      </c>
      <c r="H60" s="1117" t="str">
        <f>项目基本情况!C37</f>
        <v>二级</v>
      </c>
      <c r="I60" s="945">
        <f>SUMIF(修正!A45:A56,H60,修正!H45:H56)</f>
        <v>0.25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34936.35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2800</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2748</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2790</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2" zoomScale="90" zoomScaleNormal="90" workbookViewId="0">
      <selection activeCell="G48" sqref="G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3323</v>
      </c>
      <c r="G1" s="1635" t="s">
        <v>2530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16</v>
      </c>
      <c r="C2" s="2588" t="s">
        <v>70</v>
      </c>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5.8</v>
      </c>
      <c r="C3" s="400" t="s">
        <v>2532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2533</v>
      </c>
      <c r="B4" s="402"/>
      <c r="C4" s="3283" t="s">
        <v>2534</v>
      </c>
      <c r="D4" s="3284"/>
      <c r="E4" s="3285" t="s">
        <v>2535</v>
      </c>
      <c r="F4" s="3286"/>
      <c r="G4" s="3283" t="s">
        <v>2536</v>
      </c>
      <c r="H4" s="3284"/>
      <c r="I4" s="3283" t="s">
        <v>2537</v>
      </c>
      <c r="J4" s="3284"/>
      <c r="K4" s="610" t="s">
        <v>2538</v>
      </c>
      <c r="L4" s="1133"/>
      <c r="M4" s="1134"/>
      <c r="N4" s="1134"/>
      <c r="O4" s="1134"/>
      <c r="P4" s="3287" t="s">
        <v>2539</v>
      </c>
      <c r="Q4" s="3288"/>
      <c r="R4" s="3293" t="s">
        <v>2535</v>
      </c>
      <c r="S4" s="3294"/>
      <c r="T4" s="3293" t="s">
        <v>2536</v>
      </c>
      <c r="U4" s="3294"/>
      <c r="V4" s="3299" t="s">
        <v>2537</v>
      </c>
      <c r="W4" s="3299"/>
      <c r="X4" s="2968"/>
      <c r="Y4" s="3293" t="s">
        <v>2539</v>
      </c>
      <c r="Z4" s="3294"/>
      <c r="AA4" s="3312" t="s">
        <v>2535</v>
      </c>
      <c r="AB4" s="3312" t="s">
        <v>2536</v>
      </c>
      <c r="AC4" s="3280" t="s">
        <v>2537</v>
      </c>
    </row>
    <row r="5" spans="1:29" ht="15">
      <c r="A5" s="404"/>
      <c r="B5" s="405"/>
      <c r="C5" s="3309" t="s">
        <v>2540</v>
      </c>
      <c r="D5" s="3304"/>
      <c r="E5" s="3315" t="s">
        <v>3324</v>
      </c>
      <c r="F5" s="3316"/>
      <c r="G5" s="3303" t="s">
        <v>3324</v>
      </c>
      <c r="H5" s="3304"/>
      <c r="I5" s="3303" t="s">
        <v>3325</v>
      </c>
      <c r="J5" s="3304"/>
      <c r="K5" s="610"/>
      <c r="L5" s="1133"/>
      <c r="M5" s="1134"/>
      <c r="N5" s="1134"/>
      <c r="O5" s="1134"/>
      <c r="P5" s="3289"/>
      <c r="Q5" s="3290"/>
      <c r="R5" s="3295"/>
      <c r="S5" s="3296"/>
      <c r="T5" s="3295"/>
      <c r="U5" s="3296"/>
      <c r="V5" s="3300"/>
      <c r="W5" s="3300"/>
      <c r="X5" s="2966"/>
      <c r="Y5" s="3295"/>
      <c r="Z5" s="3296"/>
      <c r="AA5" s="3313"/>
      <c r="AB5" s="3313"/>
      <c r="AC5" s="3281"/>
    </row>
    <row r="6" spans="1:29" ht="15.75" thickBot="1">
      <c r="A6" s="406"/>
      <c r="B6" s="407"/>
      <c r="C6" s="3301" t="s">
        <v>2544</v>
      </c>
      <c r="D6" s="3302"/>
      <c r="E6" s="3310" t="s">
        <v>2544</v>
      </c>
      <c r="F6" s="3311"/>
      <c r="G6" s="3301" t="s">
        <v>2544</v>
      </c>
      <c r="H6" s="3302"/>
      <c r="I6" s="3301" t="s">
        <v>2544</v>
      </c>
      <c r="J6" s="3302"/>
      <c r="K6" s="610" t="s">
        <v>2545</v>
      </c>
      <c r="L6" s="1133"/>
      <c r="M6" s="1134"/>
      <c r="N6" s="1134"/>
      <c r="O6" s="1134"/>
      <c r="P6" s="3291"/>
      <c r="Q6" s="3292"/>
      <c r="R6" s="3295"/>
      <c r="S6" s="3296"/>
      <c r="T6" s="3297"/>
      <c r="U6" s="3298"/>
      <c r="V6" s="3300"/>
      <c r="W6" s="3300"/>
      <c r="X6" s="2966"/>
      <c r="Y6" s="3297"/>
      <c r="Z6" s="3298"/>
      <c r="AA6" s="3314"/>
      <c r="AB6" s="3314"/>
      <c r="AC6" s="3282"/>
    </row>
    <row r="7" spans="1:29" s="116" customFormat="1" ht="15.75" thickBot="1">
      <c r="A7" s="408" t="s">
        <v>2546</v>
      </c>
      <c r="B7" s="409"/>
      <c r="C7" s="410">
        <f>'数据-取费表'!B2</f>
        <v>43047</v>
      </c>
      <c r="D7" s="411">
        <v>100</v>
      </c>
      <c r="E7" s="412">
        <v>43047</v>
      </c>
      <c r="F7" s="413">
        <f>SUMIF(59:59,YEAR(E7)&amp;"-"&amp;MONTH(E7),60:60)</f>
        <v>100</v>
      </c>
      <c r="G7" s="412">
        <v>43047</v>
      </c>
      <c r="H7" s="411">
        <f>SUMIF(59:59,YEAR(G7)&amp;"-"&amp;MONTH(G7),60:60)</f>
        <v>100</v>
      </c>
      <c r="I7" s="412">
        <v>43047</v>
      </c>
      <c r="J7" s="411">
        <f>SUMIF(59:59,YEAR(I7)&amp;"-"&amp;MONTH(I7),60:60)</f>
        <v>100</v>
      </c>
      <c r="K7" s="611"/>
      <c r="L7" s="1135"/>
      <c r="M7" s="1136"/>
      <c r="N7" s="1136"/>
      <c r="O7" s="1136"/>
      <c r="P7" s="3305" t="s">
        <v>2547</v>
      </c>
      <c r="Q7" s="3308"/>
      <c r="R7" s="770" t="s">
        <v>17</v>
      </c>
      <c r="S7" s="771">
        <f t="shared" ref="S7:S15" si="0">F7</f>
        <v>100</v>
      </c>
      <c r="T7" s="770" t="s">
        <v>17</v>
      </c>
      <c r="U7" s="771">
        <f t="shared" ref="U7:U15" si="1">H7</f>
        <v>100</v>
      </c>
      <c r="V7" s="770" t="s">
        <v>17</v>
      </c>
      <c r="W7" s="771">
        <f t="shared" ref="W7:W15" si="2">J7</f>
        <v>100</v>
      </c>
      <c r="X7" s="772"/>
      <c r="Y7" s="3307" t="s">
        <v>2547</v>
      </c>
      <c r="Z7" s="3306"/>
      <c r="AA7" s="773">
        <f>D7/F7</f>
        <v>1</v>
      </c>
      <c r="AB7" s="773">
        <f>D7/H7</f>
        <v>1</v>
      </c>
      <c r="AC7" s="2673">
        <f>D7/J7</f>
        <v>1</v>
      </c>
    </row>
    <row r="8" spans="1:29" s="116" customFormat="1" ht="15.75" thickBot="1">
      <c r="A8" s="408" t="s">
        <v>2548</v>
      </c>
      <c r="B8" s="409"/>
      <c r="C8" s="414" t="s">
        <v>2585</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305" t="s">
        <v>2550</v>
      </c>
      <c r="Q8" s="3306"/>
      <c r="R8" s="770" t="s">
        <v>17</v>
      </c>
      <c r="S8" s="771">
        <f t="shared" si="0"/>
        <v>100</v>
      </c>
      <c r="T8" s="770" t="s">
        <v>17</v>
      </c>
      <c r="U8" s="771">
        <f t="shared" si="1"/>
        <v>100</v>
      </c>
      <c r="V8" s="770" t="s">
        <v>17</v>
      </c>
      <c r="W8" s="771">
        <f t="shared" si="2"/>
        <v>100</v>
      </c>
      <c r="X8" s="772"/>
      <c r="Y8" s="3307" t="s">
        <v>2550</v>
      </c>
      <c r="Z8" s="3306"/>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65" t="s">
        <v>2553</v>
      </c>
      <c r="Q9" s="2941" t="str">
        <f t="shared" ref="Q9:Q15" si="6">B9</f>
        <v>用途</v>
      </c>
      <c r="R9" s="770" t="s">
        <v>17</v>
      </c>
      <c r="S9" s="771">
        <f t="shared" si="0"/>
        <v>110</v>
      </c>
      <c r="T9" s="770" t="s">
        <v>17</v>
      </c>
      <c r="U9" s="771">
        <f t="shared" si="1"/>
        <v>110</v>
      </c>
      <c r="V9" s="770" t="s">
        <v>17</v>
      </c>
      <c r="W9" s="771">
        <f t="shared" si="2"/>
        <v>110</v>
      </c>
      <c r="X9" s="772"/>
      <c r="Y9" s="3119" t="s">
        <v>2554</v>
      </c>
      <c r="Z9" s="2943" t="str">
        <f t="shared" ref="Z9:Z15" si="7">Q9</f>
        <v>用途</v>
      </c>
      <c r="AA9" s="773">
        <f t="shared" si="3"/>
        <v>0.90909090909090906</v>
      </c>
      <c r="AB9" s="773">
        <f t="shared" si="4"/>
        <v>0.90909090909090906</v>
      </c>
      <c r="AC9" s="2673">
        <f t="shared" si="5"/>
        <v>0.90909090909090906</v>
      </c>
    </row>
    <row r="10" spans="1:29" s="427" customFormat="1" ht="27">
      <c r="A10" s="421"/>
      <c r="B10" s="2953"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65"/>
      <c r="Q10" s="2941" t="str">
        <f t="shared" si="6"/>
        <v>土地使用年限（年）</v>
      </c>
      <c r="R10" s="770" t="s">
        <v>17</v>
      </c>
      <c r="S10" s="771">
        <f t="shared" si="0"/>
        <v>100</v>
      </c>
      <c r="T10" s="770" t="s">
        <v>17</v>
      </c>
      <c r="U10" s="771">
        <f t="shared" si="1"/>
        <v>100</v>
      </c>
      <c r="V10" s="770" t="s">
        <v>17</v>
      </c>
      <c r="W10" s="771">
        <f t="shared" si="2"/>
        <v>100</v>
      </c>
      <c r="X10" s="772"/>
      <c r="Y10" s="3119"/>
      <c r="Z10" s="2943" t="str">
        <f t="shared" si="7"/>
        <v>土地使用年限（年）</v>
      </c>
      <c r="AA10" s="773">
        <f t="shared" si="3"/>
        <v>1</v>
      </c>
      <c r="AB10" s="773">
        <f t="shared" si="4"/>
        <v>1</v>
      </c>
      <c r="AC10" s="2673">
        <f t="shared" si="5"/>
        <v>1</v>
      </c>
    </row>
    <row r="11" spans="1:29" ht="15">
      <c r="A11" s="428"/>
      <c r="B11" s="2953"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5"/>
      <c r="Q11" s="2941" t="str">
        <f t="shared" si="6"/>
        <v>容积率</v>
      </c>
      <c r="R11" s="770" t="s">
        <v>17</v>
      </c>
      <c r="S11" s="771">
        <f t="shared" si="0"/>
        <v>100</v>
      </c>
      <c r="T11" s="770" t="s">
        <v>17</v>
      </c>
      <c r="U11" s="771">
        <f t="shared" si="1"/>
        <v>100</v>
      </c>
      <c r="V11" s="770" t="s">
        <v>17</v>
      </c>
      <c r="W11" s="771">
        <f t="shared" si="2"/>
        <v>100</v>
      </c>
      <c r="X11" s="772"/>
      <c r="Y11" s="3119"/>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5"/>
      <c r="Q12" s="2941">
        <f t="shared" si="6"/>
        <v>111</v>
      </c>
      <c r="R12" s="770" t="s">
        <v>17</v>
      </c>
      <c r="S12" s="771">
        <f t="shared" si="0"/>
        <v>100</v>
      </c>
      <c r="T12" s="770" t="s">
        <v>17</v>
      </c>
      <c r="U12" s="771">
        <f t="shared" si="1"/>
        <v>100</v>
      </c>
      <c r="V12" s="770" t="s">
        <v>17</v>
      </c>
      <c r="W12" s="771">
        <f t="shared" si="2"/>
        <v>100</v>
      </c>
      <c r="X12" s="772"/>
      <c r="Y12" s="3119"/>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5"/>
      <c r="Q13" s="2941">
        <f t="shared" si="6"/>
        <v>111</v>
      </c>
      <c r="R13" s="770" t="s">
        <v>17</v>
      </c>
      <c r="S13" s="771">
        <f t="shared" si="0"/>
        <v>100</v>
      </c>
      <c r="T13" s="770" t="s">
        <v>17</v>
      </c>
      <c r="U13" s="771">
        <f t="shared" si="1"/>
        <v>100</v>
      </c>
      <c r="V13" s="770" t="s">
        <v>17</v>
      </c>
      <c r="W13" s="771">
        <f t="shared" si="2"/>
        <v>100</v>
      </c>
      <c r="X13" s="772"/>
      <c r="Y13" s="3119"/>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5"/>
      <c r="Q14" s="2941">
        <f t="shared" si="6"/>
        <v>111</v>
      </c>
      <c r="R14" s="770" t="s">
        <v>17</v>
      </c>
      <c r="S14" s="771">
        <f t="shared" si="0"/>
        <v>100</v>
      </c>
      <c r="T14" s="770" t="s">
        <v>17</v>
      </c>
      <c r="U14" s="771">
        <f t="shared" si="1"/>
        <v>100</v>
      </c>
      <c r="V14" s="770" t="s">
        <v>17</v>
      </c>
      <c r="W14" s="771">
        <f t="shared" si="2"/>
        <v>100</v>
      </c>
      <c r="X14" s="772"/>
      <c r="Y14" s="3119"/>
      <c r="Z14" s="2943">
        <f t="shared" si="7"/>
        <v>111</v>
      </c>
      <c r="AA14" s="773">
        <f t="shared" si="3"/>
        <v>1</v>
      </c>
      <c r="AB14" s="773">
        <f t="shared" si="4"/>
        <v>1</v>
      </c>
      <c r="AC14" s="2673">
        <f t="shared" si="5"/>
        <v>1</v>
      </c>
    </row>
    <row r="15" spans="1:29" ht="71.25">
      <c r="A15" s="440" t="s">
        <v>2557</v>
      </c>
      <c r="B15" s="3056"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71" t="s">
        <v>2558</v>
      </c>
      <c r="Q15" s="2964" t="str">
        <f t="shared" si="6"/>
        <v>办公集聚程度</v>
      </c>
      <c r="R15" s="774" t="s">
        <v>17</v>
      </c>
      <c r="S15" s="775">
        <f t="shared" si="0"/>
        <v>100</v>
      </c>
      <c r="T15" s="774" t="s">
        <v>17</v>
      </c>
      <c r="U15" s="775">
        <f t="shared" si="1"/>
        <v>100</v>
      </c>
      <c r="V15" s="774" t="s">
        <v>17</v>
      </c>
      <c r="W15" s="775">
        <f t="shared" si="2"/>
        <v>100</v>
      </c>
      <c r="X15" s="2966"/>
      <c r="Y15" s="3273" t="s">
        <v>2558</v>
      </c>
      <c r="Z15" s="2967" t="str">
        <f t="shared" si="7"/>
        <v>办公集聚程度</v>
      </c>
      <c r="AA15" s="2965">
        <f t="shared" si="3"/>
        <v>1</v>
      </c>
      <c r="AB15" s="296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72"/>
      <c r="Q16" s="2964"/>
      <c r="R16" s="774"/>
      <c r="S16" s="775"/>
      <c r="T16" s="774"/>
      <c r="U16" s="775"/>
      <c r="V16" s="774"/>
      <c r="W16" s="775"/>
      <c r="X16" s="2966"/>
      <c r="Y16" s="3274"/>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72"/>
      <c r="Q17" s="2964" t="str">
        <f>B17</f>
        <v>交通便捷度</v>
      </c>
      <c r="R17" s="774" t="s">
        <v>17</v>
      </c>
      <c r="S17" s="775">
        <f>F17</f>
        <v>100</v>
      </c>
      <c r="T17" s="774" t="s">
        <v>17</v>
      </c>
      <c r="U17" s="775">
        <f>H17</f>
        <v>100</v>
      </c>
      <c r="V17" s="774" t="s">
        <v>17</v>
      </c>
      <c r="W17" s="775">
        <f>J17</f>
        <v>100</v>
      </c>
      <c r="X17" s="2966"/>
      <c r="Y17" s="3274"/>
      <c r="Z17" s="2967" t="str">
        <f>Q17</f>
        <v>交通便捷度</v>
      </c>
      <c r="AA17" s="2965">
        <f t="shared" si="3"/>
        <v>1</v>
      </c>
      <c r="AB17" s="296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72"/>
      <c r="Q18" s="2964"/>
      <c r="R18" s="774"/>
      <c r="S18" s="775"/>
      <c r="T18" s="774"/>
      <c r="U18" s="775"/>
      <c r="V18" s="774"/>
      <c r="W18" s="775"/>
      <c r="X18" s="2966"/>
      <c r="Y18" s="3274"/>
      <c r="Z18" s="2967"/>
      <c r="AA18" s="2965">
        <v>1</v>
      </c>
      <c r="AB18" s="296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72"/>
      <c r="Q19" s="2964" t="str">
        <f>B19</f>
        <v>公共配套设施</v>
      </c>
      <c r="R19" s="774" t="s">
        <v>17</v>
      </c>
      <c r="S19" s="775">
        <f>F19</f>
        <v>100</v>
      </c>
      <c r="T19" s="774" t="s">
        <v>17</v>
      </c>
      <c r="U19" s="775">
        <f>H19</f>
        <v>100</v>
      </c>
      <c r="V19" s="774" t="s">
        <v>17</v>
      </c>
      <c r="W19" s="775">
        <f>J19</f>
        <v>100</v>
      </c>
      <c r="X19" s="2966"/>
      <c r="Y19" s="3274"/>
      <c r="Z19" s="2967" t="str">
        <f>Q19</f>
        <v>公共配套设施</v>
      </c>
      <c r="AA19" s="2965">
        <f t="shared" si="3"/>
        <v>1</v>
      </c>
      <c r="AB19" s="296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72"/>
      <c r="Q20" s="2964"/>
      <c r="R20" s="774"/>
      <c r="S20" s="775"/>
      <c r="T20" s="774"/>
      <c r="U20" s="775"/>
      <c r="V20" s="774"/>
      <c r="W20" s="775"/>
      <c r="X20" s="2966"/>
      <c r="Y20" s="3274"/>
      <c r="Z20" s="2967"/>
      <c r="AA20" s="2965">
        <v>1</v>
      </c>
      <c r="AB20" s="296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72"/>
      <c r="Q21" s="2964" t="str">
        <f>B21</f>
        <v>基础设施水平</v>
      </c>
      <c r="R21" s="774" t="s">
        <v>17</v>
      </c>
      <c r="S21" s="775">
        <f>F21</f>
        <v>100</v>
      </c>
      <c r="T21" s="774" t="s">
        <v>17</v>
      </c>
      <c r="U21" s="775">
        <f>H21</f>
        <v>100</v>
      </c>
      <c r="V21" s="774" t="s">
        <v>17</v>
      </c>
      <c r="W21" s="775">
        <f>J21</f>
        <v>100</v>
      </c>
      <c r="X21" s="2966"/>
      <c r="Y21" s="3274"/>
      <c r="Z21" s="2967" t="str">
        <f>Q21</f>
        <v>基础设施水平</v>
      </c>
      <c r="AA21" s="2965">
        <f t="shared" ref="AA21" si="8">D21/F21</f>
        <v>1</v>
      </c>
      <c r="AB21" s="296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72"/>
      <c r="Q22" s="2964"/>
      <c r="R22" s="774"/>
      <c r="S22" s="775"/>
      <c r="T22" s="774"/>
      <c r="U22" s="775"/>
      <c r="V22" s="774"/>
      <c r="W22" s="775"/>
      <c r="X22" s="2966"/>
      <c r="Y22" s="3274"/>
      <c r="Z22" s="2967"/>
      <c r="AA22" s="2965">
        <v>1</v>
      </c>
      <c r="AB22" s="296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72"/>
      <c r="Q23" s="2964" t="str">
        <f>B23</f>
        <v>环境质量</v>
      </c>
      <c r="R23" s="774" t="s">
        <v>17</v>
      </c>
      <c r="S23" s="775">
        <f>F23</f>
        <v>100</v>
      </c>
      <c r="T23" s="774" t="s">
        <v>17</v>
      </c>
      <c r="U23" s="775">
        <f>H23</f>
        <v>100</v>
      </c>
      <c r="V23" s="774" t="s">
        <v>17</v>
      </c>
      <c r="W23" s="775">
        <f>J23</f>
        <v>100</v>
      </c>
      <c r="X23" s="2966"/>
      <c r="Y23" s="3274"/>
      <c r="Z23" s="2967" t="str">
        <f>Q23</f>
        <v>环境质量</v>
      </c>
      <c r="AA23" s="2965">
        <f t="shared" si="3"/>
        <v>1</v>
      </c>
      <c r="AB23" s="296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72"/>
      <c r="Q24" s="2964"/>
      <c r="R24" s="774"/>
      <c r="S24" s="775"/>
      <c r="T24" s="774"/>
      <c r="U24" s="775"/>
      <c r="V24" s="774"/>
      <c r="W24" s="775"/>
      <c r="X24" s="2966"/>
      <c r="Y24" s="3274"/>
      <c r="Z24" s="2967"/>
      <c r="AA24" s="2965">
        <v>1</v>
      </c>
      <c r="AB24" s="296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72"/>
      <c r="Q25" s="2964" t="str">
        <f>B25</f>
        <v>毗邻道路的类型与等级</v>
      </c>
      <c r="R25" s="774" t="s">
        <v>17</v>
      </c>
      <c r="S25" s="775">
        <f>F25</f>
        <v>100</v>
      </c>
      <c r="T25" s="774" t="s">
        <v>17</v>
      </c>
      <c r="U25" s="775">
        <f>H25</f>
        <v>100</v>
      </c>
      <c r="V25" s="774" t="s">
        <v>17</v>
      </c>
      <c r="W25" s="775">
        <f>J25</f>
        <v>100</v>
      </c>
      <c r="X25" s="2966"/>
      <c r="Y25" s="3274"/>
      <c r="Z25" s="2967" t="str">
        <f>Q25</f>
        <v>毗邻道路的类型与等级</v>
      </c>
      <c r="AA25" s="2965">
        <f t="shared" si="3"/>
        <v>1</v>
      </c>
      <c r="AB25" s="296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72"/>
      <c r="Q26" s="2964"/>
      <c r="R26" s="774"/>
      <c r="S26" s="775"/>
      <c r="T26" s="774"/>
      <c r="U26" s="775"/>
      <c r="V26" s="774"/>
      <c r="W26" s="775"/>
      <c r="X26" s="2966"/>
      <c r="Y26" s="3274"/>
      <c r="Z26" s="2967"/>
      <c r="AA26" s="2965">
        <v>1</v>
      </c>
      <c r="AB26" s="296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2"/>
      <c r="Q27" s="2964" t="str">
        <f t="shared" ref="Q27:Q47" si="11">B27</f>
        <v>楼层</v>
      </c>
      <c r="R27" s="774" t="s">
        <v>17</v>
      </c>
      <c r="S27" s="775">
        <f>F27</f>
        <v>100</v>
      </c>
      <c r="T27" s="774" t="s">
        <v>17</v>
      </c>
      <c r="U27" s="775">
        <f>H27</f>
        <v>100</v>
      </c>
      <c r="V27" s="774" t="s">
        <v>17</v>
      </c>
      <c r="W27" s="775">
        <f>J27</f>
        <v>100</v>
      </c>
      <c r="X27" s="2966"/>
      <c r="Y27" s="3274"/>
      <c r="Z27" s="2967" t="str">
        <f>Q27</f>
        <v>楼层</v>
      </c>
      <c r="AA27" s="2965">
        <f t="shared" si="3"/>
        <v>1</v>
      </c>
      <c r="AB27" s="296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72"/>
      <c r="Q28" s="2941" t="str">
        <f t="shared" si="11"/>
        <v>朝向</v>
      </c>
      <c r="R28" s="770" t="s">
        <v>17</v>
      </c>
      <c r="S28" s="771">
        <f>F28</f>
        <v>100</v>
      </c>
      <c r="T28" s="770" t="s">
        <v>17</v>
      </c>
      <c r="U28" s="771">
        <f>H28</f>
        <v>100</v>
      </c>
      <c r="V28" s="770" t="s">
        <v>17</v>
      </c>
      <c r="W28" s="771">
        <f>J28</f>
        <v>100</v>
      </c>
      <c r="X28" s="772"/>
      <c r="Y28" s="3274"/>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72"/>
      <c r="Q29" s="2964">
        <f t="shared" si="11"/>
        <v>111</v>
      </c>
      <c r="R29" s="774" t="s">
        <v>17</v>
      </c>
      <c r="S29" s="775">
        <f t="shared" ref="S29:S47" si="12">F29</f>
        <v>100</v>
      </c>
      <c r="T29" s="774" t="s">
        <v>17</v>
      </c>
      <c r="U29" s="775">
        <f t="shared" ref="U29:U47" si="13">H29</f>
        <v>100</v>
      </c>
      <c r="V29" s="774" t="s">
        <v>17</v>
      </c>
      <c r="W29" s="775">
        <f t="shared" ref="W29:W47" si="14">J29</f>
        <v>100</v>
      </c>
      <c r="X29" s="2966"/>
      <c r="Y29" s="3274"/>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72"/>
      <c r="Q30" s="2964">
        <f t="shared" si="11"/>
        <v>111</v>
      </c>
      <c r="R30" s="774" t="s">
        <v>17</v>
      </c>
      <c r="S30" s="775">
        <f t="shared" si="12"/>
        <v>100</v>
      </c>
      <c r="T30" s="774" t="s">
        <v>17</v>
      </c>
      <c r="U30" s="775">
        <f t="shared" si="13"/>
        <v>100</v>
      </c>
      <c r="V30" s="774" t="s">
        <v>17</v>
      </c>
      <c r="W30" s="775">
        <f t="shared" si="14"/>
        <v>100</v>
      </c>
      <c r="X30" s="2966"/>
      <c r="Y30" s="3274"/>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72"/>
      <c r="Q31" s="2964">
        <f t="shared" si="11"/>
        <v>111</v>
      </c>
      <c r="R31" s="774" t="s">
        <v>17</v>
      </c>
      <c r="S31" s="775">
        <f t="shared" si="12"/>
        <v>100</v>
      </c>
      <c r="T31" s="774" t="s">
        <v>17</v>
      </c>
      <c r="U31" s="775">
        <f t="shared" si="13"/>
        <v>100</v>
      </c>
      <c r="V31" s="774" t="s">
        <v>17</v>
      </c>
      <c r="W31" s="775">
        <f t="shared" si="14"/>
        <v>100</v>
      </c>
      <c r="X31" s="2966"/>
      <c r="Y31" s="3274"/>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72"/>
      <c r="Q32" s="2964">
        <f t="shared" si="11"/>
        <v>111</v>
      </c>
      <c r="R32" s="774" t="s">
        <v>17</v>
      </c>
      <c r="S32" s="775">
        <f t="shared" si="12"/>
        <v>100</v>
      </c>
      <c r="T32" s="774" t="s">
        <v>17</v>
      </c>
      <c r="U32" s="775">
        <f t="shared" si="13"/>
        <v>100</v>
      </c>
      <c r="V32" s="774" t="s">
        <v>17</v>
      </c>
      <c r="W32" s="775">
        <f t="shared" si="14"/>
        <v>100</v>
      </c>
      <c r="X32" s="2966"/>
      <c r="Y32" s="3274"/>
      <c r="Z32" s="2967">
        <f t="shared" si="15"/>
        <v>111</v>
      </c>
      <c r="AA32" s="2965">
        <f t="shared" si="3"/>
        <v>1</v>
      </c>
      <c r="AB32" s="296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75" t="s">
        <v>2563</v>
      </c>
      <c r="Q33" s="2964" t="str">
        <f t="shared" si="11"/>
        <v>建筑类型</v>
      </c>
      <c r="R33" s="774" t="s">
        <v>17</v>
      </c>
      <c r="S33" s="775">
        <f t="shared" si="12"/>
        <v>100</v>
      </c>
      <c r="T33" s="774" t="s">
        <v>17</v>
      </c>
      <c r="U33" s="775">
        <f t="shared" si="13"/>
        <v>100</v>
      </c>
      <c r="V33" s="774" t="s">
        <v>17</v>
      </c>
      <c r="W33" s="775">
        <f t="shared" si="14"/>
        <v>100</v>
      </c>
      <c r="X33" s="2966"/>
      <c r="Y33" s="3278" t="s">
        <v>2563</v>
      </c>
      <c r="Z33" s="2967" t="str">
        <f t="shared" si="15"/>
        <v>建筑类型</v>
      </c>
      <c r="AA33" s="2965">
        <f t="shared" si="3"/>
        <v>1</v>
      </c>
      <c r="AB33" s="2965">
        <f t="shared" si="4"/>
        <v>1</v>
      </c>
      <c r="AC33" s="2676">
        <f t="shared" si="5"/>
        <v>1</v>
      </c>
    </row>
    <row r="34" spans="1:29" s="471" customFormat="1" ht="15">
      <c r="A34" s="468"/>
      <c r="B34" s="2953" t="s">
        <v>2564</v>
      </c>
      <c r="C34" s="469">
        <f>'数据-汇总表'!F19</f>
        <v>27877.57</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76"/>
      <c r="Q34" s="776" t="str">
        <f t="shared" si="11"/>
        <v>项目建筑规模</v>
      </c>
      <c r="R34" s="777" t="s">
        <v>17</v>
      </c>
      <c r="S34" s="778">
        <f t="shared" si="12"/>
        <v>105</v>
      </c>
      <c r="T34" s="777" t="s">
        <v>17</v>
      </c>
      <c r="U34" s="778">
        <f t="shared" si="13"/>
        <v>104</v>
      </c>
      <c r="V34" s="777" t="s">
        <v>17</v>
      </c>
      <c r="W34" s="778">
        <f t="shared" si="14"/>
        <v>100</v>
      </c>
      <c r="X34" s="779"/>
      <c r="Y34" s="3278"/>
      <c r="Z34" s="780" t="str">
        <f t="shared" si="15"/>
        <v>项目建筑规模</v>
      </c>
      <c r="AA34" s="2965">
        <f t="shared" si="3"/>
        <v>0.95238095238095233</v>
      </c>
      <c r="AB34" s="2965">
        <f t="shared" si="4"/>
        <v>0.96153846153846156</v>
      </c>
      <c r="AC34" s="2676">
        <f t="shared" si="5"/>
        <v>1</v>
      </c>
    </row>
    <row r="35" spans="1:29" ht="15">
      <c r="A35" s="472"/>
      <c r="B35" s="2953"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76"/>
      <c r="Q35" s="2964" t="str">
        <f t="shared" si="11"/>
        <v>建筑结构</v>
      </c>
      <c r="R35" s="774" t="s">
        <v>17</v>
      </c>
      <c r="S35" s="775">
        <f t="shared" si="12"/>
        <v>100</v>
      </c>
      <c r="T35" s="774" t="s">
        <v>17</v>
      </c>
      <c r="U35" s="775">
        <f t="shared" si="13"/>
        <v>100</v>
      </c>
      <c r="V35" s="774" t="s">
        <v>17</v>
      </c>
      <c r="W35" s="775">
        <f t="shared" si="14"/>
        <v>100</v>
      </c>
      <c r="X35" s="2966"/>
      <c r="Y35" s="3278"/>
      <c r="Z35" s="2967" t="str">
        <f t="shared" si="15"/>
        <v>建筑结构</v>
      </c>
      <c r="AA35" s="2965">
        <f t="shared" si="3"/>
        <v>1</v>
      </c>
      <c r="AB35" s="2965">
        <f t="shared" si="4"/>
        <v>1</v>
      </c>
      <c r="AC35" s="2676">
        <f t="shared" si="5"/>
        <v>1</v>
      </c>
    </row>
    <row r="36" spans="1:29" ht="15">
      <c r="A36" s="472"/>
      <c r="B36" s="2953"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76"/>
      <c r="Q36" s="2964" t="str">
        <f t="shared" si="11"/>
        <v>公共部分装修</v>
      </c>
      <c r="R36" s="774" t="s">
        <v>17</v>
      </c>
      <c r="S36" s="775">
        <f t="shared" si="12"/>
        <v>100</v>
      </c>
      <c r="T36" s="774" t="s">
        <v>17</v>
      </c>
      <c r="U36" s="775">
        <f t="shared" si="13"/>
        <v>100</v>
      </c>
      <c r="V36" s="774" t="s">
        <v>17</v>
      </c>
      <c r="W36" s="775">
        <f t="shared" si="14"/>
        <v>100</v>
      </c>
      <c r="X36" s="2966"/>
      <c r="Y36" s="3278"/>
      <c r="Z36" s="2967" t="str">
        <f t="shared" si="15"/>
        <v>公共部分装修</v>
      </c>
      <c r="AA36" s="2965">
        <f t="shared" si="3"/>
        <v>1</v>
      </c>
      <c r="AB36" s="2965">
        <f t="shared" si="4"/>
        <v>1</v>
      </c>
      <c r="AC36" s="2676">
        <f t="shared" si="5"/>
        <v>1</v>
      </c>
    </row>
    <row r="37" spans="1:29" ht="15">
      <c r="A37" s="472"/>
      <c r="B37" s="2953"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276"/>
      <c r="Q37" s="2964" t="str">
        <f t="shared" si="11"/>
        <v>成新度</v>
      </c>
      <c r="R37" s="774" t="s">
        <v>17</v>
      </c>
      <c r="S37" s="775">
        <f t="shared" si="12"/>
        <v>100</v>
      </c>
      <c r="T37" s="774" t="s">
        <v>17</v>
      </c>
      <c r="U37" s="775">
        <f t="shared" si="13"/>
        <v>100</v>
      </c>
      <c r="V37" s="774" t="s">
        <v>17</v>
      </c>
      <c r="W37" s="775">
        <f t="shared" si="14"/>
        <v>98</v>
      </c>
      <c r="X37" s="2966"/>
      <c r="Y37" s="3278"/>
      <c r="Z37" s="2967" t="str">
        <f t="shared" si="15"/>
        <v>成新度</v>
      </c>
      <c r="AA37" s="2965">
        <f t="shared" si="3"/>
        <v>1</v>
      </c>
      <c r="AB37" s="2965">
        <f t="shared" si="4"/>
        <v>1</v>
      </c>
      <c r="AC37" s="2676">
        <f t="shared" si="5"/>
        <v>1.0204081632653061</v>
      </c>
    </row>
    <row r="38" spans="1:29" s="116" customFormat="1" ht="15">
      <c r="A38" s="473"/>
      <c r="B38" s="2953"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276"/>
      <c r="Q38" s="2941" t="str">
        <f t="shared" si="11"/>
        <v>写字楼等级</v>
      </c>
      <c r="R38" s="770" t="s">
        <v>17</v>
      </c>
      <c r="S38" s="771">
        <f t="shared" si="12"/>
        <v>100</v>
      </c>
      <c r="T38" s="770" t="s">
        <v>17</v>
      </c>
      <c r="U38" s="771">
        <f t="shared" si="13"/>
        <v>100</v>
      </c>
      <c r="V38" s="770" t="s">
        <v>17</v>
      </c>
      <c r="W38" s="771">
        <f t="shared" si="14"/>
        <v>100</v>
      </c>
      <c r="X38" s="772"/>
      <c r="Y38" s="3278"/>
      <c r="Z38" s="2943" t="str">
        <f t="shared" si="15"/>
        <v>写字楼等级</v>
      </c>
      <c r="AA38" s="773">
        <f t="shared" si="3"/>
        <v>1</v>
      </c>
      <c r="AB38" s="773">
        <f t="shared" si="4"/>
        <v>1</v>
      </c>
      <c r="AC38" s="2673">
        <f t="shared" si="5"/>
        <v>1</v>
      </c>
    </row>
    <row r="39" spans="1:29" ht="15">
      <c r="A39" s="472"/>
      <c r="B39" s="2953"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76" t="s">
        <v>2563</v>
      </c>
      <c r="Q39" s="2964" t="str">
        <f t="shared" si="11"/>
        <v>物业管理</v>
      </c>
      <c r="R39" s="774" t="s">
        <v>17</v>
      </c>
      <c r="S39" s="775">
        <f t="shared" si="12"/>
        <v>100</v>
      </c>
      <c r="T39" s="774" t="s">
        <v>17</v>
      </c>
      <c r="U39" s="775">
        <f t="shared" si="13"/>
        <v>100</v>
      </c>
      <c r="V39" s="774" t="s">
        <v>17</v>
      </c>
      <c r="W39" s="775">
        <f t="shared" si="14"/>
        <v>100</v>
      </c>
      <c r="X39" s="2966"/>
      <c r="Y39" s="3278" t="s">
        <v>2563</v>
      </c>
      <c r="Z39" s="2967" t="str">
        <f t="shared" si="15"/>
        <v>物业管理</v>
      </c>
      <c r="AA39" s="2965">
        <f t="shared" si="3"/>
        <v>1</v>
      </c>
      <c r="AB39" s="2965">
        <f t="shared" si="4"/>
        <v>1</v>
      </c>
      <c r="AC39" s="2676">
        <f t="shared" si="5"/>
        <v>1</v>
      </c>
    </row>
    <row r="40" spans="1:29" ht="15">
      <c r="A40" s="472"/>
      <c r="B40" s="2953"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76"/>
      <c r="Q40" s="2964" t="str">
        <f t="shared" si="11"/>
        <v>市政基础设施</v>
      </c>
      <c r="R40" s="774" t="s">
        <v>17</v>
      </c>
      <c r="S40" s="775">
        <f t="shared" si="12"/>
        <v>100</v>
      </c>
      <c r="T40" s="774" t="s">
        <v>17</v>
      </c>
      <c r="U40" s="775">
        <f t="shared" si="13"/>
        <v>100</v>
      </c>
      <c r="V40" s="774" t="s">
        <v>17</v>
      </c>
      <c r="W40" s="775">
        <f t="shared" si="14"/>
        <v>100</v>
      </c>
      <c r="X40" s="2966"/>
      <c r="Y40" s="3278"/>
      <c r="Z40" s="2967" t="str">
        <f t="shared" si="15"/>
        <v>市政基础设施</v>
      </c>
      <c r="AA40" s="2965">
        <f t="shared" si="3"/>
        <v>1</v>
      </c>
      <c r="AB40" s="2965">
        <f t="shared" si="4"/>
        <v>1</v>
      </c>
      <c r="AC40" s="2676">
        <f t="shared" si="5"/>
        <v>1</v>
      </c>
    </row>
    <row r="41" spans="1:29" ht="15">
      <c r="A41" s="472"/>
      <c r="B41" s="2953"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76"/>
      <c r="Q41" s="2964" t="str">
        <f t="shared" si="11"/>
        <v>层高</v>
      </c>
      <c r="R41" s="774" t="s">
        <v>17</v>
      </c>
      <c r="S41" s="775">
        <f t="shared" si="12"/>
        <v>100</v>
      </c>
      <c r="T41" s="774" t="s">
        <v>17</v>
      </c>
      <c r="U41" s="775">
        <f t="shared" si="13"/>
        <v>100</v>
      </c>
      <c r="V41" s="774" t="s">
        <v>17</v>
      </c>
      <c r="W41" s="775">
        <f t="shared" si="14"/>
        <v>100</v>
      </c>
      <c r="X41" s="2966"/>
      <c r="Y41" s="3278"/>
      <c r="Z41" s="2967" t="str">
        <f t="shared" si="15"/>
        <v>层高</v>
      </c>
      <c r="AA41" s="2965">
        <f t="shared" si="3"/>
        <v>1</v>
      </c>
      <c r="AB41" s="2965">
        <f t="shared" si="4"/>
        <v>1</v>
      </c>
      <c r="AC41" s="2676">
        <f t="shared" si="5"/>
        <v>1</v>
      </c>
    </row>
    <row r="42" spans="1:29" s="471" customFormat="1" ht="15">
      <c r="A42" s="468"/>
      <c r="B42" s="296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6"/>
      <c r="Q42" s="776" t="str">
        <f t="shared" si="11"/>
        <v>单套建筑面积</v>
      </c>
      <c r="R42" s="777" t="s">
        <v>17</v>
      </c>
      <c r="S42" s="778">
        <f t="shared" si="12"/>
        <v>100</v>
      </c>
      <c r="T42" s="777" t="s">
        <v>17</v>
      </c>
      <c r="U42" s="778">
        <f t="shared" si="13"/>
        <v>100</v>
      </c>
      <c r="V42" s="777" t="s">
        <v>17</v>
      </c>
      <c r="W42" s="778">
        <f t="shared" si="14"/>
        <v>100</v>
      </c>
      <c r="X42" s="779"/>
      <c r="Y42" s="3278"/>
      <c r="Z42" s="780" t="str">
        <f t="shared" si="15"/>
        <v>单套建筑面积</v>
      </c>
      <c r="AA42" s="2965">
        <f t="shared" si="3"/>
        <v>1</v>
      </c>
      <c r="AB42" s="2965">
        <f t="shared" si="4"/>
        <v>1</v>
      </c>
      <c r="AC42" s="2676">
        <f t="shared" si="5"/>
        <v>1</v>
      </c>
    </row>
    <row r="43" spans="1:29" ht="15">
      <c r="A43" s="472"/>
      <c r="B43" s="2953"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76"/>
      <c r="Q43" s="2964" t="str">
        <f t="shared" si="11"/>
        <v>内部装修</v>
      </c>
      <c r="R43" s="774" t="s">
        <v>17</v>
      </c>
      <c r="S43" s="775">
        <f t="shared" si="12"/>
        <v>100</v>
      </c>
      <c r="T43" s="774" t="s">
        <v>17</v>
      </c>
      <c r="U43" s="775">
        <f t="shared" si="13"/>
        <v>100</v>
      </c>
      <c r="V43" s="774" t="s">
        <v>17</v>
      </c>
      <c r="W43" s="775">
        <f t="shared" si="14"/>
        <v>100</v>
      </c>
      <c r="X43" s="2966"/>
      <c r="Y43" s="3278"/>
      <c r="Z43" s="2967" t="str">
        <f t="shared" si="15"/>
        <v>内部装修</v>
      </c>
      <c r="AA43" s="2965">
        <f t="shared" si="3"/>
        <v>1</v>
      </c>
      <c r="AB43" s="2965">
        <f t="shared" si="4"/>
        <v>1</v>
      </c>
      <c r="AC43" s="2676">
        <f t="shared" si="5"/>
        <v>1</v>
      </c>
    </row>
    <row r="44" spans="1:29" ht="15">
      <c r="A44" s="472"/>
      <c r="B44" s="2953"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76"/>
      <c r="Q44" s="2964" t="str">
        <f t="shared" si="11"/>
        <v>内部装修维护情况</v>
      </c>
      <c r="R44" s="774" t="s">
        <v>17</v>
      </c>
      <c r="S44" s="775">
        <f t="shared" si="12"/>
        <v>100</v>
      </c>
      <c r="T44" s="774" t="s">
        <v>17</v>
      </c>
      <c r="U44" s="775">
        <f t="shared" si="13"/>
        <v>100</v>
      </c>
      <c r="V44" s="774" t="s">
        <v>17</v>
      </c>
      <c r="W44" s="775">
        <f t="shared" si="14"/>
        <v>100</v>
      </c>
      <c r="X44" s="2966"/>
      <c r="Y44" s="3278"/>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76"/>
      <c r="Q45" s="2941">
        <f t="shared" si="11"/>
        <v>111</v>
      </c>
      <c r="R45" s="770" t="s">
        <v>17</v>
      </c>
      <c r="S45" s="771">
        <f t="shared" si="12"/>
        <v>100</v>
      </c>
      <c r="T45" s="770" t="s">
        <v>17</v>
      </c>
      <c r="U45" s="771">
        <f t="shared" si="13"/>
        <v>100</v>
      </c>
      <c r="V45" s="770" t="s">
        <v>17</v>
      </c>
      <c r="W45" s="771">
        <f t="shared" si="14"/>
        <v>100</v>
      </c>
      <c r="X45" s="772"/>
      <c r="Y45" s="3278"/>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6"/>
      <c r="Q46" s="2964">
        <f t="shared" si="11"/>
        <v>111</v>
      </c>
      <c r="R46" s="774" t="s">
        <v>17</v>
      </c>
      <c r="S46" s="775">
        <f t="shared" si="12"/>
        <v>100</v>
      </c>
      <c r="T46" s="774" t="s">
        <v>17</v>
      </c>
      <c r="U46" s="775">
        <f t="shared" si="13"/>
        <v>100</v>
      </c>
      <c r="V46" s="774" t="s">
        <v>17</v>
      </c>
      <c r="W46" s="775">
        <f t="shared" si="14"/>
        <v>100</v>
      </c>
      <c r="X46" s="2966"/>
      <c r="Y46" s="3278"/>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7"/>
      <c r="Q47" s="2964">
        <f t="shared" si="11"/>
        <v>111</v>
      </c>
      <c r="R47" s="774" t="s">
        <v>17</v>
      </c>
      <c r="S47" s="775">
        <f t="shared" si="12"/>
        <v>100</v>
      </c>
      <c r="T47" s="774" t="s">
        <v>17</v>
      </c>
      <c r="U47" s="775">
        <f t="shared" si="13"/>
        <v>100</v>
      </c>
      <c r="V47" s="774" t="s">
        <v>17</v>
      </c>
      <c r="W47" s="775">
        <f t="shared" si="14"/>
        <v>100</v>
      </c>
      <c r="X47" s="2966"/>
      <c r="Y47" s="3279"/>
      <c r="Z47" s="2967">
        <f t="shared" si="15"/>
        <v>111</v>
      </c>
      <c r="AA47" s="2965">
        <f t="shared" si="3"/>
        <v>1</v>
      </c>
      <c r="AB47" s="2965">
        <f t="shared" si="4"/>
        <v>1</v>
      </c>
      <c r="AC47" s="2676">
        <f t="shared" si="5"/>
        <v>1</v>
      </c>
    </row>
    <row r="48" spans="1:29" ht="15">
      <c r="A48" s="479" t="s">
        <v>2575</v>
      </c>
      <c r="B48" s="480"/>
      <c r="C48" s="1410" t="s">
        <v>1</v>
      </c>
      <c r="D48" s="1411"/>
      <c r="E48" s="1412">
        <v>6.5</v>
      </c>
      <c r="F48" s="1413"/>
      <c r="G48" s="1414">
        <v>7.2</v>
      </c>
      <c r="H48" s="1415"/>
      <c r="I48" s="1412">
        <v>6</v>
      </c>
      <c r="J48" s="485"/>
      <c r="K48" s="783"/>
      <c r="L48" s="1146"/>
      <c r="M48" s="1134"/>
      <c r="N48" s="1134"/>
      <c r="O48" s="1134"/>
      <c r="P48" s="3265" t="str">
        <f>A48</f>
        <v>成交单价（元/平方米）</v>
      </c>
      <c r="Q48" s="3266"/>
      <c r="R48" s="3267">
        <f>E48</f>
        <v>6.5</v>
      </c>
      <c r="S48" s="3267"/>
      <c r="T48" s="3267">
        <f>G48</f>
        <v>7.2</v>
      </c>
      <c r="U48" s="3267"/>
      <c r="V48" s="3267">
        <f>I48</f>
        <v>6</v>
      </c>
      <c r="W48" s="3267"/>
      <c r="X48" s="446"/>
      <c r="Y48" s="781"/>
      <c r="Z48" s="446"/>
      <c r="AA48" s="446"/>
      <c r="AB48" s="446"/>
      <c r="AC48" s="630"/>
    </row>
    <row r="49" spans="1:29" ht="15.75" thickBot="1">
      <c r="A49" s="486" t="s">
        <v>2576</v>
      </c>
      <c r="B49" s="487"/>
      <c r="C49" s="1416">
        <f>R50</f>
        <v>5.8</v>
      </c>
      <c r="D49" s="1417"/>
      <c r="E49" s="1418">
        <f>R49</f>
        <v>5.6</v>
      </c>
      <c r="F49" s="1418"/>
      <c r="G49" s="1416">
        <f>T49</f>
        <v>6.3</v>
      </c>
      <c r="H49" s="1417"/>
      <c r="I49" s="1418">
        <f>V49</f>
        <v>5.6</v>
      </c>
      <c r="J49" s="489"/>
      <c r="K49" s="784"/>
      <c r="L49" s="1146"/>
      <c r="M49" s="1134"/>
      <c r="N49" s="1134"/>
      <c r="O49" s="1134"/>
      <c r="P49" s="3265" t="str">
        <f>A49</f>
        <v>比较价值（元/平方米）</v>
      </c>
      <c r="Q49" s="3266"/>
      <c r="R49" s="3267">
        <f>IF(F1="售价",ROUND(PRODUCT(R48,AA7:AA47),0),ROUND(PRODUCT(R48,AA7:AA47),1))</f>
        <v>5.6</v>
      </c>
      <c r="S49" s="3267"/>
      <c r="T49" s="3267">
        <f>IF(F1="售价",ROUND(PRODUCT(T48,AB7:AB47),0),ROUND(PRODUCT(T48,AB7:AB47),1))</f>
        <v>6.3</v>
      </c>
      <c r="U49" s="3267"/>
      <c r="V49" s="3267">
        <f>IF(F1="售价",ROUND(PRODUCT(V48,AC7:AC47),0),ROUND(PRODUCT(V48,AC7:AC47),1))</f>
        <v>5.6</v>
      </c>
      <c r="W49" s="3267"/>
      <c r="X49" s="446"/>
      <c r="Y49" s="446"/>
      <c r="Z49" s="446"/>
      <c r="AA49" s="446"/>
      <c r="AB49" s="446"/>
      <c r="AC49" s="630"/>
    </row>
    <row r="50" spans="1:29" ht="15.75" thickBot="1">
      <c r="A50" s="492" t="s">
        <v>2577</v>
      </c>
      <c r="B50" s="493"/>
      <c r="C50" s="1420">
        <f>R50</f>
        <v>5.8</v>
      </c>
      <c r="D50" s="1420"/>
      <c r="E50" s="1420"/>
      <c r="F50" s="1420"/>
      <c r="G50" s="1420"/>
      <c r="H50" s="1420"/>
      <c r="I50" s="1420"/>
      <c r="J50" s="494"/>
      <c r="K50" s="785"/>
      <c r="L50" s="1146"/>
      <c r="M50" s="1134"/>
      <c r="N50" s="1134"/>
      <c r="O50" s="1134"/>
      <c r="P50" s="3268" t="str">
        <f>A50</f>
        <v>估价对象XX用房的比较价值（楼面单价，元/平方米）</v>
      </c>
      <c r="Q50" s="3269"/>
      <c r="R50" s="3270">
        <f>IF(F1="售价",ROUND(AVERAGE(R49:V49),0),ROUND(AVERAGE(R49:V49),1))</f>
        <v>5.8</v>
      </c>
      <c r="S50" s="3270"/>
      <c r="T50" s="3270"/>
      <c r="U50" s="3270"/>
      <c r="V50" s="3270"/>
      <c r="W50" s="327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2578</v>
      </c>
      <c r="D53" s="498"/>
      <c r="E53" s="499">
        <f>IF(E48&lt;E49,E49/E48-1,E48/E49-1)</f>
        <v>0.16071428571428581</v>
      </c>
      <c r="F53" s="500" t="str">
        <f>IF(OR(E53&gt;=0.3,E53&lt;=-0.3),"超过30%","")</f>
        <v/>
      </c>
      <c r="G53" s="499">
        <f>IF(G48&lt;G49,G49/G48-1,G48/G49-1)</f>
        <v>0.14285714285714302</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2579</v>
      </c>
      <c r="D54" s="501"/>
      <c r="E54" s="499">
        <f>IF(E49&lt;G49,G49/E49-1,E49/G49-1)</f>
        <v>0.125</v>
      </c>
      <c r="F54" s="500" t="str">
        <f>IF(OR(E54&gt;=0.2,E54&lt;=-0.2),"超过20%","")</f>
        <v/>
      </c>
      <c r="G54" s="499">
        <f>IF(G49&lt;I49,I49/G49-1,G49/I49-1)</f>
        <v>0.125</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2580</v>
      </c>
      <c r="D55" s="501"/>
      <c r="E55" s="499">
        <f>IF(E48&lt;G48,G48/E48-1,E48/G48-1)</f>
        <v>0.10769230769230775</v>
      </c>
      <c r="F55" s="500" t="str">
        <f>IF(OR(E55&gt;=0.3,E55&lt;=-0.3),"超过30%","")</f>
        <v/>
      </c>
      <c r="G55" s="499">
        <f>IF(G48&lt;I48,I48/G48-1,G48/I48-1)</f>
        <v>0.19999999999999996</v>
      </c>
      <c r="H55" s="500" t="str">
        <f>IF(OR(G55&gt;=0.3,G55&lt;=-0.3),"超过30%","")</f>
        <v/>
      </c>
      <c r="I55" s="499">
        <f>IF(I48&lt;E48,E48/I48-1,I48/E48-1)</f>
        <v>8.3333333333333259E-2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2581</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2585</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6" t="s">
        <v>2805</v>
      </c>
      <c r="S1" s="1606" t="s">
        <v>2806</v>
      </c>
      <c r="T1" s="1606" t="s">
        <v>2807</v>
      </c>
      <c r="U1" s="1606" t="s">
        <v>2808</v>
      </c>
      <c r="V1" s="1606" t="s">
        <v>2809</v>
      </c>
      <c r="W1" s="1610"/>
      <c r="X1" s="1610"/>
      <c r="Y1" s="1610"/>
      <c r="Z1" s="1610"/>
      <c r="AA1" s="1610"/>
      <c r="AB1" s="1610"/>
      <c r="AC1" s="1611"/>
      <c r="AD1" s="1612"/>
      <c r="AE1" s="1612"/>
      <c r="AF1" s="1612"/>
      <c r="AG1" s="1612"/>
      <c r="AH1" s="1612"/>
      <c r="AI1" s="1612"/>
      <c r="AJ1" s="1613"/>
    </row>
    <row r="2" spans="1:36" ht="15.75">
      <c r="A2" s="245" t="s">
        <v>2810</v>
      </c>
      <c r="B2" s="248">
        <f ca="1">C26</f>
        <v>0</v>
      </c>
      <c r="C2" s="2723" t="s">
        <v>2811</v>
      </c>
      <c r="D2" s="2724" t="s">
        <v>2812</v>
      </c>
      <c r="E2" s="2725" t="s">
        <v>6</v>
      </c>
      <c r="F2" s="2724" t="s">
        <v>2813</v>
      </c>
      <c r="G2" s="2726" t="str">
        <f>IF(E2="商业",项目基本情况!B37,IF(E2="办公",项目基本情况!C37,IF(E2="住宅",项目基本情况!D37,项目基本情况!E37)))</f>
        <v>二级</v>
      </c>
      <c r="H2" s="2724" t="s">
        <v>2814</v>
      </c>
      <c r="I2" s="2726" t="str">
        <f>IF(E2="商业",项目基本情况!B38,IF(E2="办公",项目基本情况!C38,IF(E2="住宅",项目基本情况!D38,项目基本情况!E38)))</f>
        <v>Ⅱ—06</v>
      </c>
      <c r="J2" s="2727"/>
      <c r="K2" s="1373"/>
      <c r="L2" s="2728" t="s">
        <v>2815</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2816</v>
      </c>
      <c r="B3" s="248" t="e">
        <f ca="1">ROUND(B2*10000/D1,0)</f>
        <v>#DIV/0!</v>
      </c>
      <c r="C3" s="2723" t="s">
        <v>2817</v>
      </c>
      <c r="D3" s="2724" t="s">
        <v>2818</v>
      </c>
      <c r="E3" s="2729" t="s">
        <v>3330</v>
      </c>
      <c r="F3" s="2730" t="s">
        <v>3331</v>
      </c>
      <c r="G3" s="916">
        <f>IF(F3="宗地容积率",'数据-汇总表'!I4,IF(F3="估价对象容积率",'数据-汇总表'!I6,'数据-汇总表'!I7))</f>
        <v>0.8</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70"/>
      <c r="B4" s="3371"/>
      <c r="C4" s="3371"/>
      <c r="D4" s="3372"/>
      <c r="E4" s="3372"/>
      <c r="F4" s="3372"/>
      <c r="G4" s="3372"/>
      <c r="H4" s="3372"/>
      <c r="I4" s="3372"/>
      <c r="J4" s="3373"/>
      <c r="K4" s="1373"/>
      <c r="L4" s="2728" t="s">
        <v>2822</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2823</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2825</v>
      </c>
      <c r="B6" s="2742" t="s">
        <v>2826</v>
      </c>
      <c r="C6" s="918">
        <f>SUMIF(L1:L12,G2,M1:M12)</f>
        <v>9480</v>
      </c>
      <c r="D6" s="2743" t="s">
        <v>2827</v>
      </c>
      <c r="E6" s="2744"/>
      <c r="F6" s="2744"/>
      <c r="G6" s="2745"/>
      <c r="H6" s="2745"/>
      <c r="I6" s="2745"/>
      <c r="J6" s="2746"/>
      <c r="K6" s="1846"/>
      <c r="L6" s="2728" t="s">
        <v>2828</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74" t="str">
        <f>IF(E2="商业",IF(C8="不临58条商业街","",2),"")</f>
        <v/>
      </c>
      <c r="B7" s="2747" t="s">
        <v>2829</v>
      </c>
      <c r="C7" s="919" t="e">
        <f>IF(C8="不临58条商业街",1,ROUND(1+(1.6*E8+1.2*E9+0.8*E10+0.4*E11)*C9,4))</f>
        <v>#DIV/0!</v>
      </c>
      <c r="D7" s="2748" t="s">
        <v>2830</v>
      </c>
      <c r="E7" s="948"/>
      <c r="F7" s="2749"/>
      <c r="G7" s="2750"/>
      <c r="H7" s="2750"/>
      <c r="I7" s="2750"/>
      <c r="J7" s="2751"/>
      <c r="K7" s="1846"/>
      <c r="L7" s="2728" t="s">
        <v>2831</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2832</v>
      </c>
      <c r="X7" s="1608" t="str">
        <f>G2</f>
        <v>二级</v>
      </c>
      <c r="Y7" s="1608" t="s">
        <v>2833</v>
      </c>
      <c r="Z7" s="1609">
        <f>G3</f>
        <v>0.8</v>
      </c>
      <c r="AA7" s="1610"/>
      <c r="AB7" s="1610"/>
      <c r="AC7" s="1611"/>
      <c r="AD7" s="1612"/>
      <c r="AE7" s="1612"/>
      <c r="AF7" s="1612"/>
      <c r="AG7" s="1612"/>
      <c r="AH7" s="1612"/>
      <c r="AI7" s="1612"/>
      <c r="AJ7" s="1613"/>
    </row>
    <row r="8" spans="1:36" ht="15">
      <c r="A8" s="3375"/>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67" t="s">
        <v>2837</v>
      </c>
      <c r="X8" s="3368"/>
      <c r="Y8" s="1614" t="s">
        <v>2838</v>
      </c>
      <c r="Z8" s="1614" t="s">
        <v>2839</v>
      </c>
      <c r="AA8" s="1614" t="s">
        <v>2840</v>
      </c>
      <c r="AB8" s="1614" t="s">
        <v>2841</v>
      </c>
      <c r="AC8" s="1614" t="s">
        <v>2842</v>
      </c>
      <c r="AD8" s="1614" t="s">
        <v>2843</v>
      </c>
      <c r="AE8" s="1614" t="s">
        <v>2844</v>
      </c>
      <c r="AF8" s="1614" t="s">
        <v>2845</v>
      </c>
      <c r="AG8" s="1614" t="s">
        <v>2846</v>
      </c>
      <c r="AH8" s="1614" t="s">
        <v>2847</v>
      </c>
      <c r="AI8" s="1614" t="s">
        <v>2848</v>
      </c>
      <c r="AJ8" s="1614" t="s">
        <v>2849</v>
      </c>
    </row>
    <row r="9" spans="1:36" ht="15">
      <c r="A9" s="3375"/>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69" t="s">
        <v>2853</v>
      </c>
      <c r="X9" s="1615" t="s">
        <v>2854</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75"/>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69"/>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75"/>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69" t="s">
        <v>2861</v>
      </c>
      <c r="X11" s="1618" t="s">
        <v>2862</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74"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69"/>
      <c r="X12" s="1620" t="s">
        <v>2867</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76"/>
      <c r="B13" s="2766" t="s">
        <v>2868</v>
      </c>
      <c r="C13" s="2767" t="s">
        <v>2869</v>
      </c>
      <c r="D13" s="1812" t="s">
        <v>2870</v>
      </c>
      <c r="E13" s="1812" t="s">
        <v>2871</v>
      </c>
      <c r="F13" s="29" t="s">
        <v>2872</v>
      </c>
      <c r="G13" s="2768" t="s">
        <v>2873</v>
      </c>
      <c r="H13" s="2768" t="s">
        <v>2873</v>
      </c>
      <c r="I13" s="2768" t="s">
        <v>2873</v>
      </c>
      <c r="J13" s="2769" t="s">
        <v>2873</v>
      </c>
      <c r="K13" s="1373"/>
      <c r="L13" s="1373"/>
      <c r="M13" s="1373"/>
      <c r="N13" s="1373"/>
      <c r="O13" s="1373"/>
      <c r="P13" s="1373"/>
      <c r="Q13" s="1373"/>
      <c r="R13" s="1606">
        <v>12</v>
      </c>
      <c r="S13" s="1607"/>
      <c r="T13" s="1606">
        <f t="shared" ca="1" si="0"/>
        <v>0</v>
      </c>
      <c r="U13" s="1607"/>
      <c r="V13" s="1606">
        <f t="shared" ca="1" si="1"/>
        <v>0</v>
      </c>
      <c r="W13" s="3369"/>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76"/>
      <c r="B14" s="2770"/>
      <c r="C14" s="2771"/>
      <c r="D14" s="2772"/>
      <c r="E14" s="2772"/>
      <c r="F14" s="2773"/>
      <c r="G14" s="2774" t="s">
        <v>2874</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77"/>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2876</v>
      </c>
      <c r="N15" s="920" t="s">
        <v>2877</v>
      </c>
      <c r="O15" s="920" t="s">
        <v>2878</v>
      </c>
      <c r="P15" s="2780" t="s">
        <v>2879</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74" t="s">
        <v>2880</v>
      </c>
      <c r="B16" s="2747" t="s">
        <v>2881</v>
      </c>
      <c r="C16" s="1805">
        <f>ROUND(SUM(G17:J17)/C17,0)</f>
        <v>73</v>
      </c>
      <c r="D16" s="2781" t="s">
        <v>2882</v>
      </c>
      <c r="E16" s="2782" t="s">
        <v>3332</v>
      </c>
      <c r="F16" s="2783" t="s">
        <v>3333</v>
      </c>
      <c r="G16" s="2784" t="s">
        <v>3334</v>
      </c>
      <c r="H16" s="2784" t="s">
        <v>3335</v>
      </c>
      <c r="I16" s="2784"/>
      <c r="J16" s="2785"/>
      <c r="K16" s="1373"/>
      <c r="L16" s="2786" t="s">
        <v>2883</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75"/>
      <c r="B17" s="2787" t="s">
        <v>2884</v>
      </c>
      <c r="C17" s="924">
        <f>SUMPRODUCT((修正!A2:A5=E2)*(修正!B1:M1=G2)*(修正!B2:M5))</f>
        <v>1.5</v>
      </c>
      <c r="D17" s="2788"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f>ROUND(IF(H19="按公示增长率计算",SUMPRODUCT((地价!A3:A20=YEAR(G19)&amp;"-"&amp;ROUNDUP(MONTH(G19)/3,0))*(地价!X2:AB2=E2)*(地价!X3:AB20)),IF(H19="地价指数",M20/M19,(1+I19)^O19)),4)</f>
        <v>1.2303999999999999</v>
      </c>
      <c r="D19" s="2799" t="s">
        <v>2890</v>
      </c>
      <c r="E19" s="928">
        <v>41640</v>
      </c>
      <c r="F19" s="2799" t="s">
        <v>2891</v>
      </c>
      <c r="G19" s="929">
        <f>'数据-取费表'!B2</f>
        <v>43047</v>
      </c>
      <c r="H19" s="2800" t="s">
        <v>3336</v>
      </c>
      <c r="I19" s="930" t="str">
        <f>IF(H19="季度增幅（自定义）",SUMIF(N21:N24,E2,O21:O24),"")</f>
        <v/>
      </c>
      <c r="J19" s="2797"/>
      <c r="K19" s="1380"/>
      <c r="L19" s="2801" t="s">
        <v>2892</v>
      </c>
      <c r="M19" s="1738">
        <f>ROUND(SUMIF(地价!B2:F2,E2,地价!B20:F20),0)</f>
        <v>230</v>
      </c>
      <c r="N19" s="2802"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2894</v>
      </c>
      <c r="C20" s="932">
        <f ca="1">ROUND(POWER(1+G20,J20-I20)*(POWER(1+G20,I20)-1)/(POWER(1+G20,J20)-1),4)</f>
        <v>0.89280000000000004</v>
      </c>
      <c r="D20" s="2808" t="s">
        <v>2895</v>
      </c>
      <c r="E20" s="1772">
        <f ca="1">存贷款利率!D4/100</f>
        <v>4.3499999999999997E-2</v>
      </c>
      <c r="F20" s="2808" t="s">
        <v>2887</v>
      </c>
      <c r="G20" s="937">
        <f ca="1">SUMIF(M15:P15,E2,M17:P17)</f>
        <v>4.8000000000000001E-2</v>
      </c>
      <c r="H20" s="2808" t="s">
        <v>2896</v>
      </c>
      <c r="I20" s="938">
        <f>SUMIF('数据-取费表'!C6:C15,E2,'数据-取费表'!F6:F15)/COUNTIF('数据-取费表'!C6:C15,E2)</f>
        <v>35.11</v>
      </c>
      <c r="J20" s="939">
        <f>IF(E2="住宅",70,IF(E2="商业",40,50))</f>
        <v>50</v>
      </c>
      <c r="K20" s="1380"/>
      <c r="L20" s="2809" t="s">
        <v>2897</v>
      </c>
      <c r="M20" s="1739">
        <f>ROUND(SUMPRODUCT((地价!A5:A20=YEAR(G19)&amp;"-"&amp;ROUNDUP(MONTH(G19)/3,0))*(地价!B2:F2=E2)*(地价!B5:F20)),0)</f>
        <v>283</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3337</v>
      </c>
      <c r="C21" s="940">
        <f>IF(B21="容积率修正",IF(G3&lt;=10,D22,J22),C23)</f>
        <v>1.4382999999999999</v>
      </c>
      <c r="D21" s="2815"/>
      <c r="E21" s="2815"/>
      <c r="F21" s="2815"/>
      <c r="G21" s="2815"/>
      <c r="H21" s="2815"/>
      <c r="I21" s="2815"/>
      <c r="J21" s="2816"/>
      <c r="K21" s="1380"/>
      <c r="N21" s="2817" t="s">
        <v>2901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2902</v>
      </c>
      <c r="B22" s="2818" t="s">
        <v>2903</v>
      </c>
      <c r="C22" s="1814" t="s">
        <v>2904</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2906</v>
      </c>
      <c r="B23" s="2819" t="s">
        <v>2907</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2909</v>
      </c>
      <c r="C24" s="927">
        <f>SUMIF(A45:A88,E2,B45:B88)</f>
        <v>1.0105</v>
      </c>
      <c r="D24" s="2795"/>
      <c r="E24" s="2825"/>
      <c r="F24" s="2825"/>
      <c r="G24" s="2825"/>
      <c r="H24" s="2825"/>
      <c r="I24" s="2825"/>
      <c r="J24" s="2826"/>
      <c r="K24" s="1380"/>
      <c r="N24" s="2827" t="s">
        <v>2910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0"/>
      <c r="E25" s="2750"/>
      <c r="F25" s="2829"/>
      <c r="G25" s="2750"/>
      <c r="H25" s="2750"/>
      <c r="I25" s="2750"/>
      <c r="J25" s="2751"/>
      <c r="K25" s="1373"/>
      <c r="N25" s="2830" t="s">
        <v>2912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15019</v>
      </c>
      <c r="D29" s="2847">
        <f>'数据-汇总表'!F20+'数据-汇总表'!F21+'数据-汇总表'!F22</f>
        <v>0</v>
      </c>
      <c r="E29" s="945">
        <f ca="1">ROUND(C29*D29/10000,0)</f>
        <v>0</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2921</v>
      </c>
      <c r="C30" s="229">
        <f ca="1">ROUND(IF(E2="工业",C29*M39,C29*M38),0)</f>
        <v>2253</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84" t="s">
        <v>2927</v>
      </c>
      <c r="B33" s="2863" t="s">
        <v>2928</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85"/>
      <c r="B34" s="2767" t="s">
        <v>2929</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85"/>
      <c r="B35" s="2767" t="s">
        <v>2930</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86"/>
      <c r="B36" s="2767" t="s">
        <v>2931</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2932</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7" t="s">
        <v>2934</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2939</v>
      </c>
      <c r="B47" s="1813" t="s">
        <v>2940</v>
      </c>
      <c r="C47" s="1813" t="s">
        <v>2941</v>
      </c>
      <c r="D47" s="1813" t="s">
        <v>2942</v>
      </c>
      <c r="E47" s="819" t="s">
        <v>2943</v>
      </c>
      <c r="F47" s="2881" t="s">
        <v>2944</v>
      </c>
      <c r="G47" s="1813" t="s">
        <v>754</v>
      </c>
      <c r="H47" s="2882" t="s">
        <v>2945</v>
      </c>
      <c r="I47" s="1813"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2948</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2955</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2957</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3"/>
      <c r="C58" s="1813" t="s">
        <v>2941</v>
      </c>
      <c r="D58" s="1813" t="s">
        <v>2942</v>
      </c>
      <c r="E58" s="819" t="s">
        <v>2943</v>
      </c>
      <c r="F58" s="2881" t="s">
        <v>2959</v>
      </c>
      <c r="G58" s="1813" t="s">
        <v>754</v>
      </c>
      <c r="H58" s="2882" t="s">
        <v>2945</v>
      </c>
      <c r="I58" s="1813"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1">
      <c r="A59" s="2880" t="s">
        <v>2960</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2948</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2955</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2957</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3"/>
      <c r="C69" s="1813" t="s">
        <v>2941</v>
      </c>
      <c r="D69" s="1813" t="s">
        <v>2942</v>
      </c>
      <c r="E69" s="819" t="s">
        <v>2943</v>
      </c>
      <c r="F69" s="2881" t="s">
        <v>2959</v>
      </c>
      <c r="G69" s="1813" t="s">
        <v>754</v>
      </c>
      <c r="H69" s="2882" t="s">
        <v>2945</v>
      </c>
      <c r="I69" s="1813"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2948</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2955</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2953</v>
      </c>
      <c r="B76" s="2886" t="s">
        <v>2954</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2957</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2964</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2965</v>
      </c>
      <c r="B79" s="2877">
        <f>1+E81</f>
        <v>1.0105</v>
      </c>
      <c r="C79" s="814"/>
      <c r="D79" s="814"/>
      <c r="E79" s="815"/>
      <c r="F79" s="2879"/>
      <c r="G79" s="6"/>
      <c r="H79" s="6"/>
      <c r="I79" s="6"/>
      <c r="J79" s="7"/>
      <c r="K79" s="7"/>
      <c r="L79" s="7"/>
      <c r="M79" s="7"/>
      <c r="N79" s="7"/>
      <c r="Z79" s="2722"/>
      <c r="AA79" s="2798"/>
      <c r="AG79" s="1375"/>
      <c r="AK79" s="2798"/>
    </row>
    <row r="80" spans="1:37" ht="24.75">
      <c r="A80" s="2880" t="s">
        <v>2939</v>
      </c>
      <c r="B80" s="1813"/>
      <c r="C80" s="1813" t="s">
        <v>2941</v>
      </c>
      <c r="D80" s="1813" t="s">
        <v>2942</v>
      </c>
      <c r="E80" s="819" t="s">
        <v>2943</v>
      </c>
      <c r="F80" s="2881" t="s">
        <v>2959</v>
      </c>
      <c r="G80" s="1813" t="s">
        <v>754</v>
      </c>
      <c r="H80" s="2882" t="s">
        <v>2945</v>
      </c>
      <c r="I80" s="1813" t="s">
        <v>2946</v>
      </c>
      <c r="J80" s="603" t="s">
        <v>2595</v>
      </c>
      <c r="K80" s="603" t="s">
        <v>2596</v>
      </c>
      <c r="L80" s="603" t="s">
        <v>2597</v>
      </c>
      <c r="M80" s="603" t="s">
        <v>2598</v>
      </c>
      <c r="N80" s="603" t="s">
        <v>2599</v>
      </c>
      <c r="Z80" s="2722"/>
      <c r="AA80" s="2798"/>
      <c r="AG80" s="1375"/>
      <c r="AK80" s="2798"/>
    </row>
    <row r="81" spans="1:37" ht="38.25">
      <c r="A81" s="2880" t="s">
        <v>2966</v>
      </c>
      <c r="B81" s="2884" t="str">
        <f>估价对象房地状况!G15</f>
        <v>估价对象位于三里屯，园区建设成熟度一般，产业集聚程度较差</v>
      </c>
      <c r="C81" s="2772" t="s">
        <v>3341</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2948</v>
      </c>
      <c r="B82" s="2884" t="str">
        <f>估价对象房地状况!G16</f>
        <v>估价对象周边有113路、115路、117路等多条公交线路，有地铁团结湖站，路网较密集，停车便捷程度较好，综合评价交通便捷度较好。</v>
      </c>
      <c r="C82" s="2772" t="s">
        <v>3322</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2949</v>
      </c>
      <c r="B83" s="2884">
        <f>估价对象房地状况!G17</f>
        <v>0</v>
      </c>
      <c r="C83" s="2772" t="s">
        <v>3322</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2963</v>
      </c>
      <c r="B84" s="2884">
        <f>估价对象房地状况!G22</f>
        <v>0</v>
      </c>
      <c r="C84" s="2772" t="s">
        <v>3341</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2955</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3322</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2956</v>
      </c>
      <c r="B86" s="1729" t="str">
        <f>估价对象房地状况!G20</f>
        <v>估价对象所在区域基础设施水平达“七通”。</v>
      </c>
      <c r="C86" s="2772" t="s">
        <v>3342</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2953</v>
      </c>
      <c r="B87" s="3051" t="s">
        <v>3343</v>
      </c>
      <c r="C87" s="2772" t="s">
        <v>3322</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2967</v>
      </c>
      <c r="B88" s="2893" t="str">
        <f>估价对象房地状况!G18</f>
        <v>该园区内是否有污染型企业，绿化情况较好，卫生条件较好，整体环境状况较好。</v>
      </c>
      <c r="C88" s="2772" t="s">
        <v>3322</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78" t="s">
        <v>2968</v>
      </c>
      <c r="B90" s="3378"/>
      <c r="C90" s="3378"/>
      <c r="D90" s="3378"/>
      <c r="E90" s="3378"/>
      <c r="F90" s="3378"/>
      <c r="G90" s="3378"/>
      <c r="H90" s="3378"/>
      <c r="I90" s="3378"/>
      <c r="J90" s="3378"/>
      <c r="K90" s="2894"/>
      <c r="L90" s="2894"/>
      <c r="M90" s="2894"/>
      <c r="N90" s="2894"/>
    </row>
    <row r="91" spans="1:37">
      <c r="A91" s="3380" t="s">
        <v>2969</v>
      </c>
      <c r="B91" s="3380" t="s">
        <v>2970</v>
      </c>
      <c r="C91" s="2848" t="s">
        <v>2971</v>
      </c>
      <c r="D91" s="2849"/>
      <c r="E91" s="2849"/>
      <c r="F91" s="2849"/>
      <c r="G91" s="2849"/>
      <c r="H91" s="2849"/>
      <c r="I91" s="2849"/>
      <c r="J91" s="2895"/>
      <c r="K91" s="2896"/>
      <c r="L91" s="2896"/>
      <c r="M91" s="2896"/>
      <c r="N91" s="2896"/>
    </row>
    <row r="92" spans="1:37">
      <c r="A92" s="3380"/>
      <c r="B92" s="3380"/>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81"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8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8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8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8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8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82"/>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8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81" t="s">
        <v>2973</v>
      </c>
      <c r="B101" s="2901" t="s">
        <v>2974</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82"/>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82"/>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82"/>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82"/>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82"/>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82"/>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82"/>
      <c r="B108" s="3238"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83"/>
      <c r="B109" s="3239"/>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79" t="s">
        <v>2976</v>
      </c>
      <c r="B110" s="3379"/>
      <c r="C110" s="3379"/>
      <c r="D110" s="3379"/>
      <c r="E110" s="3379"/>
      <c r="F110" s="3379"/>
      <c r="G110" s="3379"/>
      <c r="H110" s="3379"/>
      <c r="I110" s="3379"/>
      <c r="J110" s="3379"/>
      <c r="K110" s="2903"/>
      <c r="L110" s="2903"/>
      <c r="M110" s="2903"/>
      <c r="N110" s="2903"/>
    </row>
    <row r="112" spans="1:14" ht="13.5" thickBot="1"/>
    <row r="113" spans="1:13" ht="25.5" thickBot="1">
      <c r="A113" s="903" t="s">
        <v>2977</v>
      </c>
      <c r="B113" s="1290">
        <f>G3</f>
        <v>0.8</v>
      </c>
      <c r="C113" s="904" t="s">
        <v>2978</v>
      </c>
      <c r="D113" s="905">
        <f>SUMPRODUCT((A115:A118=F113)*(B114:M114=H113)*B115:M118)</f>
        <v>0.71950000000000003</v>
      </c>
      <c r="E113" s="2726" t="s">
        <v>2812</v>
      </c>
      <c r="F113" s="2905" t="str">
        <f>E2</f>
        <v>工业</v>
      </c>
      <c r="G113" s="2726" t="s">
        <v>2813</v>
      </c>
      <c r="H113" s="2905" t="str">
        <f>G2</f>
        <v>二级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2876</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2877</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2878</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2879</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估价结果一览表（市场价值不需“结果表-1”）</v>
      </c>
      <c r="B3" s="3081"/>
      <c r="C3" s="3081"/>
      <c r="D3" s="3081"/>
      <c r="E3" s="3081"/>
    </row>
    <row r="4" spans="1:5" ht="19.5" thickBot="1">
      <c r="A4" s="1965"/>
      <c r="B4" s="3079" t="s">
        <v>1632</v>
      </c>
      <c r="C4" s="3079"/>
      <c r="D4" s="3079"/>
      <c r="E4" s="1965"/>
    </row>
    <row r="5" spans="1:5" ht="16.5" thickTop="1">
      <c r="A5" s="1963"/>
      <c r="B5" s="3077" t="s">
        <v>1624</v>
      </c>
      <c r="C5" s="1966" t="s">
        <v>1625</v>
      </c>
      <c r="D5" s="1043">
        <f ca="1">'结果表-凯富'!H101</f>
        <v>99456</v>
      </c>
      <c r="E5" s="1963"/>
    </row>
    <row r="6" spans="1:5" ht="15.75">
      <c r="A6" s="1963"/>
      <c r="B6" s="3077"/>
      <c r="C6" s="1966" t="s">
        <v>1626</v>
      </c>
      <c r="D6" s="1043" t="str">
        <f ca="1">NUMBERSTRING(INT(D5*10000),2)&amp;"元整"</f>
        <v>玖亿玖仟肆佰伍拾陆万元整</v>
      </c>
      <c r="E6" s="1963"/>
    </row>
    <row r="7" spans="1:5" ht="15.75">
      <c r="A7" s="1963"/>
      <c r="B7" s="3082"/>
      <c r="C7" s="1967" t="s">
        <v>1627</v>
      </c>
      <c r="D7" s="1044">
        <f ca="1">'结果表-凯富'!H102</f>
        <v>35676</v>
      </c>
      <c r="E7" s="1963"/>
    </row>
    <row r="8" spans="1:5" ht="15.75">
      <c r="A8" s="1963"/>
      <c r="B8" s="3083" t="str">
        <f>'结果表-凯富'!E103</f>
        <v>2.估价师知悉的法定优先受偿款</v>
      </c>
      <c r="C8" s="1968" t="s">
        <v>1628</v>
      </c>
      <c r="D8" s="1044">
        <f>'结果表-凯富'!H103</f>
        <v>0</v>
      </c>
      <c r="E8" s="1963"/>
    </row>
    <row r="9" spans="1:5" ht="15.75">
      <c r="A9" s="1963"/>
      <c r="B9" s="3085"/>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76" t="str">
        <f>'结果表-凯富'!E107</f>
        <v>3.房地产抵押价值</v>
      </c>
      <c r="C13" s="1971" t="s">
        <v>1625</v>
      </c>
      <c r="D13" s="1046">
        <f ca="1">'结果表-凯富'!H107</f>
        <v>99456</v>
      </c>
      <c r="E13" s="1963"/>
    </row>
    <row r="14" spans="1:5" ht="15.75">
      <c r="A14" s="1963"/>
      <c r="B14" s="3077"/>
      <c r="C14" s="1966" t="s">
        <v>1626</v>
      </c>
      <c r="D14" s="1043" t="str">
        <f ca="1">NUMBERSTRING(INT(D13*10000),2)&amp;"元整"</f>
        <v>玖亿玖仟肆佰伍拾陆万元整</v>
      </c>
      <c r="E14" s="1963"/>
    </row>
    <row r="15" spans="1:5" ht="15">
      <c r="A15" s="1963"/>
      <c r="B15" s="3082"/>
      <c r="C15" s="1967" t="s">
        <v>1636</v>
      </c>
      <c r="D15" s="1055">
        <f ca="1">'结果表-凯富'!H108</f>
        <v>35676</v>
      </c>
      <c r="E15" s="1963"/>
    </row>
    <row r="16" spans="1:5" ht="15">
      <c r="A16" s="1963"/>
      <c r="B16" s="3083" t="str">
        <f>'结果表-凯富'!E109</f>
        <v>——</v>
      </c>
      <c r="C16" s="1971" t="s">
        <v>1637</v>
      </c>
      <c r="D16" s="1972" t="str">
        <f>'结果表-凯富'!H109</f>
        <v>——</v>
      </c>
      <c r="E16" s="1963"/>
    </row>
    <row r="17" spans="1:5" ht="15.75">
      <c r="A17" s="1963"/>
      <c r="B17" s="3084"/>
      <c r="C17" s="1966" t="s">
        <v>1638</v>
      </c>
      <c r="D17" s="1043" t="e">
        <f>NUMBERSTRING(INT(D16*10000),2)&amp;"元整"</f>
        <v>#VALUE!</v>
      </c>
      <c r="E17" s="1963"/>
    </row>
    <row r="18" spans="1:5" ht="15">
      <c r="A18" s="1963"/>
      <c r="B18" s="3085"/>
      <c r="C18" s="1967" t="s">
        <v>1627</v>
      </c>
      <c r="D18" s="1055" t="str">
        <f>'结果表-凯富'!H110</f>
        <v>——</v>
      </c>
      <c r="E18" s="1963"/>
    </row>
    <row r="19" spans="1:5" ht="15.75">
      <c r="A19" s="1963"/>
      <c r="B19" s="3076" t="str">
        <f>'结果表-凯富'!E111</f>
        <v>——</v>
      </c>
      <c r="C19" s="1971" t="s">
        <v>1625</v>
      </c>
      <c r="D19" s="1044" t="str">
        <f>'结果表-凯富'!H111</f>
        <v>——</v>
      </c>
      <c r="E19" s="1963"/>
    </row>
    <row r="20" spans="1:5" ht="15.75">
      <c r="A20" s="1963"/>
      <c r="B20" s="3077"/>
      <c r="C20" s="1966" t="s">
        <v>1638</v>
      </c>
      <c r="D20" s="1043" t="e">
        <f>NUMBERSTRING(INT(D19*10000),2)&amp;"元整"</f>
        <v>#VALUE!</v>
      </c>
      <c r="E20" s="1963"/>
    </row>
    <row r="21" spans="1:5" ht="15.75" thickBot="1">
      <c r="A21" s="1963"/>
      <c r="B21" s="3078"/>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87" t="s">
        <v>183</v>
      </c>
      <c r="B18" s="882" t="s">
        <v>560</v>
      </c>
      <c r="C18" s="883" t="s">
        <v>561</v>
      </c>
      <c r="D18" s="884"/>
      <c r="E18" s="882">
        <v>1</v>
      </c>
      <c r="F18" s="885" t="s">
        <v>562</v>
      </c>
      <c r="G18" s="886"/>
      <c r="H18" s="878"/>
      <c r="I18" s="878"/>
    </row>
    <row r="19" spans="1:9" s="887" customFormat="1" ht="19.5" customHeight="1">
      <c r="A19" s="3387"/>
      <c r="B19" s="3387" t="s">
        <v>563</v>
      </c>
      <c r="C19" s="883" t="s">
        <v>564</v>
      </c>
      <c r="D19" s="884"/>
      <c r="E19" s="882">
        <v>0.9</v>
      </c>
      <c r="F19" s="885" t="s">
        <v>565</v>
      </c>
      <c r="G19" s="886"/>
      <c r="H19" s="878"/>
      <c r="I19" s="878"/>
    </row>
    <row r="20" spans="1:9" s="887" customFormat="1" ht="19.5" customHeight="1">
      <c r="A20" s="3387"/>
      <c r="B20" s="3387"/>
      <c r="C20" s="883" t="s">
        <v>566</v>
      </c>
      <c r="D20" s="884"/>
      <c r="E20" s="882">
        <v>1.1000000000000001</v>
      </c>
      <c r="F20" s="885" t="s">
        <v>567</v>
      </c>
      <c r="G20" s="886"/>
      <c r="H20" s="878"/>
      <c r="I20" s="878"/>
    </row>
    <row r="21" spans="1:9" s="887" customFormat="1" ht="19.5" customHeight="1">
      <c r="A21" s="3387"/>
      <c r="B21" s="3387"/>
      <c r="C21" s="883" t="s">
        <v>568</v>
      </c>
      <c r="D21" s="884"/>
      <c r="E21" s="882">
        <v>0.8</v>
      </c>
      <c r="F21" s="885" t="s">
        <v>569</v>
      </c>
      <c r="G21" s="886"/>
      <c r="H21" s="878"/>
      <c r="I21" s="878"/>
    </row>
    <row r="22" spans="1:9" s="887" customFormat="1" ht="19.5" customHeight="1">
      <c r="A22" s="3387"/>
      <c r="B22" s="3387"/>
      <c r="C22" s="883" t="s">
        <v>570</v>
      </c>
      <c r="D22" s="884"/>
      <c r="E22" s="882">
        <v>0.5</v>
      </c>
      <c r="F22" s="885"/>
      <c r="G22" s="886"/>
      <c r="H22" s="878"/>
      <c r="I22" s="878"/>
    </row>
    <row r="23" spans="1:9" s="887" customFormat="1" ht="19.5" customHeight="1">
      <c r="A23" s="3387" t="s">
        <v>184</v>
      </c>
      <c r="B23" s="882" t="s">
        <v>560</v>
      </c>
      <c r="C23" s="883" t="s">
        <v>571</v>
      </c>
      <c r="D23" s="884"/>
      <c r="E23" s="882">
        <v>1</v>
      </c>
      <c r="F23" s="885" t="s">
        <v>572</v>
      </c>
      <c r="G23" s="886"/>
      <c r="H23" s="878"/>
      <c r="I23" s="878"/>
    </row>
    <row r="24" spans="1:9" s="887" customFormat="1" ht="19.5" customHeight="1">
      <c r="A24" s="3387"/>
      <c r="B24" s="3387" t="s">
        <v>563</v>
      </c>
      <c r="C24" s="883" t="s">
        <v>573</v>
      </c>
      <c r="D24" s="884"/>
      <c r="E24" s="882">
        <v>0.5</v>
      </c>
      <c r="F24" s="885"/>
      <c r="G24" s="886"/>
      <c r="H24" s="878"/>
      <c r="I24" s="878"/>
    </row>
    <row r="25" spans="1:9" s="887" customFormat="1" ht="19.5" customHeight="1">
      <c r="A25" s="3387"/>
      <c r="B25" s="3387"/>
      <c r="C25" s="883" t="s">
        <v>574</v>
      </c>
      <c r="D25" s="884"/>
      <c r="E25" s="882">
        <v>1.1000000000000001</v>
      </c>
      <c r="F25" s="885"/>
      <c r="G25" s="886"/>
      <c r="H25" s="878"/>
      <c r="I25" s="878"/>
    </row>
    <row r="26" spans="1:9" s="887" customFormat="1" ht="19.5" customHeight="1">
      <c r="A26" s="3387"/>
      <c r="B26" s="3387"/>
      <c r="C26" s="883" t="s">
        <v>575</v>
      </c>
      <c r="D26" s="884"/>
      <c r="E26" s="882">
        <v>1.1000000000000001</v>
      </c>
      <c r="F26" s="885"/>
      <c r="G26" s="886"/>
      <c r="H26" s="878"/>
      <c r="I26" s="878"/>
    </row>
    <row r="27" spans="1:9" s="887" customFormat="1" ht="19.5" customHeight="1">
      <c r="A27" s="3387"/>
      <c r="B27" s="3387"/>
      <c r="C27" s="883" t="s">
        <v>576</v>
      </c>
      <c r="D27" s="884"/>
      <c r="E27" s="882">
        <v>0.9</v>
      </c>
      <c r="F27" s="885" t="s">
        <v>577</v>
      </c>
      <c r="G27" s="886"/>
      <c r="H27" s="878"/>
      <c r="I27" s="878"/>
    </row>
    <row r="28" spans="1:9" s="887" customFormat="1" ht="19.5" customHeight="1">
      <c r="A28" s="3387"/>
      <c r="B28" s="3387"/>
      <c r="C28" s="883" t="s">
        <v>578</v>
      </c>
      <c r="D28" s="884"/>
      <c r="E28" s="882">
        <v>0.9</v>
      </c>
      <c r="F28" s="885" t="s">
        <v>579</v>
      </c>
      <c r="G28" s="886"/>
      <c r="H28" s="878"/>
      <c r="I28" s="878"/>
    </row>
    <row r="29" spans="1:9" s="887" customFormat="1" ht="19.5" customHeight="1">
      <c r="A29" s="3387"/>
      <c r="B29" s="3387"/>
      <c r="C29" s="883" t="s">
        <v>580</v>
      </c>
      <c r="D29" s="884"/>
      <c r="E29" s="882">
        <v>0.9</v>
      </c>
      <c r="F29" s="885" t="s">
        <v>581</v>
      </c>
      <c r="G29" s="886"/>
      <c r="H29" s="878"/>
      <c r="I29" s="878"/>
    </row>
    <row r="30" spans="1:9" s="887" customFormat="1" ht="19.5" customHeight="1">
      <c r="A30" s="3387"/>
      <c r="B30" s="3387"/>
      <c r="C30" s="883" t="s">
        <v>582</v>
      </c>
      <c r="D30" s="884"/>
      <c r="E30" s="882">
        <v>0.9</v>
      </c>
      <c r="F30" s="885" t="s">
        <v>583</v>
      </c>
      <c r="G30" s="886"/>
      <c r="H30" s="878"/>
      <c r="I30" s="878"/>
    </row>
    <row r="31" spans="1:9" s="887" customFormat="1" ht="19.5" customHeight="1">
      <c r="A31" s="3387"/>
      <c r="B31" s="3387"/>
      <c r="C31" s="883" t="s">
        <v>584</v>
      </c>
      <c r="D31" s="884"/>
      <c r="E31" s="882">
        <v>0.8</v>
      </c>
      <c r="F31" s="885" t="s">
        <v>585</v>
      </c>
      <c r="G31" s="886"/>
      <c r="H31" s="878"/>
      <c r="I31" s="878"/>
    </row>
    <row r="32" spans="1:9" s="887" customFormat="1" ht="19.5" customHeight="1">
      <c r="A32" s="3387"/>
      <c r="B32" s="3387"/>
      <c r="C32" s="883" t="s">
        <v>586</v>
      </c>
      <c r="D32" s="884"/>
      <c r="E32" s="882">
        <v>0.8</v>
      </c>
      <c r="F32" s="885" t="s">
        <v>587</v>
      </c>
      <c r="G32" s="886"/>
      <c r="H32" s="878"/>
      <c r="I32" s="878"/>
    </row>
    <row r="33" spans="1:9" s="887" customFormat="1" ht="19.5" customHeight="1">
      <c r="A33" s="3387" t="s">
        <v>185</v>
      </c>
      <c r="B33" s="882" t="s">
        <v>560</v>
      </c>
      <c r="C33" s="883" t="s">
        <v>588</v>
      </c>
      <c r="D33" s="884"/>
      <c r="E33" s="882">
        <v>1</v>
      </c>
      <c r="F33" s="885" t="s">
        <v>589</v>
      </c>
      <c r="G33" s="886"/>
      <c r="H33" s="878"/>
      <c r="I33" s="878"/>
    </row>
    <row r="34" spans="1:9" s="887" customFormat="1" ht="19.5" customHeight="1">
      <c r="A34" s="3387"/>
      <c r="B34" s="882" t="s">
        <v>563</v>
      </c>
      <c r="C34" s="883" t="s">
        <v>590</v>
      </c>
      <c r="D34" s="884"/>
      <c r="E34" s="882">
        <v>1.5</v>
      </c>
      <c r="F34" s="885" t="s">
        <v>591</v>
      </c>
      <c r="G34" s="886"/>
      <c r="H34" s="878"/>
      <c r="I34" s="878"/>
    </row>
    <row r="35" spans="1:9" s="887" customFormat="1" ht="19.5" customHeight="1">
      <c r="A35" s="3387" t="s">
        <v>186</v>
      </c>
      <c r="B35" s="882" t="s">
        <v>560</v>
      </c>
      <c r="C35" s="883" t="s">
        <v>592</v>
      </c>
      <c r="D35" s="884"/>
      <c r="E35" s="882">
        <v>1</v>
      </c>
      <c r="F35" s="885" t="s">
        <v>593</v>
      </c>
      <c r="G35" s="886"/>
      <c r="H35" s="878"/>
      <c r="I35" s="878"/>
    </row>
    <row r="36" spans="1:9" s="887" customFormat="1" ht="19.5" customHeight="1">
      <c r="A36" s="3387"/>
      <c r="B36" s="3387" t="s">
        <v>563</v>
      </c>
      <c r="C36" s="883" t="s">
        <v>594</v>
      </c>
      <c r="D36" s="884"/>
      <c r="E36" s="882">
        <v>1</v>
      </c>
      <c r="F36" s="885" t="s">
        <v>595</v>
      </c>
      <c r="G36" s="886"/>
      <c r="H36" s="878"/>
      <c r="I36" s="878"/>
    </row>
    <row r="37" spans="1:9" s="887" customFormat="1" ht="19.5" customHeight="1">
      <c r="A37" s="3387"/>
      <c r="B37" s="3387"/>
      <c r="C37" s="883" t="s">
        <v>596</v>
      </c>
      <c r="D37" s="884"/>
      <c r="E37" s="882">
        <v>1.5</v>
      </c>
      <c r="F37" s="885" t="s">
        <v>597</v>
      </c>
      <c r="G37" s="886"/>
      <c r="H37" s="878"/>
      <c r="I37" s="878"/>
    </row>
    <row r="38" spans="1:9" s="887" customFormat="1" ht="19.5" customHeight="1">
      <c r="A38" s="3387"/>
      <c r="B38" s="3387"/>
      <c r="C38" s="883" t="s">
        <v>598</v>
      </c>
      <c r="D38" s="884"/>
      <c r="E38" s="882">
        <v>1</v>
      </c>
      <c r="F38" s="885" t="s">
        <v>599</v>
      </c>
      <c r="G38" s="886"/>
      <c r="H38" s="878"/>
      <c r="I38" s="878"/>
    </row>
    <row r="39" spans="1:9" s="887" customFormat="1" ht="19.5" customHeight="1">
      <c r="A39" s="3387"/>
      <c r="B39" s="33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87" t="s">
        <v>614</v>
      </c>
      <c r="C61" s="818" t="s">
        <v>615</v>
      </c>
      <c r="D61" s="818" t="s">
        <v>616</v>
      </c>
      <c r="E61" s="895">
        <v>0.5</v>
      </c>
      <c r="F61" s="882">
        <v>80</v>
      </c>
    </row>
    <row r="62" spans="1:8" s="878" customFormat="1" ht="24">
      <c r="A62" s="882">
        <v>2</v>
      </c>
      <c r="B62" s="3387"/>
      <c r="C62" s="818" t="s">
        <v>617</v>
      </c>
      <c r="D62" s="818" t="s">
        <v>618</v>
      </c>
      <c r="E62" s="895">
        <v>0.5</v>
      </c>
      <c r="F62" s="882">
        <v>80</v>
      </c>
    </row>
    <row r="63" spans="1:8" s="878" customFormat="1" ht="36">
      <c r="A63" s="882">
        <v>3</v>
      </c>
      <c r="B63" s="3387"/>
      <c r="C63" s="818" t="s">
        <v>619</v>
      </c>
      <c r="D63" s="818" t="s">
        <v>620</v>
      </c>
      <c r="E63" s="895">
        <v>0.5</v>
      </c>
      <c r="F63" s="882">
        <v>80</v>
      </c>
    </row>
    <row r="64" spans="1:8" s="878" customFormat="1" ht="36">
      <c r="A64" s="882">
        <v>4</v>
      </c>
      <c r="B64" s="3387"/>
      <c r="C64" s="818" t="s">
        <v>621</v>
      </c>
      <c r="D64" s="818" t="s">
        <v>622</v>
      </c>
      <c r="E64" s="895">
        <v>0.4</v>
      </c>
      <c r="F64" s="882">
        <v>60</v>
      </c>
    </row>
    <row r="65" spans="1:6" s="878" customFormat="1" ht="36">
      <c r="A65" s="882">
        <v>5</v>
      </c>
      <c r="B65" s="3387"/>
      <c r="C65" s="818" t="s">
        <v>623</v>
      </c>
      <c r="D65" s="818" t="s">
        <v>624</v>
      </c>
      <c r="E65" s="895">
        <v>0.2</v>
      </c>
      <c r="F65" s="882">
        <v>30</v>
      </c>
    </row>
    <row r="66" spans="1:6" s="878" customFormat="1" ht="36">
      <c r="A66" s="882">
        <v>6</v>
      </c>
      <c r="B66" s="3387"/>
      <c r="C66" s="818" t="s">
        <v>625</v>
      </c>
      <c r="D66" s="818" t="s">
        <v>626</v>
      </c>
      <c r="E66" s="895">
        <v>0.3</v>
      </c>
      <c r="F66" s="882">
        <v>50</v>
      </c>
    </row>
    <row r="67" spans="1:6" s="878" customFormat="1" ht="36">
      <c r="A67" s="882">
        <v>7</v>
      </c>
      <c r="B67" s="3387"/>
      <c r="C67" s="818" t="s">
        <v>627</v>
      </c>
      <c r="D67" s="818" t="s">
        <v>628</v>
      </c>
      <c r="E67" s="895">
        <v>0.2</v>
      </c>
      <c r="F67" s="882">
        <v>30</v>
      </c>
    </row>
    <row r="68" spans="1:6" s="878" customFormat="1" ht="36">
      <c r="A68" s="882">
        <v>8</v>
      </c>
      <c r="B68" s="3387"/>
      <c r="C68" s="818" t="s">
        <v>629</v>
      </c>
      <c r="D68" s="818" t="s">
        <v>630</v>
      </c>
      <c r="E68" s="895">
        <v>0.2</v>
      </c>
      <c r="F68" s="882">
        <v>30</v>
      </c>
    </row>
    <row r="69" spans="1:6" s="878" customFormat="1" ht="36">
      <c r="A69" s="882">
        <v>9</v>
      </c>
      <c r="B69" s="3387"/>
      <c r="C69" s="818" t="s">
        <v>631</v>
      </c>
      <c r="D69" s="818" t="s">
        <v>632</v>
      </c>
      <c r="E69" s="895">
        <v>0.2</v>
      </c>
      <c r="F69" s="882">
        <v>30</v>
      </c>
    </row>
    <row r="70" spans="1:6" s="878" customFormat="1" ht="48">
      <c r="A70" s="882">
        <v>10</v>
      </c>
      <c r="B70" s="3387"/>
      <c r="C70" s="818" t="s">
        <v>633</v>
      </c>
      <c r="D70" s="818" t="s">
        <v>634</v>
      </c>
      <c r="E70" s="895">
        <v>0.2</v>
      </c>
      <c r="F70" s="882">
        <v>30</v>
      </c>
    </row>
    <row r="71" spans="1:6" s="878" customFormat="1" ht="48">
      <c r="A71" s="882">
        <v>11</v>
      </c>
      <c r="B71" s="3387"/>
      <c r="C71" s="818" t="s">
        <v>635</v>
      </c>
      <c r="D71" s="818" t="s">
        <v>636</v>
      </c>
      <c r="E71" s="895">
        <v>0.2</v>
      </c>
      <c r="F71" s="882">
        <v>30</v>
      </c>
    </row>
    <row r="72" spans="1:6" s="878" customFormat="1" ht="36">
      <c r="A72" s="882">
        <v>12</v>
      </c>
      <c r="B72" s="3387"/>
      <c r="C72" s="818" t="s">
        <v>637</v>
      </c>
      <c r="D72" s="818" t="s">
        <v>638</v>
      </c>
      <c r="E72" s="895">
        <v>0.5</v>
      </c>
      <c r="F72" s="882">
        <v>80</v>
      </c>
    </row>
    <row r="73" spans="1:6" s="878" customFormat="1" ht="24">
      <c r="A73" s="882">
        <v>13</v>
      </c>
      <c r="B73" s="3387"/>
      <c r="C73" s="818" t="s">
        <v>639</v>
      </c>
      <c r="D73" s="818" t="s">
        <v>640</v>
      </c>
      <c r="E73" s="895">
        <v>0.4</v>
      </c>
      <c r="F73" s="882">
        <v>60</v>
      </c>
    </row>
    <row r="74" spans="1:6" s="878" customFormat="1" ht="24">
      <c r="A74" s="882">
        <v>14</v>
      </c>
      <c r="B74" s="3387"/>
      <c r="C74" s="818" t="s">
        <v>641</v>
      </c>
      <c r="D74" s="818" t="s">
        <v>642</v>
      </c>
      <c r="E74" s="895">
        <v>0.2</v>
      </c>
      <c r="F74" s="882">
        <v>30</v>
      </c>
    </row>
    <row r="75" spans="1:6" s="878" customFormat="1" ht="24">
      <c r="A75" s="882">
        <v>15</v>
      </c>
      <c r="B75" s="3387"/>
      <c r="C75" s="818" t="s">
        <v>643</v>
      </c>
      <c r="D75" s="818" t="s">
        <v>644</v>
      </c>
      <c r="E75" s="895">
        <v>0.2</v>
      </c>
      <c r="F75" s="882">
        <v>30</v>
      </c>
    </row>
    <row r="76" spans="1:6" s="878" customFormat="1" ht="24">
      <c r="A76" s="882">
        <v>16</v>
      </c>
      <c r="B76" s="3387" t="s">
        <v>645</v>
      </c>
      <c r="C76" s="818" t="s">
        <v>646</v>
      </c>
      <c r="D76" s="818" t="s">
        <v>647</v>
      </c>
      <c r="E76" s="895">
        <v>0.5</v>
      </c>
      <c r="F76" s="882">
        <v>80</v>
      </c>
    </row>
    <row r="77" spans="1:6" s="878" customFormat="1" ht="24">
      <c r="A77" s="882">
        <v>17</v>
      </c>
      <c r="B77" s="3387"/>
      <c r="C77" s="818" t="s">
        <v>648</v>
      </c>
      <c r="D77" s="818" t="s">
        <v>649</v>
      </c>
      <c r="E77" s="895">
        <v>0.5</v>
      </c>
      <c r="F77" s="882">
        <v>80</v>
      </c>
    </row>
    <row r="78" spans="1:6" s="878" customFormat="1" ht="24">
      <c r="A78" s="882">
        <v>18</v>
      </c>
      <c r="B78" s="3387"/>
      <c r="C78" s="818" t="s">
        <v>650</v>
      </c>
      <c r="D78" s="818" t="s">
        <v>651</v>
      </c>
      <c r="E78" s="895">
        <v>0.2</v>
      </c>
      <c r="F78" s="882">
        <v>30</v>
      </c>
    </row>
    <row r="79" spans="1:6" s="878" customFormat="1" ht="24">
      <c r="A79" s="882">
        <v>19</v>
      </c>
      <c r="B79" s="3387"/>
      <c r="C79" s="818" t="s">
        <v>652</v>
      </c>
      <c r="D79" s="818" t="s">
        <v>653</v>
      </c>
      <c r="E79" s="895">
        <v>0.5</v>
      </c>
      <c r="F79" s="882">
        <v>80</v>
      </c>
    </row>
    <row r="80" spans="1:6" s="878" customFormat="1" ht="36">
      <c r="A80" s="882">
        <v>20</v>
      </c>
      <c r="B80" s="3387"/>
      <c r="C80" s="818" t="s">
        <v>654</v>
      </c>
      <c r="D80" s="818" t="s">
        <v>655</v>
      </c>
      <c r="E80" s="895">
        <v>0.2</v>
      </c>
      <c r="F80" s="882">
        <v>30</v>
      </c>
    </row>
    <row r="81" spans="1:6" s="878" customFormat="1" ht="36">
      <c r="A81" s="882">
        <v>21</v>
      </c>
      <c r="B81" s="3387"/>
      <c r="C81" s="818" t="s">
        <v>656</v>
      </c>
      <c r="D81" s="818" t="s">
        <v>657</v>
      </c>
      <c r="E81" s="895">
        <v>0.2</v>
      </c>
      <c r="F81" s="882">
        <v>30</v>
      </c>
    </row>
    <row r="82" spans="1:6" s="878" customFormat="1" ht="48">
      <c r="A82" s="882">
        <v>22</v>
      </c>
      <c r="B82" s="3387"/>
      <c r="C82" s="818" t="s">
        <v>658</v>
      </c>
      <c r="D82" s="818" t="s">
        <v>659</v>
      </c>
      <c r="E82" s="895">
        <v>0.2</v>
      </c>
      <c r="F82" s="882">
        <v>30</v>
      </c>
    </row>
    <row r="83" spans="1:6" s="878" customFormat="1" ht="48">
      <c r="A83" s="882">
        <v>23</v>
      </c>
      <c r="B83" s="3387"/>
      <c r="C83" s="818" t="s">
        <v>660</v>
      </c>
      <c r="D83" s="818" t="s">
        <v>661</v>
      </c>
      <c r="E83" s="895">
        <v>0.2</v>
      </c>
      <c r="F83" s="882">
        <v>30</v>
      </c>
    </row>
    <row r="84" spans="1:6" s="878" customFormat="1" ht="36">
      <c r="A84" s="882">
        <v>24</v>
      </c>
      <c r="B84" s="3387"/>
      <c r="C84" s="818" t="s">
        <v>662</v>
      </c>
      <c r="D84" s="818" t="s">
        <v>663</v>
      </c>
      <c r="E84" s="895">
        <v>0.2</v>
      </c>
      <c r="F84" s="882">
        <v>30</v>
      </c>
    </row>
    <row r="85" spans="1:6" s="878" customFormat="1" ht="36">
      <c r="A85" s="882">
        <v>25</v>
      </c>
      <c r="B85" s="3387"/>
      <c r="C85" s="818" t="s">
        <v>664</v>
      </c>
      <c r="D85" s="818" t="s">
        <v>665</v>
      </c>
      <c r="E85" s="895">
        <v>0.5</v>
      </c>
      <c r="F85" s="882">
        <v>80</v>
      </c>
    </row>
    <row r="86" spans="1:6" s="878" customFormat="1" ht="36">
      <c r="A86" s="882">
        <v>26</v>
      </c>
      <c r="B86" s="3387"/>
      <c r="C86" s="818" t="s">
        <v>666</v>
      </c>
      <c r="D86" s="818" t="s">
        <v>667</v>
      </c>
      <c r="E86" s="895">
        <v>0.2</v>
      </c>
      <c r="F86" s="882">
        <v>30</v>
      </c>
    </row>
    <row r="87" spans="1:6" s="878" customFormat="1" ht="36">
      <c r="A87" s="882">
        <v>27</v>
      </c>
      <c r="B87" s="3387"/>
      <c r="C87" s="818" t="s">
        <v>668</v>
      </c>
      <c r="D87" s="818" t="s">
        <v>669</v>
      </c>
      <c r="E87" s="895">
        <v>0.2</v>
      </c>
      <c r="F87" s="882">
        <v>30</v>
      </c>
    </row>
    <row r="88" spans="1:6" s="878" customFormat="1" ht="36">
      <c r="A88" s="882">
        <v>28</v>
      </c>
      <c r="B88" s="3387"/>
      <c r="C88" s="818" t="s">
        <v>670</v>
      </c>
      <c r="D88" s="818" t="s">
        <v>671</v>
      </c>
      <c r="E88" s="895">
        <v>0.2</v>
      </c>
      <c r="F88" s="882">
        <v>30</v>
      </c>
    </row>
    <row r="89" spans="1:6" s="878" customFormat="1" ht="24">
      <c r="A89" s="882">
        <v>29</v>
      </c>
      <c r="B89" s="3387"/>
      <c r="C89" s="818" t="s">
        <v>672</v>
      </c>
      <c r="D89" s="818" t="s">
        <v>673</v>
      </c>
      <c r="E89" s="895">
        <v>0.2</v>
      </c>
      <c r="F89" s="882">
        <v>30</v>
      </c>
    </row>
    <row r="90" spans="1:6" s="878" customFormat="1" ht="24">
      <c r="A90" s="882">
        <v>30</v>
      </c>
      <c r="B90" s="3387"/>
      <c r="C90" s="818" t="s">
        <v>674</v>
      </c>
      <c r="D90" s="818" t="s">
        <v>675</v>
      </c>
      <c r="E90" s="895">
        <v>0.2</v>
      </c>
      <c r="F90" s="882">
        <v>30</v>
      </c>
    </row>
    <row r="91" spans="1:6" s="878" customFormat="1" ht="36">
      <c r="A91" s="882">
        <v>31</v>
      </c>
      <c r="B91" s="3387"/>
      <c r="C91" s="818" t="s">
        <v>676</v>
      </c>
      <c r="D91" s="818" t="s">
        <v>677</v>
      </c>
      <c r="E91" s="895">
        <v>0.2</v>
      </c>
      <c r="F91" s="882">
        <v>30</v>
      </c>
    </row>
    <row r="92" spans="1:6" s="878" customFormat="1" ht="24">
      <c r="A92" s="882">
        <v>32</v>
      </c>
      <c r="B92" s="3387" t="s">
        <v>678</v>
      </c>
      <c r="C92" s="882" t="s">
        <v>679</v>
      </c>
      <c r="D92" s="818" t="s">
        <v>680</v>
      </c>
      <c r="E92" s="895">
        <v>0.2</v>
      </c>
      <c r="F92" s="882">
        <v>30</v>
      </c>
    </row>
    <row r="93" spans="1:6" s="878" customFormat="1" ht="36">
      <c r="A93" s="882">
        <v>33</v>
      </c>
      <c r="B93" s="3387"/>
      <c r="C93" s="882" t="s">
        <v>681</v>
      </c>
      <c r="D93" s="818" t="s">
        <v>682</v>
      </c>
      <c r="E93" s="895">
        <v>0.2</v>
      </c>
      <c r="F93" s="882">
        <v>30</v>
      </c>
    </row>
    <row r="94" spans="1:6" s="878" customFormat="1" ht="48">
      <c r="A94" s="882">
        <v>34</v>
      </c>
      <c r="B94" s="3387"/>
      <c r="C94" s="882" t="s">
        <v>683</v>
      </c>
      <c r="D94" s="818" t="s">
        <v>684</v>
      </c>
      <c r="E94" s="895">
        <v>0.2</v>
      </c>
      <c r="F94" s="882">
        <v>30</v>
      </c>
    </row>
    <row r="95" spans="1:6" s="878" customFormat="1" ht="36">
      <c r="A95" s="882">
        <v>35</v>
      </c>
      <c r="B95" s="3387"/>
      <c r="C95" s="882" t="s">
        <v>685</v>
      </c>
      <c r="D95" s="818" t="s">
        <v>686</v>
      </c>
      <c r="E95" s="895">
        <v>0.2</v>
      </c>
      <c r="F95" s="882">
        <v>30</v>
      </c>
    </row>
    <row r="96" spans="1:6" s="878" customFormat="1" ht="48">
      <c r="A96" s="882">
        <v>36</v>
      </c>
      <c r="B96" s="3387"/>
      <c r="C96" s="818" t="s">
        <v>687</v>
      </c>
      <c r="D96" s="818" t="s">
        <v>688</v>
      </c>
      <c r="E96" s="895">
        <v>0.2</v>
      </c>
      <c r="F96" s="882">
        <v>30</v>
      </c>
    </row>
    <row r="97" spans="1:6" s="878" customFormat="1" ht="36">
      <c r="A97" s="882">
        <v>37</v>
      </c>
      <c r="B97" s="3387"/>
      <c r="C97" s="882" t="s">
        <v>689</v>
      </c>
      <c r="D97" s="818" t="s">
        <v>690</v>
      </c>
      <c r="E97" s="895">
        <v>0.2</v>
      </c>
      <c r="F97" s="882">
        <v>30</v>
      </c>
    </row>
    <row r="98" spans="1:6" s="878" customFormat="1" ht="36">
      <c r="A98" s="882">
        <v>38</v>
      </c>
      <c r="B98" s="3387"/>
      <c r="C98" s="882" t="s">
        <v>691</v>
      </c>
      <c r="D98" s="818" t="s">
        <v>692</v>
      </c>
      <c r="E98" s="895">
        <v>0.2</v>
      </c>
      <c r="F98" s="882">
        <v>30</v>
      </c>
    </row>
    <row r="99" spans="1:6" s="878" customFormat="1" ht="36">
      <c r="A99" s="882">
        <v>39</v>
      </c>
      <c r="B99" s="3387" t="s">
        <v>693</v>
      </c>
      <c r="C99" s="882" t="s">
        <v>694</v>
      </c>
      <c r="D99" s="818" t="s">
        <v>695</v>
      </c>
      <c r="E99" s="895">
        <v>0.3</v>
      </c>
      <c r="F99" s="882">
        <v>50</v>
      </c>
    </row>
    <row r="100" spans="1:6" s="878" customFormat="1" ht="24">
      <c r="A100" s="882">
        <v>40</v>
      </c>
      <c r="B100" s="3387"/>
      <c r="C100" s="882" t="s">
        <v>696</v>
      </c>
      <c r="D100" s="818" t="s">
        <v>697</v>
      </c>
      <c r="E100" s="895">
        <v>0.2</v>
      </c>
      <c r="F100" s="882">
        <v>30</v>
      </c>
    </row>
    <row r="101" spans="1:6" s="878" customFormat="1" ht="36">
      <c r="A101" s="882">
        <v>41</v>
      </c>
      <c r="B101" s="33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7" t="s">
        <v>708</v>
      </c>
      <c r="C105" s="882" t="s">
        <v>709</v>
      </c>
      <c r="D105" s="818" t="s">
        <v>710</v>
      </c>
      <c r="E105" s="895">
        <v>0.2</v>
      </c>
      <c r="F105" s="882">
        <v>30</v>
      </c>
    </row>
    <row r="106" spans="1:6" s="878" customFormat="1" ht="36">
      <c r="A106" s="882">
        <v>46</v>
      </c>
      <c r="B106" s="3387"/>
      <c r="C106" s="882" t="s">
        <v>711</v>
      </c>
      <c r="D106" s="818" t="s">
        <v>712</v>
      </c>
      <c r="E106" s="895">
        <v>0.2</v>
      </c>
      <c r="F106" s="882">
        <v>30</v>
      </c>
    </row>
    <row r="107" spans="1:6" s="878" customFormat="1" ht="36">
      <c r="A107" s="882">
        <v>47</v>
      </c>
      <c r="B107" s="3387" t="s">
        <v>713</v>
      </c>
      <c r="C107" s="882" t="s">
        <v>714</v>
      </c>
      <c r="D107" s="818" t="s">
        <v>715</v>
      </c>
      <c r="E107" s="895">
        <v>0.3</v>
      </c>
      <c r="F107" s="882">
        <v>50</v>
      </c>
    </row>
    <row r="108" spans="1:6" s="878" customFormat="1" ht="36">
      <c r="A108" s="882">
        <v>48</v>
      </c>
      <c r="B108" s="33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7" t="s">
        <v>724</v>
      </c>
      <c r="C111" s="882" t="s">
        <v>725</v>
      </c>
      <c r="D111" s="818" t="s">
        <v>726</v>
      </c>
      <c r="E111" s="895">
        <v>0.2</v>
      </c>
      <c r="F111" s="882">
        <v>30</v>
      </c>
    </row>
    <row r="112" spans="1:6" s="878" customFormat="1" ht="24">
      <c r="A112" s="882">
        <v>52</v>
      </c>
      <c r="B112" s="3387"/>
      <c r="C112" s="882" t="s">
        <v>727</v>
      </c>
      <c r="D112" s="818" t="s">
        <v>728</v>
      </c>
      <c r="E112" s="895">
        <v>0.2</v>
      </c>
      <c r="F112" s="882">
        <v>30</v>
      </c>
    </row>
    <row r="113" spans="1:6" s="878" customFormat="1" ht="24">
      <c r="A113" s="882">
        <v>53</v>
      </c>
      <c r="B113" s="33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7" t="s">
        <v>737</v>
      </c>
      <c r="C116" s="882" t="s">
        <v>738</v>
      </c>
      <c r="D116" s="818" t="s">
        <v>739</v>
      </c>
      <c r="E116" s="895">
        <v>0.2</v>
      </c>
      <c r="F116" s="882">
        <v>30</v>
      </c>
    </row>
    <row r="117" spans="1:6" ht="36">
      <c r="A117" s="882">
        <v>57</v>
      </c>
      <c r="B117" s="33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2999</v>
      </c>
    </row>
    <row r="2" spans="1:5" ht="15.75">
      <c r="A2" s="2912" t="s">
        <v>2991</v>
      </c>
      <c r="B2" s="2913">
        <f ca="1">SUMIF(B6:B13,"&lt;&gt;#ref!",B6:B13)</f>
        <v>0</v>
      </c>
      <c r="C2" s="2912" t="s">
        <v>2992</v>
      </c>
      <c r="D2" s="2912" t="s">
        <v>2993</v>
      </c>
      <c r="E2" s="2913" t="e">
        <f ca="1">SUM(E6:E13)</f>
        <v>#REF!</v>
      </c>
    </row>
    <row r="3" spans="1:5" ht="15.75">
      <c r="A3" s="2912" t="s">
        <v>2994</v>
      </c>
      <c r="B3" s="2913" t="e">
        <f ca="1">ROUND(B2*10000/E2,0)</f>
        <v>#REF!</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93" t="s">
        <v>1150</v>
      </c>
      <c r="C1" s="3393"/>
      <c r="D1" s="3393"/>
      <c r="E1" s="3393"/>
      <c r="F1" s="3393"/>
      <c r="G1" s="3392" t="s">
        <v>1151</v>
      </c>
      <c r="H1" s="3392"/>
      <c r="I1" s="3392"/>
      <c r="J1" s="3392"/>
      <c r="K1" s="3392"/>
      <c r="L1" s="3392"/>
      <c r="N1" s="3392" t="s">
        <v>1152</v>
      </c>
      <c r="O1" s="3392"/>
      <c r="P1" s="3392"/>
      <c r="Q1" s="3392"/>
      <c r="R1" s="1449"/>
      <c r="S1" s="3392" t="s">
        <v>1153</v>
      </c>
      <c r="T1" s="3392"/>
      <c r="U1" s="3392"/>
      <c r="V1" s="3392"/>
      <c r="X1" s="3391" t="s">
        <v>1154</v>
      </c>
      <c r="Y1" s="3392"/>
      <c r="Z1" s="3392"/>
      <c r="AA1" s="3392"/>
      <c r="AB1" s="3392"/>
      <c r="AD1" s="3391" t="s">
        <v>1155</v>
      </c>
      <c r="AE1" s="3392"/>
      <c r="AF1" s="3392"/>
      <c r="AG1" s="3392"/>
      <c r="AH1" s="339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9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8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8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9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8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8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8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9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8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8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8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9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9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9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9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9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8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8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8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9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8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8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8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9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8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8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8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9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8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8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8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9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8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8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8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9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8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8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8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9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8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8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8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9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8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8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8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9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8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8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8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9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8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8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8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9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8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8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8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9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3001</v>
      </c>
      <c r="C1" s="3399" t="s">
        <v>3002</v>
      </c>
      <c r="D1" s="3400"/>
      <c r="E1" s="3400"/>
      <c r="F1" s="3400"/>
      <c r="G1" s="3400"/>
      <c r="H1" s="3400"/>
      <c r="I1" s="3400"/>
      <c r="J1" s="3400"/>
      <c r="K1" s="3400"/>
      <c r="L1" s="3400"/>
      <c r="M1" s="3400"/>
      <c r="N1" s="3400"/>
      <c r="O1" s="3400"/>
      <c r="P1" s="3400"/>
      <c r="Q1" s="3400"/>
      <c r="R1" s="3400"/>
      <c r="S1" s="340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3013</v>
      </c>
      <c r="E19" s="1796"/>
      <c r="F19" s="1796"/>
      <c r="G19" s="1796"/>
      <c r="H19" s="1283"/>
      <c r="I19" s="168"/>
      <c r="J19" s="168"/>
      <c r="K19" s="168"/>
      <c r="L19" s="168"/>
      <c r="M19" s="168"/>
      <c r="N19" s="168"/>
      <c r="O19" s="168"/>
      <c r="P19" s="168"/>
      <c r="Q19" s="168"/>
      <c r="R19" s="788"/>
      <c r="S19" s="137"/>
    </row>
    <row r="20" spans="1:45" ht="16.5" thickBot="1">
      <c r="A20" s="715" t="s">
        <v>3014</v>
      </c>
      <c r="B20" s="338" t="e">
        <f ca="1">IF(D20="——",S22,S22-F20)</f>
        <v>#REF!</v>
      </c>
      <c r="C20" s="168"/>
      <c r="D20" s="2921" t="s">
        <v>3015</v>
      </c>
      <c r="E20" s="1797"/>
      <c r="F20" s="1207" t="e">
        <f ca="1">SUMIF(INDIRECT("'"&amp;H20&amp;"'"&amp;"!A:A"),"承租人权益价值",INDIRECT("'"&amp;H20&amp;"'"&amp;"!c:c"))</f>
        <v>#REF!</v>
      </c>
      <c r="G20" s="1207" t="s">
        <v>3016</v>
      </c>
      <c r="H20" s="2922"/>
      <c r="I20" s="168"/>
      <c r="J20" s="168"/>
      <c r="K20" s="168"/>
      <c r="L20" s="168"/>
      <c r="M20" s="168"/>
      <c r="N20" s="168"/>
      <c r="O20" s="168"/>
      <c r="P20" s="168"/>
      <c r="Q20" s="168"/>
      <c r="R20" s="788"/>
      <c r="S20" s="137"/>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100</v>
      </c>
      <c r="C22" s="3260" t="s">
        <v>33</v>
      </c>
      <c r="D22" s="3261"/>
      <c r="E22" s="3261"/>
      <c r="F22" s="3261"/>
      <c r="G22" s="3261"/>
      <c r="H22" s="3261"/>
      <c r="I22" s="3261"/>
      <c r="J22" s="3261"/>
      <c r="K22" s="3261"/>
      <c r="L22" s="3261"/>
      <c r="M22" s="3261"/>
      <c r="N22" s="3261"/>
      <c r="O22" s="3261"/>
      <c r="P22" s="3261"/>
      <c r="Q22" s="3398"/>
      <c r="R22" s="716">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38010</v>
      </c>
      <c r="C2" s="2" t="s">
        <v>133</v>
      </c>
      <c r="D2" s="243"/>
      <c r="E2" s="243"/>
      <c r="F2" s="243"/>
      <c r="G2" s="243"/>
    </row>
    <row r="3" spans="1:7" s="244" customFormat="1" ht="18" customHeight="1" thickBot="1">
      <c r="A3" s="247" t="s">
        <v>85</v>
      </c>
      <c r="B3" s="248">
        <f ca="1">ROUND(B2*10000/'数据-汇总表'!E3,0)</f>
        <v>13635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558</v>
      </c>
      <c r="D10" s="1035">
        <f>'数据-汇总表'!E6</f>
        <v>27877.57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558</v>
      </c>
      <c r="D19" s="1039">
        <f>'数据-汇总表'!E3</f>
        <v>27877.57</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465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4318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7806</v>
      </c>
      <c r="D34" s="261"/>
      <c r="E34" s="264"/>
      <c r="F34" s="301">
        <f>IF('数据-取费表'!B24=0,1,'数据-取费表'!N16)</f>
        <v>1</v>
      </c>
      <c r="G34" s="263" t="s">
        <v>116</v>
      </c>
    </row>
    <row r="35" spans="1:7" ht="13.5" customHeight="1">
      <c r="A35" s="954" t="s">
        <v>796</v>
      </c>
      <c r="B35" s="259" t="s">
        <v>60</v>
      </c>
      <c r="C35" s="264">
        <f>ROUND(C34*F35,0)</f>
        <v>312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558</v>
      </c>
      <c r="D37" s="261">
        <f>'数据-汇总表'!E3</f>
        <v>27877.57</v>
      </c>
      <c r="E37" s="293">
        <f>'数据-取费表'!B35</f>
        <v>200</v>
      </c>
      <c r="F37" s="303"/>
      <c r="G37" s="305" t="s">
        <v>119</v>
      </c>
    </row>
    <row r="38" spans="1:7" ht="13.5" customHeight="1">
      <c r="A38" s="954" t="s">
        <v>799</v>
      </c>
      <c r="B38" s="259" t="s">
        <v>63</v>
      </c>
      <c r="C38" s="264">
        <f>ROUND(C34*F38,0)</f>
        <v>117</v>
      </c>
      <c r="D38" s="264"/>
      <c r="E38" s="264"/>
      <c r="F38" s="303">
        <f>'数据-取费表'!B36</f>
        <v>1.4999999999999999E-2</v>
      </c>
      <c r="G38" s="263" t="s">
        <v>117</v>
      </c>
    </row>
    <row r="39" spans="1:7" s="258" customFormat="1" ht="13.5" customHeight="1">
      <c r="A39" s="951" t="s">
        <v>783</v>
      </c>
      <c r="B39" s="254" t="s">
        <v>104</v>
      </c>
      <c r="C39" s="276">
        <f>ROUND(C33*F20,0)</f>
        <v>176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96</v>
      </c>
      <c r="D42" s="282"/>
      <c r="E42" s="282"/>
      <c r="F42" s="283"/>
      <c r="G42" s="3322" t="s">
        <v>121</v>
      </c>
    </row>
    <row r="43" spans="1:7" ht="13.5" customHeight="1">
      <c r="A43" s="954" t="s">
        <v>792</v>
      </c>
      <c r="B43" s="259" t="s">
        <v>1064</v>
      </c>
      <c r="C43" s="282">
        <f ca="1">ROUND(IF('数据-取费表'!B22&lt;=1,C39*F22*'数据-取费表'!B21/2,C39*(POWER((1+F22),'数据-取费表'!B21/2)-1)),0)</f>
        <v>2</v>
      </c>
      <c r="D43" s="282"/>
      <c r="E43" s="282"/>
      <c r="F43" s="283"/>
      <c r="G43" s="3323"/>
    </row>
    <row r="44" spans="1:7" ht="13.5" customHeight="1">
      <c r="A44" s="954" t="s">
        <v>793</v>
      </c>
      <c r="B44" s="259" t="s">
        <v>1066</v>
      </c>
      <c r="C44" s="282">
        <f ca="1">ROUND(IF('数据-取费表'!B22&lt;=1,C40*F22*'数据-取费表'!B21/2,C40*(POWER((1+F22),'数据-取费表'!B21/2)-1)),4)</f>
        <v>2.0000000000000001E-4</v>
      </c>
      <c r="D44" s="282"/>
      <c r="E44" s="282"/>
      <c r="F44" s="283"/>
      <c r="G44" s="3324"/>
    </row>
    <row r="45" spans="1:7" s="258" customFormat="1" ht="13.5" customHeight="1">
      <c r="A45" s="951" t="s">
        <v>786</v>
      </c>
      <c r="B45" s="288" t="s">
        <v>112</v>
      </c>
      <c r="C45" s="289">
        <f>C46</f>
        <v>1794</v>
      </c>
      <c r="D45" s="279">
        <f>C47</f>
        <v>4.0000000000000001E-3</v>
      </c>
      <c r="E45" s="280" t="s">
        <v>129</v>
      </c>
      <c r="F45" s="290"/>
      <c r="G45" s="291" t="s">
        <v>1072</v>
      </c>
    </row>
    <row r="46" spans="1:7" s="258" customFormat="1" ht="13.5" customHeight="1">
      <c r="A46" s="954" t="s">
        <v>794</v>
      </c>
      <c r="B46" s="292" t="s">
        <v>1065</v>
      </c>
      <c r="C46" s="293">
        <f>ROUND((C33+C39)*F27,0)</f>
        <v>1794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11774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9419</v>
      </c>
      <c r="D51" s="276"/>
      <c r="E51" s="276"/>
      <c r="F51" s="308"/>
      <c r="G51" s="278" t="s">
        <v>64</v>
      </c>
    </row>
    <row r="52" spans="1:7" s="252" customFormat="1" ht="16.5" thickBot="1">
      <c r="A52" s="309" t="s">
        <v>65</v>
      </c>
      <c r="B52" s="310"/>
      <c r="C52" s="311">
        <f ca="1">C31+C51</f>
        <v>38010</v>
      </c>
      <c r="D52" s="310"/>
      <c r="E52" s="310"/>
      <c r="F52" s="310"/>
      <c r="G52" s="312"/>
    </row>
    <row r="55" spans="1:7" ht="15">
      <c r="B55" s="314" t="s">
        <v>66</v>
      </c>
      <c r="C55" s="315"/>
    </row>
    <row r="56" spans="1:7">
      <c r="B56" s="317" t="s">
        <v>67</v>
      </c>
      <c r="C56" s="318">
        <f ca="1">ROUND(C51/C52,3)</f>
        <v>0.248</v>
      </c>
    </row>
    <row r="57" spans="1:7">
      <c r="B57" s="317" t="s">
        <v>68</v>
      </c>
      <c r="C57" s="319">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2" t="s">
        <v>156</v>
      </c>
      <c r="B1" s="3402"/>
      <c r="C1" s="3402"/>
      <c r="D1" s="3402"/>
      <c r="E1" s="3402"/>
      <c r="F1" s="34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3" t="s">
        <v>169</v>
      </c>
      <c r="B2" s="3403"/>
      <c r="C2" s="3403"/>
      <c r="D2" s="3403"/>
      <c r="E2" s="3403"/>
      <c r="F2" s="34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2" t="s">
        <v>871</v>
      </c>
      <c r="B1" s="34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0.5</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3</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95" t="str">
        <f>IF(项目基本情况!B9="房地产市场价值","估价结果一览表","结果表-2")</f>
        <v>估价结果一览表</v>
      </c>
      <c r="B1" s="3095"/>
      <c r="C1" s="3095"/>
      <c r="D1" s="3095"/>
      <c r="E1" s="3095"/>
      <c r="F1" s="3095"/>
      <c r="G1" s="3095"/>
      <c r="H1" s="3095"/>
      <c r="I1" s="3095"/>
    </row>
    <row r="2" spans="1:9" ht="30" customHeight="1" thickTop="1">
      <c r="A2" s="3096" t="s">
        <v>1643</v>
      </c>
      <c r="B2" s="3096" t="s">
        <v>1644</v>
      </c>
      <c r="C2" s="3096" t="s">
        <v>1645</v>
      </c>
      <c r="D2" s="3096" t="str">
        <f>'结果表-凯富'!D116</f>
        <v>出让国有建设用地使用权价值</v>
      </c>
      <c r="E2" s="3096"/>
      <c r="F2" s="3096" t="str">
        <f>'结果表-凯富'!F116</f>
        <v>在建建筑物价值</v>
      </c>
      <c r="G2" s="3096"/>
      <c r="H2" s="3096" t="str">
        <f>IF(项目基本情况!B9="房地产市场价值","房地产市场价值","房地产价值")</f>
        <v>房地产市场价值</v>
      </c>
      <c r="I2" s="3096"/>
    </row>
    <row r="3" spans="1:9" ht="15">
      <c r="A3" s="3090"/>
      <c r="B3" s="3090"/>
      <c r="C3" s="3090"/>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27877.57</v>
      </c>
      <c r="C4" s="1047">
        <f>项目基本情况!C18</f>
        <v>34936.35</v>
      </c>
      <c r="D4" s="1047" t="e">
        <f ca="1">'结果表-凯富'!D118</f>
        <v>#REF!</v>
      </c>
      <c r="E4" s="1047" t="e">
        <f ca="1">'结果表-凯富'!E118</f>
        <v>#REF!</v>
      </c>
      <c r="F4" s="1047" t="e">
        <f ca="1">'结果表-凯富'!F118</f>
        <v>#REF!</v>
      </c>
      <c r="G4" s="1047" t="e">
        <f ca="1">'结果表-凯富'!G118</f>
        <v>#REF!</v>
      </c>
      <c r="H4" s="1047">
        <f ca="1">'结果表-凯富'!H118</f>
        <v>99456</v>
      </c>
      <c r="I4" s="1047">
        <f ca="1">'结果表-凯富'!I118</f>
        <v>35676</v>
      </c>
    </row>
    <row r="5" spans="1:9" ht="30" customHeight="1">
      <c r="A5" s="3090" t="s">
        <v>1642</v>
      </c>
      <c r="B5" s="3090"/>
      <c r="C5" s="3090"/>
      <c r="D5" s="3091" t="e">
        <f ca="1">'结果表-凯富'!D119</f>
        <v>#REF!</v>
      </c>
      <c r="E5" s="3091"/>
      <c r="F5" s="3091" t="e">
        <f ca="1">'结果表-凯富'!F119</f>
        <v>#REF!</v>
      </c>
      <c r="G5" s="3091"/>
      <c r="H5" s="3091" t="str">
        <f ca="1">'结果表-凯富'!H119</f>
        <v>玖亿玖仟肆佰伍拾陆万元整</v>
      </c>
      <c r="I5" s="3091"/>
    </row>
    <row r="6" spans="1:9" ht="15.75">
      <c r="A6" s="3089" t="str">
        <f>'结果表-凯富'!A120</f>
        <v/>
      </c>
      <c r="B6" s="3089"/>
      <c r="C6" s="3089"/>
      <c r="D6" s="3089">
        <f>'结果表-凯富'!D120</f>
        <v>0</v>
      </c>
      <c r="E6" s="3089"/>
      <c r="F6" s="3089"/>
      <c r="G6" s="3089"/>
      <c r="H6" s="3089"/>
      <c r="I6" s="3089"/>
    </row>
    <row r="7" spans="1:9" ht="15">
      <c r="A7" s="3090" t="s">
        <v>1642</v>
      </c>
      <c r="B7" s="3090"/>
      <c r="C7" s="3090"/>
      <c r="D7" s="3092" t="str">
        <f>'结果表-凯富'!D121</f>
        <v>零元整</v>
      </c>
      <c r="E7" s="3093"/>
      <c r="F7" s="3093"/>
      <c r="G7" s="3093"/>
      <c r="H7" s="3093"/>
      <c r="I7" s="3094"/>
    </row>
    <row r="8" spans="1:9" ht="15.75">
      <c r="A8" s="3089" t="str">
        <f>'结果表-凯富'!A122</f>
        <v/>
      </c>
      <c r="B8" s="3089"/>
      <c r="C8" s="3089"/>
      <c r="D8" s="3089">
        <f ca="1">'结果表-凯富'!D122</f>
        <v>99456</v>
      </c>
      <c r="E8" s="3089"/>
      <c r="F8" s="3089"/>
      <c r="G8" s="3089"/>
      <c r="H8" s="3089"/>
      <c r="I8" s="3089"/>
    </row>
    <row r="9" spans="1:9" ht="15">
      <c r="A9" s="3090" t="s">
        <v>1642</v>
      </c>
      <c r="B9" s="3090"/>
      <c r="C9" s="3090"/>
      <c r="D9" s="3091" t="str">
        <f ca="1">'结果表-凯富'!D123</f>
        <v>玖亿玖仟肆佰伍拾陆万元整</v>
      </c>
      <c r="E9" s="3091"/>
      <c r="F9" s="3091"/>
      <c r="G9" s="3091"/>
      <c r="H9" s="3091"/>
      <c r="I9" s="3091"/>
    </row>
    <row r="10" spans="1:9" ht="15.75">
      <c r="A10" s="3089" t="str">
        <f>'结果表-凯富'!A124</f>
        <v/>
      </c>
      <c r="B10" s="3089"/>
      <c r="C10" s="3089"/>
      <c r="D10" s="3089" t="str">
        <f>'结果表-凯富'!D124</f>
        <v>——</v>
      </c>
      <c r="E10" s="3089"/>
      <c r="F10" s="3089"/>
      <c r="G10" s="3089"/>
      <c r="H10" s="3089"/>
      <c r="I10" s="3089"/>
    </row>
    <row r="11" spans="1:9" ht="15">
      <c r="A11" s="3090" t="s">
        <v>1642</v>
      </c>
      <c r="B11" s="3090"/>
      <c r="C11" s="3090"/>
      <c r="D11" s="3091" t="e">
        <f>'结果表-凯富'!D125</f>
        <v>#VALUE!</v>
      </c>
      <c r="E11" s="3091"/>
      <c r="F11" s="3091"/>
      <c r="G11" s="3091"/>
      <c r="H11" s="3091"/>
      <c r="I11" s="3091"/>
    </row>
    <row r="12" spans="1:9" ht="15.75">
      <c r="A12" s="3089" t="str">
        <f>'结果表-凯富'!A126</f>
        <v/>
      </c>
      <c r="B12" s="3089"/>
      <c r="C12" s="3089"/>
      <c r="D12" s="3089" t="str">
        <f>'结果表-凯富'!D126</f>
        <v>——</v>
      </c>
      <c r="E12" s="3089"/>
      <c r="F12" s="3089"/>
      <c r="G12" s="3089"/>
      <c r="H12" s="3089"/>
      <c r="I12" s="3089"/>
    </row>
    <row r="13" spans="1:9" ht="15.75" thickBot="1">
      <c r="A13" s="3086" t="s">
        <v>1642</v>
      </c>
      <c r="B13" s="3086"/>
      <c r="C13" s="3086"/>
      <c r="D13" s="3087" t="e">
        <f>'结果表-凯富'!D127</f>
        <v>#VALUE!</v>
      </c>
      <c r="E13" s="3087"/>
      <c r="F13" s="3087"/>
      <c r="G13" s="3087"/>
      <c r="H13" s="3087"/>
      <c r="I13" s="3087"/>
    </row>
    <row r="14" spans="1:9" ht="15" thickTop="1">
      <c r="A14" s="3088" t="s">
        <v>1647</v>
      </c>
      <c r="B14" s="3088"/>
      <c r="C14" s="3088"/>
      <c r="D14" s="3088"/>
      <c r="E14" s="3088"/>
      <c r="F14" s="3088"/>
      <c r="G14" s="3088"/>
      <c r="H14" s="3088"/>
      <c r="I14" s="3088"/>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D10" sqref="D10"/>
    </sheetView>
  </sheetViews>
  <sheetFormatPr defaultRowHeight="13.5"/>
  <cols>
    <col min="3" max="3" width="12.5" customWidth="1"/>
  </cols>
  <sheetData>
    <row r="1" spans="1:7">
      <c r="A1" s="2931" t="s">
        <v>3061</v>
      </c>
      <c r="B1" s="2931" t="s">
        <v>3062</v>
      </c>
      <c r="C1" s="2931" t="s">
        <v>3068</v>
      </c>
      <c r="D1" s="2931" t="s">
        <v>3063</v>
      </c>
      <c r="E1" s="2931" t="s">
        <v>3064</v>
      </c>
      <c r="F1" s="2931" t="s">
        <v>3069</v>
      </c>
      <c r="G1" s="2931" t="s">
        <v>3065</v>
      </c>
    </row>
    <row r="2" spans="1:7">
      <c r="A2">
        <v>24</v>
      </c>
      <c r="B2" s="2931" t="s">
        <v>3066</v>
      </c>
      <c r="C2" t="str">
        <f>IF(B2="钢混","60",IF(B2="混合","50","40"))</f>
        <v>50</v>
      </c>
      <c r="D2">
        <v>154.19999999999999</v>
      </c>
      <c r="E2">
        <v>1970</v>
      </c>
      <c r="F2">
        <f>ROUND(1-(2017-E2)/C2,2)</f>
        <v>0.06</v>
      </c>
    </row>
    <row r="3" spans="1:7" s="2935" customFormat="1">
      <c r="A3" s="2935">
        <v>64</v>
      </c>
      <c r="B3" s="2934" t="s">
        <v>3067</v>
      </c>
      <c r="C3" t="str">
        <f t="shared" ref="C3:C26" si="0">IF(B3="钢混","60",IF(B3="混合","50","40"))</f>
        <v>50</v>
      </c>
      <c r="D3" s="2935">
        <v>1055.8</v>
      </c>
      <c r="E3" s="2935">
        <v>1980</v>
      </c>
      <c r="F3" s="2935">
        <f t="shared" ref="F3:F20" si="1">ROUND(1-(2017-E3)/C3,2)</f>
        <v>0.26</v>
      </c>
    </row>
    <row r="4" spans="1:7" s="2935" customFormat="1">
      <c r="A4" s="2934">
        <v>66</v>
      </c>
      <c r="B4" s="2934" t="s">
        <v>3067</v>
      </c>
      <c r="C4" t="str">
        <f t="shared" si="0"/>
        <v>50</v>
      </c>
      <c r="D4" s="2935">
        <v>1214.4100000000001</v>
      </c>
      <c r="E4" s="2935">
        <v>1970</v>
      </c>
      <c r="F4" s="2935">
        <f t="shared" si="1"/>
        <v>0.06</v>
      </c>
    </row>
    <row r="5" spans="1:7" s="2936" customFormat="1" ht="14.25" customHeight="1">
      <c r="A5" s="2936">
        <v>68</v>
      </c>
      <c r="B5" s="2937" t="s">
        <v>3067</v>
      </c>
      <c r="C5" s="2936" t="str">
        <f t="shared" si="0"/>
        <v>50</v>
      </c>
      <c r="D5" s="2936">
        <v>4956.67</v>
      </c>
      <c r="E5" s="2936">
        <v>1998</v>
      </c>
      <c r="F5" s="2936">
        <f t="shared" si="1"/>
        <v>0.62</v>
      </c>
    </row>
    <row r="6" spans="1:7" s="2936" customFormat="1" ht="14.25" customHeight="1">
      <c r="A6" s="2937" t="s">
        <v>3073</v>
      </c>
      <c r="B6" s="2937" t="s">
        <v>3066</v>
      </c>
      <c r="C6" s="2936" t="str">
        <f t="shared" si="0"/>
        <v>50</v>
      </c>
      <c r="D6" s="2936">
        <v>1470.37</v>
      </c>
      <c r="E6" s="2936">
        <v>1998</v>
      </c>
      <c r="F6" s="2936">
        <f t="shared" si="1"/>
        <v>0.62</v>
      </c>
    </row>
    <row r="7" spans="1:7" s="2932" customFormat="1">
      <c r="A7" s="2932">
        <v>69</v>
      </c>
      <c r="B7" s="2933" t="s">
        <v>3067</v>
      </c>
      <c r="C7" s="2932" t="str">
        <f t="shared" si="0"/>
        <v>50</v>
      </c>
      <c r="D7" s="2932">
        <v>1135.2</v>
      </c>
      <c r="E7" s="2932">
        <v>1980</v>
      </c>
      <c r="F7" s="2932">
        <f t="shared" si="1"/>
        <v>0.26</v>
      </c>
    </row>
    <row r="8" spans="1:7" s="2932" customFormat="1">
      <c r="A8" s="2933" t="s">
        <v>3072</v>
      </c>
      <c r="B8" s="2933" t="s">
        <v>3066</v>
      </c>
      <c r="C8" s="2932" t="str">
        <f t="shared" si="0"/>
        <v>50</v>
      </c>
      <c r="D8" s="2932">
        <v>263.3</v>
      </c>
      <c r="E8" s="2932">
        <v>1980</v>
      </c>
      <c r="F8" s="2932">
        <f t="shared" si="1"/>
        <v>0.26</v>
      </c>
    </row>
    <row r="9" spans="1:7">
      <c r="A9">
        <v>70</v>
      </c>
      <c r="B9" s="2931" t="s">
        <v>3067</v>
      </c>
      <c r="C9" t="str">
        <f t="shared" si="0"/>
        <v>50</v>
      </c>
      <c r="D9">
        <v>716.2</v>
      </c>
      <c r="E9">
        <v>1970</v>
      </c>
      <c r="F9">
        <f t="shared" si="1"/>
        <v>0.06</v>
      </c>
    </row>
    <row r="10" spans="1:7">
      <c r="A10">
        <v>73</v>
      </c>
      <c r="B10" s="2931" t="s">
        <v>3067</v>
      </c>
      <c r="C10" t="str">
        <f t="shared" si="0"/>
        <v>50</v>
      </c>
      <c r="D10">
        <v>761.8</v>
      </c>
      <c r="E10">
        <v>1990</v>
      </c>
      <c r="F10">
        <f t="shared" si="1"/>
        <v>0.46</v>
      </c>
    </row>
    <row r="11" spans="1:7">
      <c r="A11">
        <v>74</v>
      </c>
      <c r="B11" s="2931" t="s">
        <v>3067</v>
      </c>
      <c r="C11" t="str">
        <f t="shared" si="0"/>
        <v>50</v>
      </c>
      <c r="D11">
        <v>1080.3</v>
      </c>
      <c r="E11">
        <v>1960</v>
      </c>
      <c r="F11">
        <f t="shared" si="1"/>
        <v>-0.14000000000000001</v>
      </c>
    </row>
    <row r="12" spans="1:7" s="2938" customFormat="1">
      <c r="A12" s="2938">
        <v>75</v>
      </c>
      <c r="B12" s="2938" t="s">
        <v>3067</v>
      </c>
      <c r="C12" t="str">
        <f t="shared" si="0"/>
        <v>50</v>
      </c>
      <c r="D12" s="2938">
        <v>1023</v>
      </c>
      <c r="E12" s="2938">
        <v>1960</v>
      </c>
      <c r="F12" s="2938">
        <f t="shared" si="1"/>
        <v>-0.14000000000000001</v>
      </c>
    </row>
    <row r="13" spans="1:7">
      <c r="A13">
        <v>76</v>
      </c>
      <c r="B13" s="2931" t="s">
        <v>3067</v>
      </c>
      <c r="C13" t="str">
        <f t="shared" si="0"/>
        <v>50</v>
      </c>
      <c r="D13">
        <v>516.79999999999995</v>
      </c>
      <c r="E13">
        <v>1960</v>
      </c>
      <c r="F13">
        <f t="shared" si="1"/>
        <v>-0.14000000000000001</v>
      </c>
    </row>
    <row r="14" spans="1:7">
      <c r="A14">
        <v>77</v>
      </c>
      <c r="B14" s="2931" t="s">
        <v>3066</v>
      </c>
      <c r="C14" t="str">
        <f t="shared" si="0"/>
        <v>50</v>
      </c>
      <c r="D14">
        <v>1309.8</v>
      </c>
      <c r="E14">
        <v>1980</v>
      </c>
      <c r="F14">
        <f t="shared" si="1"/>
        <v>0.26</v>
      </c>
    </row>
    <row r="15" spans="1:7" s="2932" customFormat="1">
      <c r="A15" s="2932">
        <v>78</v>
      </c>
      <c r="B15" s="2933" t="s">
        <v>3074</v>
      </c>
      <c r="C15" s="2932" t="str">
        <f t="shared" si="0"/>
        <v>60</v>
      </c>
      <c r="D15" s="2932">
        <v>3711.6</v>
      </c>
      <c r="E15" s="2932">
        <v>1970</v>
      </c>
      <c r="F15" s="2932">
        <f t="shared" si="1"/>
        <v>0.22</v>
      </c>
    </row>
    <row r="16" spans="1:7" s="2932" customFormat="1">
      <c r="A16" s="2933" t="s">
        <v>3075</v>
      </c>
      <c r="B16" s="2933" t="s">
        <v>3074</v>
      </c>
      <c r="C16" s="2932" t="str">
        <f t="shared" si="0"/>
        <v>60</v>
      </c>
      <c r="D16" s="2932">
        <v>63.3</v>
      </c>
    </row>
    <row r="17" spans="1:6">
      <c r="A17">
        <v>79</v>
      </c>
      <c r="B17" s="2931" t="s">
        <v>3074</v>
      </c>
      <c r="C17" t="str">
        <f t="shared" si="0"/>
        <v>60</v>
      </c>
      <c r="D17">
        <v>2640.1</v>
      </c>
      <c r="E17">
        <v>1970</v>
      </c>
      <c r="F17">
        <f t="shared" si="1"/>
        <v>0.22</v>
      </c>
    </row>
    <row r="18" spans="1:6" s="2932" customFormat="1" ht="14.25" customHeight="1">
      <c r="A18" s="2932">
        <v>80</v>
      </c>
      <c r="B18" s="2933" t="s">
        <v>3074</v>
      </c>
      <c r="C18" s="2932" t="str">
        <f t="shared" si="0"/>
        <v>60</v>
      </c>
      <c r="D18" s="2932">
        <v>7024</v>
      </c>
      <c r="E18" s="2932">
        <v>1980</v>
      </c>
      <c r="F18" s="2932">
        <f t="shared" si="1"/>
        <v>0.38</v>
      </c>
    </row>
    <row r="19" spans="1:6" s="2932" customFormat="1">
      <c r="A19" s="2933" t="s">
        <v>3076</v>
      </c>
      <c r="B19" s="2933" t="s">
        <v>3074</v>
      </c>
      <c r="C19" s="2932" t="str">
        <f t="shared" si="0"/>
        <v>60</v>
      </c>
      <c r="D19" s="2932">
        <v>63.6</v>
      </c>
    </row>
    <row r="20" spans="1:6" s="2936" customFormat="1">
      <c r="A20" s="2936">
        <v>81</v>
      </c>
      <c r="B20" s="2937" t="s">
        <v>3074</v>
      </c>
      <c r="C20" s="2936" t="str">
        <f t="shared" si="0"/>
        <v>60</v>
      </c>
      <c r="D20" s="2936">
        <v>3674.6</v>
      </c>
      <c r="E20" s="2936">
        <v>1990</v>
      </c>
      <c r="F20" s="2936">
        <f t="shared" si="1"/>
        <v>0.55000000000000004</v>
      </c>
    </row>
    <row r="21" spans="1:6" s="2936" customFormat="1">
      <c r="A21" s="2937" t="s">
        <v>3077</v>
      </c>
      <c r="B21" s="2937" t="s">
        <v>3074</v>
      </c>
      <c r="C21" s="2936" t="str">
        <f t="shared" si="0"/>
        <v>60</v>
      </c>
      <c r="D21" s="2936">
        <v>495.9</v>
      </c>
    </row>
    <row r="22" spans="1:6" s="2936" customFormat="1">
      <c r="A22" s="2937" t="s">
        <v>3076</v>
      </c>
      <c r="B22" s="2937" t="s">
        <v>3074</v>
      </c>
      <c r="C22" s="2936" t="str">
        <f t="shared" si="0"/>
        <v>60</v>
      </c>
      <c r="D22" s="2936">
        <v>46.7</v>
      </c>
    </row>
    <row r="23" spans="1:6" s="2939" customFormat="1">
      <c r="A23" s="2939">
        <v>87</v>
      </c>
      <c r="B23" s="2940" t="s">
        <v>3074</v>
      </c>
      <c r="C23" s="2939" t="str">
        <f t="shared" si="0"/>
        <v>60</v>
      </c>
      <c r="D23" s="2939">
        <v>28523.14</v>
      </c>
      <c r="E23" s="2939">
        <v>2002</v>
      </c>
      <c r="F23" s="2939">
        <f>ROUND(1-(2017-E23)/C23,2)</f>
        <v>0.75</v>
      </c>
    </row>
    <row r="24" spans="1:6" s="2939" customFormat="1">
      <c r="A24" s="2940" t="s">
        <v>3078</v>
      </c>
      <c r="B24" s="2940" t="s">
        <v>3074</v>
      </c>
      <c r="C24" s="2939" t="str">
        <f t="shared" si="0"/>
        <v>60</v>
      </c>
      <c r="D24" s="2939">
        <v>8280.93</v>
      </c>
    </row>
    <row r="25" spans="1:6" s="2939" customFormat="1">
      <c r="A25" s="2940" t="s">
        <v>3079</v>
      </c>
      <c r="B25" s="2940" t="s">
        <v>3074</v>
      </c>
      <c r="C25" s="2939" t="str">
        <f t="shared" si="0"/>
        <v>60</v>
      </c>
      <c r="D25" s="2939">
        <v>80.099999999999994</v>
      </c>
    </row>
    <row r="26" spans="1:6" s="2939" customFormat="1">
      <c r="A26" s="2940" t="s">
        <v>3080</v>
      </c>
      <c r="B26" s="2940" t="s">
        <v>3074</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A29" sqref="A29:A44"/>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3061</v>
      </c>
      <c r="B1" s="2931" t="s">
        <v>3062</v>
      </c>
      <c r="C1" s="2931" t="s">
        <v>3068</v>
      </c>
      <c r="D1" s="2931" t="s">
        <v>3063</v>
      </c>
      <c r="F1" s="2973" t="s">
        <v>3081</v>
      </c>
      <c r="G1" s="2973" t="s">
        <v>3082</v>
      </c>
      <c r="H1" s="2977" t="s">
        <v>3083</v>
      </c>
      <c r="I1" s="2977" t="s">
        <v>3084</v>
      </c>
      <c r="J1" s="3406" t="s">
        <v>3085</v>
      </c>
      <c r="K1" s="3406" t="s">
        <v>3086</v>
      </c>
      <c r="L1" s="3406" t="s">
        <v>3087</v>
      </c>
      <c r="M1" s="3406" t="s">
        <v>3088</v>
      </c>
      <c r="N1" s="2973" t="s">
        <v>3089</v>
      </c>
      <c r="O1" s="2974" t="s">
        <v>3090</v>
      </c>
    </row>
    <row r="2" spans="1:15" ht="14.25" thickBot="1">
      <c r="A2" s="2981">
        <v>24</v>
      </c>
      <c r="B2" s="2982" t="s">
        <v>3066</v>
      </c>
      <c r="C2" s="2981" t="str">
        <f>IF(B2="钢混","60",IF(B2="混合","50","40"))</f>
        <v>50</v>
      </c>
      <c r="D2" s="2980">
        <v>154.19999999999999</v>
      </c>
      <c r="E2">
        <f>D2</f>
        <v>154.19999999999999</v>
      </c>
      <c r="F2" s="2975"/>
      <c r="G2" s="2975"/>
      <c r="H2" s="2978"/>
      <c r="I2" s="2978"/>
      <c r="J2" s="3407"/>
      <c r="K2" s="3407"/>
      <c r="L2" s="3407"/>
      <c r="M2" s="3407"/>
      <c r="N2" s="2975" t="s">
        <v>3091</v>
      </c>
      <c r="O2" s="2976" t="s">
        <v>3092</v>
      </c>
    </row>
    <row r="3" spans="1:15">
      <c r="A3" s="2981">
        <v>64</v>
      </c>
      <c r="B3" s="2982" t="s">
        <v>3067</v>
      </c>
      <c r="C3" s="2981" t="str">
        <f t="shared" ref="C3:C26" si="0">IF(B3="钢混","60",IF(B3="混合","50","40"))</f>
        <v>50</v>
      </c>
      <c r="D3" s="2981">
        <v>1055.8</v>
      </c>
      <c r="E3">
        <f>D3</f>
        <v>1055.8</v>
      </c>
      <c r="F3" s="2970">
        <v>1</v>
      </c>
      <c r="G3" s="2983">
        <v>24</v>
      </c>
      <c r="H3" s="2984" t="s">
        <v>3093</v>
      </c>
      <c r="I3" s="2984" t="s">
        <v>3094</v>
      </c>
      <c r="J3" s="2985">
        <v>6</v>
      </c>
      <c r="K3" s="2986">
        <v>40909</v>
      </c>
      <c r="L3" s="2986">
        <v>43100</v>
      </c>
      <c r="M3" s="2985">
        <v>154.19999999999999</v>
      </c>
      <c r="N3" s="2971">
        <v>30.96</v>
      </c>
      <c r="O3" s="2972">
        <v>5.5</v>
      </c>
    </row>
    <row r="4" spans="1:15">
      <c r="A4" s="2982">
        <v>66</v>
      </c>
      <c r="B4" s="2982" t="s">
        <v>3067</v>
      </c>
      <c r="C4" s="2981" t="str">
        <f t="shared" si="0"/>
        <v>50</v>
      </c>
      <c r="D4" s="2981">
        <v>1214.4100000000001</v>
      </c>
      <c r="E4">
        <f>D4</f>
        <v>1214.4100000000001</v>
      </c>
      <c r="F4" s="2970">
        <v>2</v>
      </c>
      <c r="G4" s="2983">
        <v>64</v>
      </c>
      <c r="H4" s="2984" t="s">
        <v>3095</v>
      </c>
      <c r="I4" s="2984" t="s">
        <v>3096</v>
      </c>
      <c r="J4" s="2985">
        <v>5</v>
      </c>
      <c r="K4" s="2986">
        <v>41487</v>
      </c>
      <c r="L4" s="2986">
        <v>43312</v>
      </c>
      <c r="M4" s="2985">
        <v>1055.8</v>
      </c>
      <c r="N4" s="2971">
        <v>281.32</v>
      </c>
      <c r="O4" s="2972">
        <v>7.3</v>
      </c>
    </row>
    <row r="5" spans="1:15">
      <c r="A5" s="2936">
        <v>68</v>
      </c>
      <c r="B5" s="2937" t="s">
        <v>3067</v>
      </c>
      <c r="C5" s="2936" t="str">
        <f t="shared" si="0"/>
        <v>50</v>
      </c>
      <c r="D5" s="2936">
        <v>4956.67</v>
      </c>
      <c r="E5">
        <f>M6+M7+M8</f>
        <v>2330</v>
      </c>
      <c r="F5" s="2970">
        <v>3</v>
      </c>
      <c r="G5" s="2983">
        <v>66</v>
      </c>
      <c r="H5" s="2984" t="s">
        <v>3097</v>
      </c>
      <c r="I5" s="2984" t="s">
        <v>3098</v>
      </c>
      <c r="J5" s="2985">
        <v>6</v>
      </c>
      <c r="K5" s="2986">
        <v>41091</v>
      </c>
      <c r="L5" s="2986">
        <v>43281</v>
      </c>
      <c r="M5" s="2985">
        <v>1214.4100000000001</v>
      </c>
      <c r="N5" s="2971">
        <v>203.9</v>
      </c>
      <c r="O5" s="2972">
        <v>4.5999999999999996</v>
      </c>
    </row>
    <row r="6" spans="1:15">
      <c r="A6" s="2937" t="s">
        <v>3073</v>
      </c>
      <c r="B6" s="2937" t="s">
        <v>3066</v>
      </c>
      <c r="C6" s="2936" t="str">
        <f t="shared" si="0"/>
        <v>50</v>
      </c>
      <c r="D6" s="2936">
        <v>1470.37</v>
      </c>
      <c r="F6" s="2970">
        <v>5</v>
      </c>
      <c r="G6" s="2983">
        <v>68</v>
      </c>
      <c r="H6" s="2984" t="s">
        <v>3099</v>
      </c>
      <c r="I6" s="2984" t="s">
        <v>3100</v>
      </c>
      <c r="J6" s="2985" t="s">
        <v>3101</v>
      </c>
      <c r="K6" s="2986">
        <v>39904</v>
      </c>
      <c r="L6" s="2986">
        <v>43235</v>
      </c>
      <c r="M6" s="2985">
        <v>860</v>
      </c>
      <c r="N6" s="2971">
        <v>114.89</v>
      </c>
      <c r="O6" s="2972">
        <v>3.66</v>
      </c>
    </row>
    <row r="7" spans="1:15">
      <c r="A7" s="2932">
        <v>69</v>
      </c>
      <c r="B7" s="2933" t="s">
        <v>3067</v>
      </c>
      <c r="C7" s="2932" t="str">
        <f t="shared" si="0"/>
        <v>50</v>
      </c>
      <c r="D7" s="2932">
        <v>1135.2</v>
      </c>
      <c r="E7">
        <f>M9+M10</f>
        <v>980.8</v>
      </c>
      <c r="F7" s="2970">
        <v>6</v>
      </c>
      <c r="G7" s="2983">
        <v>68</v>
      </c>
      <c r="H7" s="2984" t="s">
        <v>3102</v>
      </c>
      <c r="I7" s="2984" t="s">
        <v>3103</v>
      </c>
      <c r="J7" s="2985">
        <v>20</v>
      </c>
      <c r="K7" s="2986">
        <v>39203</v>
      </c>
      <c r="L7" s="2986">
        <v>48213</v>
      </c>
      <c r="M7" s="2985">
        <v>590</v>
      </c>
      <c r="N7" s="2971">
        <v>9.48</v>
      </c>
      <c r="O7" s="2972">
        <v>0.44</v>
      </c>
    </row>
    <row r="8" spans="1:15">
      <c r="A8" s="2933" t="s">
        <v>3072</v>
      </c>
      <c r="B8" s="2933" t="s">
        <v>3066</v>
      </c>
      <c r="C8" s="2932" t="str">
        <f t="shared" si="0"/>
        <v>50</v>
      </c>
      <c r="D8" s="2932">
        <v>263.3</v>
      </c>
      <c r="F8" s="2970">
        <v>7</v>
      </c>
      <c r="G8" s="2983">
        <v>68</v>
      </c>
      <c r="H8" s="2984" t="s">
        <v>3104</v>
      </c>
      <c r="I8" s="2984" t="s">
        <v>3105</v>
      </c>
      <c r="J8" s="2985">
        <v>6</v>
      </c>
      <c r="K8" s="2986">
        <v>40940</v>
      </c>
      <c r="L8" s="2986">
        <v>43131</v>
      </c>
      <c r="M8" s="2985">
        <v>880</v>
      </c>
      <c r="N8" s="2971">
        <v>64.239999999999995</v>
      </c>
      <c r="O8" s="2972">
        <v>2</v>
      </c>
    </row>
    <row r="9" spans="1:15">
      <c r="A9" s="2981">
        <v>70</v>
      </c>
      <c r="B9" s="2982" t="s">
        <v>3067</v>
      </c>
      <c r="C9" s="2981" t="str">
        <f t="shared" si="0"/>
        <v>50</v>
      </c>
      <c r="D9" s="2981">
        <v>716.2</v>
      </c>
      <c r="E9">
        <f>D9</f>
        <v>716.2</v>
      </c>
      <c r="F9" s="2970">
        <v>8</v>
      </c>
      <c r="G9" s="2983">
        <v>69</v>
      </c>
      <c r="H9" s="2984" t="s">
        <v>3106</v>
      </c>
      <c r="I9" s="2984" t="s">
        <v>3107</v>
      </c>
      <c r="J9" s="2985">
        <v>9</v>
      </c>
      <c r="K9" s="2986">
        <v>39924</v>
      </c>
      <c r="L9" s="2986">
        <v>43210</v>
      </c>
      <c r="M9" s="2985">
        <v>800.8</v>
      </c>
      <c r="N9" s="2971">
        <v>203.59</v>
      </c>
      <c r="O9" s="2972" t="s">
        <v>3108</v>
      </c>
    </row>
    <row r="10" spans="1:15">
      <c r="A10">
        <v>73</v>
      </c>
      <c r="B10" s="2931" t="s">
        <v>3067</v>
      </c>
      <c r="C10" t="str">
        <f t="shared" si="0"/>
        <v>50</v>
      </c>
      <c r="D10">
        <v>761.8</v>
      </c>
      <c r="E10">
        <f>D10</f>
        <v>761.8</v>
      </c>
      <c r="F10" s="2970">
        <v>9</v>
      </c>
      <c r="G10" s="2983">
        <v>69</v>
      </c>
      <c r="H10" s="2984" t="s">
        <v>3109</v>
      </c>
      <c r="I10" s="2984" t="s">
        <v>3110</v>
      </c>
      <c r="J10" s="2985">
        <v>6</v>
      </c>
      <c r="K10" s="2986">
        <v>41183</v>
      </c>
      <c r="L10" s="2986">
        <v>43373</v>
      </c>
      <c r="M10" s="2985">
        <v>180</v>
      </c>
      <c r="N10" s="2971">
        <v>46.65</v>
      </c>
      <c r="O10" s="2972">
        <v>7.1</v>
      </c>
    </row>
    <row r="11" spans="1:15">
      <c r="A11" s="2981">
        <v>74</v>
      </c>
      <c r="B11" s="2982" t="s">
        <v>3067</v>
      </c>
      <c r="C11" s="2981" t="str">
        <f t="shared" si="0"/>
        <v>50</v>
      </c>
      <c r="D11" s="2981">
        <v>1080.3</v>
      </c>
      <c r="E11">
        <f>D11</f>
        <v>1080.3</v>
      </c>
      <c r="F11" s="2970">
        <v>10</v>
      </c>
      <c r="G11" s="2987">
        <v>73</v>
      </c>
      <c r="H11" s="2988" t="s">
        <v>3111</v>
      </c>
      <c r="I11" s="2988" t="s">
        <v>3112</v>
      </c>
      <c r="J11" s="2989">
        <v>5</v>
      </c>
      <c r="K11" s="2990">
        <v>42417</v>
      </c>
      <c r="L11" s="2990">
        <v>44243</v>
      </c>
      <c r="M11" s="2989">
        <v>417.7</v>
      </c>
      <c r="N11" s="2971">
        <v>106.72</v>
      </c>
      <c r="O11" s="2972">
        <v>7</v>
      </c>
    </row>
    <row r="12" spans="1:15">
      <c r="A12" s="2938">
        <v>75</v>
      </c>
      <c r="B12" s="2938" t="s">
        <v>3067</v>
      </c>
      <c r="C12" t="str">
        <f t="shared" si="0"/>
        <v>50</v>
      </c>
      <c r="D12" s="2938">
        <v>1023</v>
      </c>
      <c r="E12">
        <f>M17+M18+M20</f>
        <v>1008.5</v>
      </c>
      <c r="F12" s="2970">
        <v>11</v>
      </c>
      <c r="G12" s="2983">
        <v>70</v>
      </c>
      <c r="H12" s="2984" t="s">
        <v>3113</v>
      </c>
      <c r="I12" s="2984" t="s">
        <v>3114</v>
      </c>
      <c r="J12" s="2985">
        <v>5</v>
      </c>
      <c r="K12" s="2986">
        <v>42005</v>
      </c>
      <c r="L12" s="2986">
        <v>43830</v>
      </c>
      <c r="M12" s="2985">
        <v>716.2</v>
      </c>
      <c r="N12" s="2971">
        <v>261.41000000000003</v>
      </c>
      <c r="O12" s="2972">
        <v>10</v>
      </c>
    </row>
    <row r="13" spans="1:15">
      <c r="A13">
        <v>76</v>
      </c>
      <c r="B13" s="2931" t="s">
        <v>3067</v>
      </c>
      <c r="C13" t="str">
        <f t="shared" si="0"/>
        <v>50</v>
      </c>
      <c r="D13">
        <v>516.79999999999995</v>
      </c>
      <c r="E13">
        <f>M19</f>
        <v>531.29999999999995</v>
      </c>
      <c r="F13" s="2970">
        <v>12</v>
      </c>
      <c r="G13" s="2995">
        <v>73</v>
      </c>
      <c r="H13" s="2996" t="s">
        <v>3115</v>
      </c>
      <c r="I13" s="2996" t="s">
        <v>3116</v>
      </c>
      <c r="J13" s="2997">
        <v>5</v>
      </c>
      <c r="K13" s="2998">
        <v>42111</v>
      </c>
      <c r="L13" s="2998">
        <v>43937</v>
      </c>
      <c r="M13" s="2997">
        <v>119</v>
      </c>
      <c r="N13" s="2971">
        <v>31.27</v>
      </c>
      <c r="O13" s="2972">
        <v>7.2</v>
      </c>
    </row>
    <row r="14" spans="1:15">
      <c r="A14" s="2981">
        <v>77</v>
      </c>
      <c r="B14" s="2982" t="s">
        <v>3066</v>
      </c>
      <c r="C14" s="2981" t="str">
        <f t="shared" si="0"/>
        <v>50</v>
      </c>
      <c r="D14" s="2981">
        <v>1309.8</v>
      </c>
      <c r="E14">
        <f>D14</f>
        <v>1309.8</v>
      </c>
      <c r="F14" s="2970">
        <v>13</v>
      </c>
      <c r="G14" s="2995">
        <v>73</v>
      </c>
      <c r="H14" s="2996" t="s">
        <v>3117</v>
      </c>
      <c r="I14" s="2996" t="s">
        <v>3118</v>
      </c>
      <c r="J14" s="2997">
        <v>5</v>
      </c>
      <c r="K14" s="2998">
        <v>42111</v>
      </c>
      <c r="L14" s="2998">
        <v>43937</v>
      </c>
      <c r="M14" s="2997">
        <v>642.79999999999995</v>
      </c>
      <c r="N14" s="2971">
        <v>150.16</v>
      </c>
      <c r="O14" s="2972">
        <v>6.4</v>
      </c>
    </row>
    <row r="15" spans="1:15">
      <c r="A15" s="2932">
        <v>78</v>
      </c>
      <c r="B15" s="2933" t="s">
        <v>3074</v>
      </c>
      <c r="C15" s="2932" t="str">
        <f t="shared" si="0"/>
        <v>60</v>
      </c>
      <c r="D15" s="2932">
        <v>3711.6</v>
      </c>
      <c r="E15">
        <f>M22</f>
        <v>875</v>
      </c>
      <c r="F15" s="2970">
        <v>14</v>
      </c>
      <c r="G15" s="2983">
        <v>77</v>
      </c>
      <c r="H15" s="2984" t="s">
        <v>3119</v>
      </c>
      <c r="I15" s="2984" t="s">
        <v>3120</v>
      </c>
      <c r="J15" s="2985">
        <v>5</v>
      </c>
      <c r="K15" s="2986">
        <v>42370</v>
      </c>
      <c r="L15" s="2986">
        <v>44196</v>
      </c>
      <c r="M15" s="2985">
        <v>561.4</v>
      </c>
      <c r="N15" s="2971">
        <v>122.95</v>
      </c>
      <c r="O15" s="2972">
        <v>6</v>
      </c>
    </row>
    <row r="16" spans="1:15">
      <c r="A16" s="2933" t="s">
        <v>3075</v>
      </c>
      <c r="B16" s="2933" t="s">
        <v>3074</v>
      </c>
      <c r="C16" s="2932" t="str">
        <f t="shared" si="0"/>
        <v>60</v>
      </c>
      <c r="D16" s="2932">
        <v>63.3</v>
      </c>
      <c r="F16" s="2970">
        <v>15</v>
      </c>
      <c r="G16" s="2983">
        <v>77</v>
      </c>
      <c r="H16" s="2984" t="s">
        <v>3121</v>
      </c>
      <c r="I16" s="2984" t="s">
        <v>3122</v>
      </c>
      <c r="J16" s="2985">
        <v>5</v>
      </c>
      <c r="K16" s="2986">
        <v>42491</v>
      </c>
      <c r="L16" s="2986">
        <v>44316</v>
      </c>
      <c r="M16" s="2985">
        <v>748.4</v>
      </c>
      <c r="N16" s="2971">
        <v>204.87</v>
      </c>
      <c r="O16" s="2972">
        <v>7.5</v>
      </c>
    </row>
    <row r="17" spans="1:15">
      <c r="A17">
        <v>79</v>
      </c>
      <c r="B17" s="2931" t="s">
        <v>3074</v>
      </c>
      <c r="C17" t="str">
        <f t="shared" si="0"/>
        <v>60</v>
      </c>
      <c r="D17">
        <v>2640.1</v>
      </c>
      <c r="E17">
        <f>M24+M25+M26+M27</f>
        <v>2540.1</v>
      </c>
      <c r="F17" s="2970">
        <v>16</v>
      </c>
      <c r="G17" s="3003">
        <v>75</v>
      </c>
      <c r="H17" s="3004" t="s">
        <v>3123</v>
      </c>
      <c r="I17" s="3004" t="s">
        <v>3124</v>
      </c>
      <c r="J17" s="3005">
        <v>5</v>
      </c>
      <c r="K17" s="3006">
        <v>41214</v>
      </c>
      <c r="L17" s="3006">
        <v>43038</v>
      </c>
      <c r="M17" s="3005">
        <v>245.85</v>
      </c>
      <c r="N17" s="2971">
        <v>42.18</v>
      </c>
      <c r="O17" s="2972">
        <v>4.7</v>
      </c>
    </row>
    <row r="18" spans="1:15">
      <c r="A18" s="2932">
        <v>80</v>
      </c>
      <c r="B18" s="2933" t="s">
        <v>3074</v>
      </c>
      <c r="C18" s="2932" t="str">
        <f t="shared" si="0"/>
        <v>60</v>
      </c>
      <c r="D18" s="2932">
        <v>7024</v>
      </c>
      <c r="E18">
        <f>M23+M28+M29+M30+M31+M32+M33+M34+M35+M36</f>
        <v>6669.8</v>
      </c>
      <c r="F18" s="2970">
        <v>17</v>
      </c>
      <c r="G18" s="3003">
        <v>75</v>
      </c>
      <c r="H18" s="3004" t="s">
        <v>3125</v>
      </c>
      <c r="I18" s="3004" t="s">
        <v>3126</v>
      </c>
      <c r="J18" s="3005">
        <v>5</v>
      </c>
      <c r="K18" s="3006">
        <v>41228</v>
      </c>
      <c r="L18" s="3006">
        <v>43053</v>
      </c>
      <c r="M18" s="3005">
        <v>245.85</v>
      </c>
      <c r="N18" s="2971">
        <v>42.18</v>
      </c>
      <c r="O18" s="2972">
        <v>4.7</v>
      </c>
    </row>
    <row r="19" spans="1:15">
      <c r="A19" s="2933" t="s">
        <v>3076</v>
      </c>
      <c r="B19" s="2933" t="s">
        <v>3074</v>
      </c>
      <c r="C19" s="2932" t="str">
        <f t="shared" si="0"/>
        <v>60</v>
      </c>
      <c r="D19" s="2932">
        <v>63.6</v>
      </c>
      <c r="F19" s="2970">
        <v>18</v>
      </c>
      <c r="G19" s="3011">
        <v>76</v>
      </c>
      <c r="H19" s="3012" t="s">
        <v>3127</v>
      </c>
      <c r="I19" s="3012" t="s">
        <v>3128</v>
      </c>
      <c r="J19" s="3013">
        <v>5</v>
      </c>
      <c r="K19" s="3014">
        <v>42917</v>
      </c>
      <c r="L19" s="3014">
        <v>44742</v>
      </c>
      <c r="M19" s="3013">
        <v>531.29999999999995</v>
      </c>
      <c r="N19" s="2971">
        <v>96.96</v>
      </c>
      <c r="O19" s="2972">
        <v>5</v>
      </c>
    </row>
    <row r="20" spans="1:15">
      <c r="A20" s="3024">
        <v>81</v>
      </c>
      <c r="B20" s="3025" t="s">
        <v>3074</v>
      </c>
      <c r="C20" s="3024" t="str">
        <f t="shared" si="0"/>
        <v>60</v>
      </c>
      <c r="D20" s="3024">
        <v>3674.6</v>
      </c>
      <c r="E20">
        <f>M37+M38+M39+M40+M41+M42+M43+M44+M45+M46+M47+M48+M49+M50+M51+M52+M53+M54+M55+M56</f>
        <v>4217.2</v>
      </c>
      <c r="F20" s="2970">
        <v>19</v>
      </c>
      <c r="G20" s="3003">
        <v>75</v>
      </c>
      <c r="H20" s="3004" t="s">
        <v>3129</v>
      </c>
      <c r="I20" s="3004" t="s">
        <v>3130</v>
      </c>
      <c r="J20" s="3005">
        <v>5</v>
      </c>
      <c r="K20" s="3006">
        <v>42917</v>
      </c>
      <c r="L20" s="3006">
        <v>44742</v>
      </c>
      <c r="M20" s="3005">
        <v>516.79999999999995</v>
      </c>
      <c r="N20" s="2971">
        <v>94.32</v>
      </c>
      <c r="O20" s="2972">
        <v>5</v>
      </c>
    </row>
    <row r="21" spans="1:15">
      <c r="A21" s="3025" t="s">
        <v>3077</v>
      </c>
      <c r="B21" s="3025" t="s">
        <v>3074</v>
      </c>
      <c r="C21" s="3024" t="str">
        <f t="shared" si="0"/>
        <v>60</v>
      </c>
      <c r="D21" s="3024">
        <v>495.9</v>
      </c>
      <c r="F21" s="2970">
        <v>20</v>
      </c>
      <c r="G21" s="2983">
        <v>74</v>
      </c>
      <c r="H21" s="2984" t="s">
        <v>3131</v>
      </c>
      <c r="I21" s="2984" t="s">
        <v>3103</v>
      </c>
      <c r="J21" s="2985">
        <v>20</v>
      </c>
      <c r="K21" s="2986">
        <v>39814</v>
      </c>
      <c r="L21" s="2986">
        <v>48213</v>
      </c>
      <c r="M21" s="2985">
        <v>1080.3</v>
      </c>
      <c r="N21" s="2985">
        <v>39.43</v>
      </c>
      <c r="O21" s="2972">
        <v>1</v>
      </c>
    </row>
    <row r="22" spans="1:15">
      <c r="A22" s="3025" t="s">
        <v>3076</v>
      </c>
      <c r="B22" s="3025" t="s">
        <v>3074</v>
      </c>
      <c r="C22" s="3024" t="str">
        <f t="shared" si="0"/>
        <v>60</v>
      </c>
      <c r="D22" s="3024">
        <v>46.7</v>
      </c>
      <c r="F22" s="2970">
        <v>21</v>
      </c>
      <c r="G22" s="2999">
        <v>78</v>
      </c>
      <c r="H22" s="3000" t="s">
        <v>3132</v>
      </c>
      <c r="I22" s="3000" t="s">
        <v>3133</v>
      </c>
      <c r="J22" s="3001" t="s">
        <v>1330</v>
      </c>
      <c r="K22" s="3002">
        <v>43009</v>
      </c>
      <c r="L22" s="3002">
        <v>43100</v>
      </c>
      <c r="M22" s="3001">
        <v>875</v>
      </c>
      <c r="N22" s="2971">
        <v>51.9</v>
      </c>
      <c r="O22" s="2972">
        <v>6.5</v>
      </c>
    </row>
    <row r="23" spans="1:15">
      <c r="A23" s="2939">
        <v>87</v>
      </c>
      <c r="B23" s="2940" t="s">
        <v>3074</v>
      </c>
      <c r="C23" s="2939" t="str">
        <f t="shared" si="0"/>
        <v>60</v>
      </c>
      <c r="D23" s="2939">
        <v>28523.14</v>
      </c>
      <c r="E23">
        <f>M57+M58+M59+M60+M61+M62+M63+M64+M65+M66+M67+M68+M69+M70+M71+M72+M73</f>
        <v>27877.57</v>
      </c>
      <c r="F23" s="2970">
        <v>22</v>
      </c>
      <c r="G23" s="3015">
        <v>80</v>
      </c>
      <c r="H23" s="3016" t="s">
        <v>3134</v>
      </c>
      <c r="I23" s="3016" t="s">
        <v>3135</v>
      </c>
      <c r="J23" s="3017">
        <v>6</v>
      </c>
      <c r="K23" s="3018">
        <v>40909</v>
      </c>
      <c r="L23" s="3018">
        <v>43100</v>
      </c>
      <c r="M23" s="3017">
        <v>1680</v>
      </c>
      <c r="N23" s="2971">
        <v>294.33999999999997</v>
      </c>
      <c r="O23" s="2972">
        <v>4.8</v>
      </c>
    </row>
    <row r="24" spans="1:15">
      <c r="A24" s="2940" t="s">
        <v>3078</v>
      </c>
      <c r="B24" s="2940" t="s">
        <v>3074</v>
      </c>
      <c r="C24" s="2939" t="str">
        <f t="shared" si="0"/>
        <v>60</v>
      </c>
      <c r="D24" s="2939">
        <v>8280.93</v>
      </c>
      <c r="E24">
        <f>SUM(E2:E23)</f>
        <v>53322.78</v>
      </c>
      <c r="F24" s="2970">
        <v>23</v>
      </c>
      <c r="G24" s="3007">
        <v>79</v>
      </c>
      <c r="H24" s="3008" t="s">
        <v>3136</v>
      </c>
      <c r="I24" s="3008" t="s">
        <v>3137</v>
      </c>
      <c r="J24" s="3009">
        <v>5</v>
      </c>
      <c r="K24" s="3010">
        <v>42979</v>
      </c>
      <c r="L24" s="3010">
        <v>44804</v>
      </c>
      <c r="M24" s="3009">
        <v>1125</v>
      </c>
      <c r="N24" s="2971">
        <v>615.94000000000005</v>
      </c>
      <c r="O24" s="2972">
        <v>15</v>
      </c>
    </row>
    <row r="25" spans="1:15">
      <c r="A25" s="2940" t="s">
        <v>3079</v>
      </c>
      <c r="B25" s="2940" t="s">
        <v>3074</v>
      </c>
      <c r="C25" s="2939" t="str">
        <f t="shared" si="0"/>
        <v>60</v>
      </c>
      <c r="D25" s="2939">
        <v>80.099999999999994</v>
      </c>
      <c r="E25">
        <v>54111.57</v>
      </c>
      <c r="F25" s="2970">
        <v>24</v>
      </c>
      <c r="G25" s="3007">
        <v>79</v>
      </c>
      <c r="H25" s="3008" t="s">
        <v>3138</v>
      </c>
      <c r="I25" s="3008" t="s">
        <v>3139</v>
      </c>
      <c r="J25" s="3009">
        <v>5</v>
      </c>
      <c r="K25" s="3010">
        <v>41665</v>
      </c>
      <c r="L25" s="3010">
        <v>43479</v>
      </c>
      <c r="M25" s="3009">
        <v>1160.45</v>
      </c>
      <c r="N25" s="2971">
        <v>436.27</v>
      </c>
      <c r="O25" s="2972">
        <v>10.3</v>
      </c>
    </row>
    <row r="26" spans="1:15">
      <c r="A26" s="2940" t="s">
        <v>3080</v>
      </c>
      <c r="B26" s="2940" t="s">
        <v>3074</v>
      </c>
      <c r="C26" s="2939" t="str">
        <f t="shared" si="0"/>
        <v>60</v>
      </c>
      <c r="D26" s="2939">
        <v>204.09</v>
      </c>
      <c r="E26">
        <f>E25-E24</f>
        <v>788.79000000000087</v>
      </c>
      <c r="F26" s="2970">
        <v>25</v>
      </c>
      <c r="G26" s="3007">
        <v>79</v>
      </c>
      <c r="H26" s="3008" t="s">
        <v>3138</v>
      </c>
      <c r="I26" s="3008" t="s">
        <v>3140</v>
      </c>
      <c r="J26" s="3009">
        <v>5</v>
      </c>
      <c r="K26" s="3010">
        <v>41665</v>
      </c>
      <c r="L26" s="3010">
        <v>43479</v>
      </c>
      <c r="M26" s="3009">
        <v>45.62</v>
      </c>
      <c r="N26" s="2971">
        <v>17.149999999999999</v>
      </c>
      <c r="O26" s="2972">
        <v>10.3</v>
      </c>
    </row>
    <row r="27" spans="1:15">
      <c r="F27" s="2970">
        <v>26</v>
      </c>
      <c r="G27" s="3007">
        <v>79</v>
      </c>
      <c r="H27" s="3008" t="s">
        <v>3138</v>
      </c>
      <c r="I27" s="3008" t="s">
        <v>3141</v>
      </c>
      <c r="J27" s="3009">
        <v>5</v>
      </c>
      <c r="K27" s="3010">
        <v>41665</v>
      </c>
      <c r="L27" s="3010">
        <v>43479</v>
      </c>
      <c r="M27" s="3009">
        <v>209.03</v>
      </c>
      <c r="N27" s="2971">
        <v>78.58</v>
      </c>
      <c r="O27" s="2972">
        <v>10.3</v>
      </c>
    </row>
    <row r="28" spans="1:15">
      <c r="A28" s="3026" t="s">
        <v>3061</v>
      </c>
      <c r="B28" s="3026" t="s">
        <v>3062</v>
      </c>
      <c r="C28" s="3026" t="s">
        <v>3068</v>
      </c>
      <c r="D28" s="3026" t="s">
        <v>3063</v>
      </c>
      <c r="F28" s="2970">
        <v>27</v>
      </c>
      <c r="G28" s="3015">
        <v>80</v>
      </c>
      <c r="H28" s="3016" t="s">
        <v>3142</v>
      </c>
      <c r="I28" s="3016" t="s">
        <v>3143</v>
      </c>
      <c r="J28" s="3017">
        <v>5</v>
      </c>
      <c r="K28" s="3018">
        <v>42962</v>
      </c>
      <c r="L28" s="3018">
        <v>44787</v>
      </c>
      <c r="M28" s="3017">
        <v>1300</v>
      </c>
      <c r="N28" s="2971">
        <v>348.76</v>
      </c>
      <c r="O28" s="2972">
        <v>7.35</v>
      </c>
    </row>
    <row r="29" spans="1:15">
      <c r="A29" s="3027">
        <v>24</v>
      </c>
      <c r="B29" s="3026" t="s">
        <v>3066</v>
      </c>
      <c r="C29" s="3027" t="str">
        <f>IF(B29="钢混","60",IF(B29="混合","50","40"))</f>
        <v>50</v>
      </c>
      <c r="D29" s="3028">
        <v>154.19999999999999</v>
      </c>
      <c r="F29" s="2970">
        <v>29</v>
      </c>
      <c r="G29" s="3015">
        <v>80</v>
      </c>
      <c r="H29" s="3016" t="s">
        <v>3144</v>
      </c>
      <c r="I29" s="3016" t="s">
        <v>3145</v>
      </c>
      <c r="J29" s="3017">
        <v>2</v>
      </c>
      <c r="K29" s="3018">
        <v>42979</v>
      </c>
      <c r="L29" s="3018">
        <v>43708</v>
      </c>
      <c r="M29" s="3017">
        <v>160.80000000000001</v>
      </c>
      <c r="N29" s="2971">
        <v>44.37</v>
      </c>
      <c r="O29" s="2972">
        <v>7.56</v>
      </c>
    </row>
    <row r="30" spans="1:15">
      <c r="A30" s="3027">
        <v>64</v>
      </c>
      <c r="B30" s="3026" t="s">
        <v>3067</v>
      </c>
      <c r="C30" s="3027" t="str">
        <f t="shared" ref="C30:C32" si="1">IF(B30="钢混","60",IF(B30="混合","50","40"))</f>
        <v>50</v>
      </c>
      <c r="D30" s="3027">
        <v>1055.8</v>
      </c>
      <c r="F30" s="2970">
        <v>30</v>
      </c>
      <c r="G30" s="3015">
        <v>80</v>
      </c>
      <c r="H30" s="3016" t="s">
        <v>3146</v>
      </c>
      <c r="I30" s="3016" t="s">
        <v>3147</v>
      </c>
      <c r="J30" s="3017">
        <v>1</v>
      </c>
      <c r="K30" s="3018">
        <v>42750</v>
      </c>
      <c r="L30" s="3018">
        <v>43114</v>
      </c>
      <c r="M30" s="3017">
        <v>150</v>
      </c>
      <c r="N30" s="2971">
        <v>39.64</v>
      </c>
      <c r="O30" s="2972">
        <v>7.24</v>
      </c>
    </row>
    <row r="31" spans="1:15">
      <c r="A31" s="3026">
        <v>66</v>
      </c>
      <c r="B31" s="3026" t="s">
        <v>3067</v>
      </c>
      <c r="C31" s="3027" t="str">
        <f t="shared" si="1"/>
        <v>50</v>
      </c>
      <c r="D31" s="3027">
        <v>1214.4100000000001</v>
      </c>
      <c r="F31" s="2970">
        <v>31</v>
      </c>
      <c r="G31" s="3015">
        <v>80</v>
      </c>
      <c r="H31" s="3016" t="s">
        <v>3148</v>
      </c>
      <c r="I31" s="3016" t="s">
        <v>3149</v>
      </c>
      <c r="J31" s="3017">
        <v>3</v>
      </c>
      <c r="K31" s="3018">
        <v>42856</v>
      </c>
      <c r="L31" s="3018">
        <v>43951</v>
      </c>
      <c r="M31" s="3017">
        <v>266</v>
      </c>
      <c r="N31" s="2971">
        <v>71.17</v>
      </c>
      <c r="O31" s="2972">
        <v>7.33</v>
      </c>
    </row>
    <row r="32" spans="1:15">
      <c r="A32" s="3027">
        <v>68</v>
      </c>
      <c r="B32" s="3026" t="s">
        <v>3067</v>
      </c>
      <c r="C32" s="3027" t="str">
        <f t="shared" si="1"/>
        <v>50</v>
      </c>
      <c r="D32" s="3027">
        <f>E5</f>
        <v>2330</v>
      </c>
      <c r="F32" s="2970">
        <v>32</v>
      </c>
      <c r="G32" s="3015">
        <v>80</v>
      </c>
      <c r="H32" s="3016" t="s">
        <v>3150</v>
      </c>
      <c r="I32" s="3016" t="s">
        <v>3151</v>
      </c>
      <c r="J32" s="3017">
        <v>2</v>
      </c>
      <c r="K32" s="3018">
        <v>42865</v>
      </c>
      <c r="L32" s="3018">
        <v>43594</v>
      </c>
      <c r="M32" s="3017">
        <v>407</v>
      </c>
      <c r="N32" s="2971">
        <v>106.22</v>
      </c>
      <c r="O32" s="2972">
        <v>7.15</v>
      </c>
    </row>
    <row r="33" spans="1:15">
      <c r="A33" s="3027">
        <v>69</v>
      </c>
      <c r="B33" s="3026" t="s">
        <v>3067</v>
      </c>
      <c r="C33" s="3027" t="str">
        <f t="shared" ref="C33:C44" si="2">IF(B33="钢混","60",IF(B33="混合","50","40"))</f>
        <v>50</v>
      </c>
      <c r="D33" s="3027">
        <f>E7</f>
        <v>980.8</v>
      </c>
      <c r="F33" s="2970">
        <v>33</v>
      </c>
      <c r="G33" s="3015">
        <v>80</v>
      </c>
      <c r="H33" s="3016" t="s">
        <v>3152</v>
      </c>
      <c r="I33" s="3016" t="s">
        <v>3153</v>
      </c>
      <c r="J33" s="3017">
        <v>1</v>
      </c>
      <c r="K33" s="3018">
        <v>42916</v>
      </c>
      <c r="L33" s="3018">
        <v>43280</v>
      </c>
      <c r="M33" s="3017">
        <v>335</v>
      </c>
      <c r="N33" s="2971">
        <v>89.26</v>
      </c>
      <c r="O33" s="2972">
        <v>7.3</v>
      </c>
    </row>
    <row r="34" spans="1:15">
      <c r="A34" s="3027">
        <v>70</v>
      </c>
      <c r="B34" s="3026" t="s">
        <v>3067</v>
      </c>
      <c r="C34" s="3027" t="str">
        <f t="shared" si="2"/>
        <v>50</v>
      </c>
      <c r="D34" s="3027">
        <v>716.2</v>
      </c>
      <c r="F34" s="2970">
        <v>34</v>
      </c>
      <c r="G34" s="3015">
        <v>80</v>
      </c>
      <c r="H34" s="3016" t="s">
        <v>3154</v>
      </c>
      <c r="I34" s="3016" t="s">
        <v>3155</v>
      </c>
      <c r="J34" s="3017">
        <v>3</v>
      </c>
      <c r="K34" s="3018">
        <v>42449</v>
      </c>
      <c r="L34" s="3018">
        <v>43543</v>
      </c>
      <c r="M34" s="3017">
        <v>266</v>
      </c>
      <c r="N34" s="2971">
        <v>71.849999999999994</v>
      </c>
      <c r="O34" s="2972">
        <v>7.4</v>
      </c>
    </row>
    <row r="35" spans="1:15">
      <c r="A35" s="3027">
        <v>73</v>
      </c>
      <c r="B35" s="3026" t="s">
        <v>3067</v>
      </c>
      <c r="C35" s="3027" t="str">
        <f t="shared" si="2"/>
        <v>50</v>
      </c>
      <c r="D35" s="3027">
        <f>E10</f>
        <v>761.8</v>
      </c>
      <c r="F35" s="2970">
        <v>35</v>
      </c>
      <c r="G35" s="3015">
        <v>80</v>
      </c>
      <c r="H35" s="3016" t="s">
        <v>3156</v>
      </c>
      <c r="I35" s="3016" t="s">
        <v>3157</v>
      </c>
      <c r="J35" s="3017">
        <v>5</v>
      </c>
      <c r="K35" s="3018">
        <v>42444</v>
      </c>
      <c r="L35" s="3018">
        <v>44269</v>
      </c>
      <c r="M35" s="3017">
        <v>1800</v>
      </c>
      <c r="N35" s="2971">
        <v>446.76</v>
      </c>
      <c r="O35" s="2972">
        <v>6.8</v>
      </c>
    </row>
    <row r="36" spans="1:15">
      <c r="A36" s="3027">
        <v>74</v>
      </c>
      <c r="B36" s="3026" t="s">
        <v>3067</v>
      </c>
      <c r="C36" s="3027" t="str">
        <f t="shared" si="2"/>
        <v>50</v>
      </c>
      <c r="D36" s="3027">
        <v>1080.3</v>
      </c>
      <c r="F36" s="2970">
        <v>36</v>
      </c>
      <c r="G36" s="3015">
        <v>80</v>
      </c>
      <c r="H36" s="3016" t="s">
        <v>3158</v>
      </c>
      <c r="I36" s="3016" t="s">
        <v>3159</v>
      </c>
      <c r="J36" s="3017">
        <v>1</v>
      </c>
      <c r="K36" s="3018">
        <v>43028</v>
      </c>
      <c r="L36" s="3018">
        <v>43392</v>
      </c>
      <c r="M36" s="3017">
        <v>305</v>
      </c>
      <c r="N36" s="2971">
        <v>90.17</v>
      </c>
      <c r="O36" s="2972">
        <v>8.1</v>
      </c>
    </row>
    <row r="37" spans="1:15">
      <c r="A37" s="3029">
        <v>75</v>
      </c>
      <c r="B37" s="3029" t="s">
        <v>3067</v>
      </c>
      <c r="C37" s="3027" t="str">
        <f t="shared" si="2"/>
        <v>50</v>
      </c>
      <c r="D37" s="3029">
        <f>E12</f>
        <v>1008.5</v>
      </c>
      <c r="F37" s="2970">
        <v>37</v>
      </c>
      <c r="G37" s="2991">
        <v>81</v>
      </c>
      <c r="H37" s="2992" t="s">
        <v>3160</v>
      </c>
      <c r="I37" s="2992" t="s">
        <v>3161</v>
      </c>
      <c r="J37" s="2993">
        <v>5</v>
      </c>
      <c r="K37" s="2994">
        <v>43076</v>
      </c>
      <c r="L37" s="2994">
        <v>44901</v>
      </c>
      <c r="M37" s="2993">
        <v>398.09</v>
      </c>
      <c r="N37" s="2971">
        <v>181.63</v>
      </c>
      <c r="O37" s="2972">
        <v>12.5</v>
      </c>
    </row>
    <row r="38" spans="1:15">
      <c r="A38" s="3027">
        <v>76</v>
      </c>
      <c r="B38" s="3026" t="s">
        <v>3067</v>
      </c>
      <c r="C38" s="3027" t="str">
        <f t="shared" si="2"/>
        <v>50</v>
      </c>
      <c r="D38" s="3027">
        <f>D13</f>
        <v>516.79999999999995</v>
      </c>
      <c r="F38" s="2970">
        <v>38</v>
      </c>
      <c r="G38" s="2991">
        <v>81</v>
      </c>
      <c r="H38" s="2992" t="s">
        <v>3162</v>
      </c>
      <c r="I38" s="2992" t="s">
        <v>3163</v>
      </c>
      <c r="J38" s="2993">
        <v>5</v>
      </c>
      <c r="K38" s="2994">
        <v>42109</v>
      </c>
      <c r="L38" s="2994">
        <v>43935</v>
      </c>
      <c r="M38" s="2993">
        <v>475</v>
      </c>
      <c r="N38" s="2971">
        <v>116.16</v>
      </c>
      <c r="O38" s="2972">
        <v>6.7</v>
      </c>
    </row>
    <row r="39" spans="1:15">
      <c r="A39" s="3027">
        <v>77</v>
      </c>
      <c r="B39" s="3026" t="s">
        <v>3066</v>
      </c>
      <c r="C39" s="3027" t="str">
        <f t="shared" si="2"/>
        <v>50</v>
      </c>
      <c r="D39" s="3027">
        <v>1309.8</v>
      </c>
      <c r="F39" s="2970">
        <v>39</v>
      </c>
      <c r="G39" s="2991">
        <v>81</v>
      </c>
      <c r="H39" s="2992" t="s">
        <v>3164</v>
      </c>
      <c r="I39" s="2992" t="s">
        <v>3165</v>
      </c>
      <c r="J39" s="2993">
        <v>5</v>
      </c>
      <c r="K39" s="2994">
        <v>42200</v>
      </c>
      <c r="L39" s="2994">
        <v>44026</v>
      </c>
      <c r="M39" s="2993">
        <v>805</v>
      </c>
      <c r="N39" s="2971">
        <v>196.19</v>
      </c>
      <c r="O39" s="2972">
        <v>6.68</v>
      </c>
    </row>
    <row r="40" spans="1:15">
      <c r="A40" s="3027">
        <v>78</v>
      </c>
      <c r="B40" s="3026" t="s">
        <v>3074</v>
      </c>
      <c r="C40" s="3027" t="str">
        <f t="shared" si="2"/>
        <v>60</v>
      </c>
      <c r="D40" s="3027">
        <f>E15</f>
        <v>875</v>
      </c>
      <c r="F40" s="2970">
        <v>40</v>
      </c>
      <c r="G40" s="2991">
        <v>81</v>
      </c>
      <c r="H40" s="2992" t="s">
        <v>3166</v>
      </c>
      <c r="I40" s="2992" t="s">
        <v>3167</v>
      </c>
      <c r="J40" s="2993" t="s">
        <v>3168</v>
      </c>
      <c r="K40" s="2994">
        <v>42795</v>
      </c>
      <c r="L40" s="2994">
        <v>44026</v>
      </c>
      <c r="M40" s="2993">
        <v>146.12</v>
      </c>
      <c r="N40" s="2971">
        <v>48</v>
      </c>
      <c r="O40" s="2972">
        <v>9</v>
      </c>
    </row>
    <row r="41" spans="1:15">
      <c r="A41" s="3027">
        <v>79</v>
      </c>
      <c r="B41" s="3026" t="s">
        <v>3074</v>
      </c>
      <c r="C41" s="3027" t="str">
        <f t="shared" si="2"/>
        <v>60</v>
      </c>
      <c r="D41" s="3027">
        <f>E17</f>
        <v>2540.1</v>
      </c>
      <c r="F41" s="2970">
        <v>41</v>
      </c>
      <c r="G41" s="2991">
        <v>81</v>
      </c>
      <c r="H41" s="2992" t="s">
        <v>3169</v>
      </c>
      <c r="I41" s="2992" t="s">
        <v>3170</v>
      </c>
      <c r="J41" s="2993">
        <v>5</v>
      </c>
      <c r="K41" s="2994">
        <v>42200</v>
      </c>
      <c r="L41" s="2994">
        <v>44026</v>
      </c>
      <c r="M41" s="2993">
        <v>50.96</v>
      </c>
      <c r="N41" s="2971">
        <v>12.42</v>
      </c>
      <c r="O41" s="2972">
        <v>6.68</v>
      </c>
    </row>
    <row r="42" spans="1:15">
      <c r="A42" s="3027">
        <v>80</v>
      </c>
      <c r="B42" s="3026" t="s">
        <v>3074</v>
      </c>
      <c r="C42" s="3027" t="str">
        <f t="shared" si="2"/>
        <v>60</v>
      </c>
      <c r="D42" s="3027">
        <f>E18</f>
        <v>6669.8</v>
      </c>
      <c r="F42" s="2970">
        <v>42</v>
      </c>
      <c r="G42" s="2991">
        <v>81</v>
      </c>
      <c r="H42" s="2992" t="s">
        <v>3171</v>
      </c>
      <c r="I42" s="2992" t="s">
        <v>3172</v>
      </c>
      <c r="J42" s="2993">
        <v>5</v>
      </c>
      <c r="K42" s="2994">
        <v>42200</v>
      </c>
      <c r="L42" s="2994">
        <v>44026</v>
      </c>
      <c r="M42" s="2993">
        <v>68.7</v>
      </c>
      <c r="N42" s="2971">
        <v>10.96</v>
      </c>
      <c r="O42" s="2972">
        <v>4.37</v>
      </c>
    </row>
    <row r="43" spans="1:15">
      <c r="A43" s="3027">
        <v>81</v>
      </c>
      <c r="B43" s="3026" t="s">
        <v>3074</v>
      </c>
      <c r="C43" s="3027" t="str">
        <f t="shared" si="2"/>
        <v>60</v>
      </c>
      <c r="D43" s="3027">
        <f>E20</f>
        <v>4217.2</v>
      </c>
      <c r="F43" s="2970">
        <v>43</v>
      </c>
      <c r="G43" s="2991">
        <v>81</v>
      </c>
      <c r="H43" s="2992" t="s">
        <v>3173</v>
      </c>
      <c r="I43" s="2992" t="s">
        <v>3174</v>
      </c>
      <c r="J43" s="2993">
        <v>5</v>
      </c>
      <c r="K43" s="2994">
        <v>42200</v>
      </c>
      <c r="L43" s="2994">
        <v>44026</v>
      </c>
      <c r="M43" s="2993">
        <v>104.59</v>
      </c>
      <c r="N43" s="2971">
        <v>25.49</v>
      </c>
      <c r="O43" s="2972">
        <v>6.68</v>
      </c>
    </row>
    <row r="44" spans="1:15">
      <c r="A44" s="3027">
        <v>87</v>
      </c>
      <c r="B44" s="3026" t="s">
        <v>3074</v>
      </c>
      <c r="C44" s="3027" t="str">
        <f t="shared" si="2"/>
        <v>60</v>
      </c>
      <c r="D44" s="3027">
        <f>E23</f>
        <v>27877.57</v>
      </c>
      <c r="F44" s="2970">
        <v>44</v>
      </c>
      <c r="G44" s="2991">
        <v>81</v>
      </c>
      <c r="H44" s="2992" t="s">
        <v>3175</v>
      </c>
      <c r="I44" s="2992" t="s">
        <v>3176</v>
      </c>
      <c r="J44" s="2993">
        <v>5</v>
      </c>
      <c r="K44" s="2994">
        <v>42200</v>
      </c>
      <c r="L44" s="2994">
        <v>44026</v>
      </c>
      <c r="M44" s="2993">
        <v>49.07</v>
      </c>
      <c r="N44" s="2971">
        <v>7.83</v>
      </c>
      <c r="O44" s="2972">
        <v>4.37</v>
      </c>
    </row>
    <row r="45" spans="1:15">
      <c r="D45">
        <f>SUM(D29:D44)</f>
        <v>53308.28</v>
      </c>
      <c r="F45" s="2970">
        <v>45</v>
      </c>
      <c r="G45" s="2991">
        <v>81</v>
      </c>
      <c r="H45" s="2992" t="s">
        <v>3177</v>
      </c>
      <c r="I45" s="2992" t="s">
        <v>3178</v>
      </c>
      <c r="J45" s="2993">
        <v>5</v>
      </c>
      <c r="K45" s="2994">
        <v>42200</v>
      </c>
      <c r="L45" s="2994">
        <v>44026</v>
      </c>
      <c r="M45" s="2993">
        <v>34.89</v>
      </c>
      <c r="N45" s="2971">
        <v>5.56</v>
      </c>
      <c r="O45" s="2972">
        <v>4.37</v>
      </c>
    </row>
    <row r="46" spans="1:15">
      <c r="A46" s="2933"/>
      <c r="B46" s="2933"/>
      <c r="C46" s="2932"/>
      <c r="D46" s="2932"/>
      <c r="F46" s="2970">
        <v>46</v>
      </c>
      <c r="G46" s="2991">
        <v>81</v>
      </c>
      <c r="H46" s="2992" t="s">
        <v>3179</v>
      </c>
      <c r="I46" s="2992" t="s">
        <v>3180</v>
      </c>
      <c r="J46" s="2993" t="s">
        <v>3168</v>
      </c>
      <c r="K46" s="2994">
        <v>42795</v>
      </c>
      <c r="L46" s="2994">
        <v>44026</v>
      </c>
      <c r="M46" s="2993">
        <v>80.42</v>
      </c>
      <c r="N46" s="2971">
        <v>22.53</v>
      </c>
      <c r="O46" s="2972">
        <v>7.6769999999999996</v>
      </c>
    </row>
    <row r="47" spans="1:15">
      <c r="F47" s="2970">
        <v>47</v>
      </c>
      <c r="G47" s="2991">
        <v>81</v>
      </c>
      <c r="H47" s="2992" t="s">
        <v>3181</v>
      </c>
      <c r="I47" s="2992" t="s">
        <v>3182</v>
      </c>
      <c r="J47" s="2993" t="s">
        <v>3168</v>
      </c>
      <c r="K47" s="2994">
        <v>42795</v>
      </c>
      <c r="L47" s="2994">
        <v>44026</v>
      </c>
      <c r="M47" s="2993">
        <v>75.239999999999995</v>
      </c>
      <c r="N47" s="2971">
        <v>31.58</v>
      </c>
      <c r="O47" s="2972">
        <v>11.5</v>
      </c>
    </row>
    <row r="48" spans="1:15">
      <c r="A48" s="3025"/>
      <c r="B48" s="3025"/>
      <c r="C48" s="3024"/>
      <c r="D48" s="3024"/>
      <c r="F48" s="2970">
        <v>48</v>
      </c>
      <c r="G48" s="2991">
        <v>81</v>
      </c>
      <c r="H48" s="2992" t="s">
        <v>3183</v>
      </c>
      <c r="I48" s="2992" t="s">
        <v>3184</v>
      </c>
      <c r="J48" s="2993">
        <v>3</v>
      </c>
      <c r="K48" s="2994">
        <v>42200</v>
      </c>
      <c r="L48" s="2994">
        <v>43295</v>
      </c>
      <c r="M48" s="2993">
        <v>13.4</v>
      </c>
      <c r="N48" s="2971">
        <v>3.27</v>
      </c>
      <c r="O48" s="2972">
        <v>6.68</v>
      </c>
    </row>
    <row r="49" spans="1:15">
      <c r="A49" s="3025"/>
      <c r="B49" s="3025"/>
      <c r="C49" s="3024"/>
      <c r="D49" s="3024"/>
      <c r="F49" s="2970">
        <v>49</v>
      </c>
      <c r="G49" s="2991">
        <v>81</v>
      </c>
      <c r="H49" s="2992" t="s">
        <v>3185</v>
      </c>
      <c r="I49" s="2992" t="s">
        <v>3186</v>
      </c>
      <c r="J49" s="2993" t="s">
        <v>3168</v>
      </c>
      <c r="K49" s="2994">
        <v>42795</v>
      </c>
      <c r="L49" s="2994">
        <v>44026</v>
      </c>
      <c r="M49" s="2993">
        <v>83.1</v>
      </c>
      <c r="N49" s="2971">
        <v>21.33</v>
      </c>
      <c r="O49" s="2972">
        <v>7.6769999999999996</v>
      </c>
    </row>
    <row r="50" spans="1:15">
      <c r="F50" s="2970">
        <v>50</v>
      </c>
      <c r="G50" s="2991">
        <v>81</v>
      </c>
      <c r="H50" s="2992" t="s">
        <v>3187</v>
      </c>
      <c r="I50" s="2992" t="s">
        <v>3188</v>
      </c>
      <c r="J50" s="2993">
        <v>5</v>
      </c>
      <c r="K50" s="2994">
        <v>42200</v>
      </c>
      <c r="L50" s="2994">
        <v>44026</v>
      </c>
      <c r="M50" s="2993">
        <v>91.16</v>
      </c>
      <c r="N50" s="2971">
        <v>22.22</v>
      </c>
      <c r="O50" s="2972">
        <v>6.68</v>
      </c>
    </row>
    <row r="51" spans="1:15">
      <c r="A51" s="2940"/>
      <c r="B51" s="2940"/>
      <c r="C51" s="2939"/>
      <c r="D51" s="2939"/>
      <c r="F51" s="2970">
        <v>51</v>
      </c>
      <c r="G51" s="2991">
        <v>81</v>
      </c>
      <c r="H51" s="2992" t="s">
        <v>3189</v>
      </c>
      <c r="I51" s="2992" t="s">
        <v>3190</v>
      </c>
      <c r="J51" s="2993">
        <v>2</v>
      </c>
      <c r="K51" s="2994">
        <v>42200</v>
      </c>
      <c r="L51" s="2994">
        <v>44026</v>
      </c>
      <c r="M51" s="2993">
        <v>53.64</v>
      </c>
      <c r="N51" s="2971">
        <v>13.07</v>
      </c>
      <c r="O51" s="2972">
        <v>6.68</v>
      </c>
    </row>
    <row r="52" spans="1:15">
      <c r="A52" s="2940"/>
      <c r="B52" s="2940"/>
      <c r="C52" s="2939"/>
      <c r="D52" s="2939"/>
      <c r="F52" s="2970">
        <v>52</v>
      </c>
      <c r="G52" s="2991">
        <v>81</v>
      </c>
      <c r="H52" s="2992" t="s">
        <v>3191</v>
      </c>
      <c r="I52" s="2992" t="s">
        <v>3192</v>
      </c>
      <c r="J52" s="2993">
        <v>3</v>
      </c>
      <c r="K52" s="2994">
        <v>42200</v>
      </c>
      <c r="L52" s="2994">
        <v>43295</v>
      </c>
      <c r="M52" s="2993">
        <v>37.56</v>
      </c>
      <c r="N52" s="2971">
        <v>9.15</v>
      </c>
      <c r="O52" s="2972">
        <v>6.68</v>
      </c>
    </row>
    <row r="53" spans="1:15">
      <c r="A53" s="2940"/>
      <c r="B53" s="2940"/>
      <c r="C53" s="2939"/>
      <c r="D53" s="2939"/>
      <c r="F53" s="2970">
        <v>53</v>
      </c>
      <c r="G53" s="2991">
        <v>81</v>
      </c>
      <c r="H53" s="2992" t="s">
        <v>3193</v>
      </c>
      <c r="I53" s="2992" t="s">
        <v>3194</v>
      </c>
      <c r="J53" s="2993">
        <v>3</v>
      </c>
      <c r="K53" s="2994">
        <v>42200</v>
      </c>
      <c r="L53" s="2994">
        <v>43295</v>
      </c>
      <c r="M53" s="2993">
        <v>85.05</v>
      </c>
      <c r="N53" s="2971">
        <v>34.15</v>
      </c>
      <c r="O53" s="2972">
        <v>11</v>
      </c>
    </row>
    <row r="54" spans="1:15">
      <c r="F54" s="2970">
        <v>54</v>
      </c>
      <c r="G54" s="2991">
        <v>81</v>
      </c>
      <c r="H54" s="2992" t="s">
        <v>3195</v>
      </c>
      <c r="I54" s="2992" t="s">
        <v>3196</v>
      </c>
      <c r="J54" s="2993">
        <v>10</v>
      </c>
      <c r="K54" s="2994">
        <v>39814</v>
      </c>
      <c r="L54" s="2994">
        <v>43465</v>
      </c>
      <c r="M54" s="2993">
        <v>475</v>
      </c>
      <c r="N54" s="2971">
        <v>78.89</v>
      </c>
      <c r="O54" s="2972">
        <v>4.55</v>
      </c>
    </row>
    <row r="55" spans="1:15">
      <c r="F55" s="2970">
        <v>55</v>
      </c>
      <c r="G55" s="2991">
        <v>81</v>
      </c>
      <c r="H55" s="2992" t="s">
        <v>3197</v>
      </c>
      <c r="I55" s="2992" t="s">
        <v>3196</v>
      </c>
      <c r="J55" s="2993">
        <v>3</v>
      </c>
      <c r="K55" s="2994">
        <v>42370</v>
      </c>
      <c r="L55" s="2994">
        <v>43465</v>
      </c>
      <c r="M55" s="2993">
        <v>280</v>
      </c>
      <c r="N55" s="2971">
        <v>20.440000000000001</v>
      </c>
      <c r="O55" s="2972">
        <v>2</v>
      </c>
    </row>
    <row r="56" spans="1:15">
      <c r="F56" s="2970">
        <v>56</v>
      </c>
      <c r="G56" s="2991">
        <v>81</v>
      </c>
      <c r="H56" s="2992" t="s">
        <v>3198</v>
      </c>
      <c r="I56" s="2992" t="s">
        <v>3199</v>
      </c>
      <c r="J56" s="2993" t="s">
        <v>3200</v>
      </c>
      <c r="K56" s="2994">
        <v>39873</v>
      </c>
      <c r="L56" s="2994">
        <v>43100</v>
      </c>
      <c r="M56" s="2993">
        <v>810.21</v>
      </c>
      <c r="N56" s="2971">
        <v>100.55</v>
      </c>
      <c r="O56" s="2972">
        <v>3.4</v>
      </c>
    </row>
    <row r="57" spans="1:15">
      <c r="F57" s="2970">
        <v>57</v>
      </c>
      <c r="G57" s="3019">
        <v>87</v>
      </c>
      <c r="H57" s="3020" t="s">
        <v>3201</v>
      </c>
      <c r="I57" s="3020" t="s">
        <v>3202</v>
      </c>
      <c r="J57" s="3021">
        <v>5</v>
      </c>
      <c r="K57" s="3022">
        <v>43009</v>
      </c>
      <c r="L57" s="3022">
        <v>44834</v>
      </c>
      <c r="M57" s="3021">
        <v>593</v>
      </c>
      <c r="N57" s="2971">
        <v>292.2</v>
      </c>
      <c r="O57" s="2972">
        <v>13.5</v>
      </c>
    </row>
    <row r="58" spans="1:15">
      <c r="F58" s="2970">
        <v>58</v>
      </c>
      <c r="G58" s="3019">
        <v>87</v>
      </c>
      <c r="H58" s="3020" t="s">
        <v>3203</v>
      </c>
      <c r="I58" s="3020" t="s">
        <v>3204</v>
      </c>
      <c r="J58" s="3021">
        <v>5</v>
      </c>
      <c r="K58" s="3022">
        <v>42195</v>
      </c>
      <c r="L58" s="3022">
        <v>44021</v>
      </c>
      <c r="M58" s="3021">
        <v>3484.37</v>
      </c>
      <c r="N58" s="2971">
        <v>992</v>
      </c>
      <c r="O58" s="2972">
        <v>7.8</v>
      </c>
    </row>
    <row r="59" spans="1:15">
      <c r="F59" s="2970">
        <v>59</v>
      </c>
      <c r="G59" s="3019">
        <v>87</v>
      </c>
      <c r="H59" s="3020" t="s">
        <v>3205</v>
      </c>
      <c r="I59" s="3020" t="s">
        <v>3103</v>
      </c>
      <c r="J59" s="3021">
        <v>20</v>
      </c>
      <c r="K59" s="3022">
        <v>37773</v>
      </c>
      <c r="L59" s="3022">
        <v>47999</v>
      </c>
      <c r="M59" s="3021">
        <v>464</v>
      </c>
      <c r="N59" s="2971">
        <v>110</v>
      </c>
      <c r="O59" s="2972">
        <v>6.5</v>
      </c>
    </row>
    <row r="60" spans="1:15">
      <c r="F60" s="2970">
        <v>60</v>
      </c>
      <c r="G60" s="3019">
        <v>87</v>
      </c>
      <c r="H60" s="3020" t="s">
        <v>3206</v>
      </c>
      <c r="I60" s="3020" t="s">
        <v>3207</v>
      </c>
      <c r="J60" s="3021">
        <v>5</v>
      </c>
      <c r="K60" s="3022">
        <v>42887</v>
      </c>
      <c r="L60" s="3022">
        <v>44712</v>
      </c>
      <c r="M60" s="3021">
        <v>2920</v>
      </c>
      <c r="N60" s="2971">
        <v>746.06</v>
      </c>
      <c r="O60" s="2972">
        <v>7</v>
      </c>
    </row>
    <row r="61" spans="1:15">
      <c r="F61" s="2970">
        <v>61</v>
      </c>
      <c r="G61" s="3019">
        <v>87</v>
      </c>
      <c r="H61" s="3020" t="s">
        <v>3208</v>
      </c>
      <c r="I61" s="3020" t="s">
        <v>3209</v>
      </c>
      <c r="J61" s="3021">
        <v>5</v>
      </c>
      <c r="K61" s="3022">
        <v>42385</v>
      </c>
      <c r="L61" s="3022">
        <v>43115</v>
      </c>
      <c r="M61" s="3021">
        <v>22</v>
      </c>
      <c r="N61" s="2971">
        <v>8.0299999999999994</v>
      </c>
      <c r="O61" s="2972">
        <v>10</v>
      </c>
    </row>
    <row r="62" spans="1:15">
      <c r="F62" s="2970">
        <v>62</v>
      </c>
      <c r="G62" s="3019">
        <v>87</v>
      </c>
      <c r="H62" s="3020" t="s">
        <v>3210</v>
      </c>
      <c r="I62" s="3020" t="s">
        <v>3211</v>
      </c>
      <c r="J62" s="3021">
        <v>5</v>
      </c>
      <c r="K62" s="3022">
        <v>42236</v>
      </c>
      <c r="L62" s="3022">
        <v>44093</v>
      </c>
      <c r="M62" s="3021">
        <v>70</v>
      </c>
      <c r="N62" s="2971">
        <v>25.55</v>
      </c>
      <c r="O62" s="2972">
        <v>10</v>
      </c>
    </row>
    <row r="63" spans="1:15">
      <c r="F63" s="2970">
        <v>63</v>
      </c>
      <c r="G63" s="3019">
        <v>87</v>
      </c>
      <c r="H63" s="3020" t="s">
        <v>3212</v>
      </c>
      <c r="I63" s="3020" t="s">
        <v>3213</v>
      </c>
      <c r="J63" s="3021">
        <v>50</v>
      </c>
      <c r="K63" s="3022"/>
      <c r="L63" s="3022"/>
      <c r="M63" s="3021">
        <v>6735</v>
      </c>
      <c r="N63" s="2971">
        <v>0</v>
      </c>
      <c r="O63" s="2972"/>
    </row>
    <row r="64" spans="1:15">
      <c r="F64" s="2970">
        <v>64</v>
      </c>
      <c r="G64" s="3019">
        <v>87</v>
      </c>
      <c r="H64" s="3020" t="s">
        <v>3214</v>
      </c>
      <c r="I64" s="3020" t="s">
        <v>3215</v>
      </c>
      <c r="J64" s="3021">
        <v>20</v>
      </c>
      <c r="K64" s="3022">
        <v>37257</v>
      </c>
      <c r="L64" s="3022">
        <v>44561</v>
      </c>
      <c r="M64" s="3021">
        <v>5750</v>
      </c>
      <c r="N64" s="2971">
        <v>447.03</v>
      </c>
      <c r="O64" s="2972">
        <v>2.13</v>
      </c>
    </row>
    <row r="65" spans="6:15">
      <c r="F65" s="2970">
        <v>65</v>
      </c>
      <c r="G65" s="3019">
        <v>87</v>
      </c>
      <c r="H65" s="3020" t="s">
        <v>3216</v>
      </c>
      <c r="I65" s="3020" t="s">
        <v>3215</v>
      </c>
      <c r="J65" s="3021" t="s">
        <v>3217</v>
      </c>
      <c r="K65" s="3022">
        <v>43009</v>
      </c>
      <c r="L65" s="3022">
        <v>44439</v>
      </c>
      <c r="M65" s="3021">
        <v>83</v>
      </c>
      <c r="N65" s="2971">
        <v>30.3</v>
      </c>
      <c r="O65" s="2972">
        <v>10</v>
      </c>
    </row>
    <row r="66" spans="6:15">
      <c r="F66" s="2970">
        <v>66</v>
      </c>
      <c r="G66" s="3019">
        <v>87</v>
      </c>
      <c r="H66" s="3020" t="s">
        <v>3218</v>
      </c>
      <c r="I66" s="3020" t="s">
        <v>3219</v>
      </c>
      <c r="J66" s="3021" t="s">
        <v>3220</v>
      </c>
      <c r="K66" s="3022" t="s">
        <v>3221</v>
      </c>
      <c r="L66" s="3022" t="s">
        <v>3222</v>
      </c>
      <c r="M66" s="3021">
        <v>238</v>
      </c>
      <c r="N66" s="2971">
        <v>69.5</v>
      </c>
      <c r="O66" s="2972">
        <v>8</v>
      </c>
    </row>
    <row r="67" spans="6:15">
      <c r="F67" s="2970">
        <v>67</v>
      </c>
      <c r="G67" s="3019">
        <v>87</v>
      </c>
      <c r="H67" s="3020" t="s">
        <v>3223</v>
      </c>
      <c r="I67" s="3020" t="s">
        <v>3215</v>
      </c>
      <c r="J67" s="3021">
        <v>2</v>
      </c>
      <c r="K67" s="3022">
        <v>42505</v>
      </c>
      <c r="L67" s="3022">
        <v>43234</v>
      </c>
      <c r="M67" s="3021">
        <v>92.2</v>
      </c>
      <c r="N67" s="2971">
        <v>6.73</v>
      </c>
      <c r="O67" s="2972">
        <v>2</v>
      </c>
    </row>
    <row r="68" spans="6:15">
      <c r="F68" s="2970">
        <v>68</v>
      </c>
      <c r="G68" s="3019">
        <v>87</v>
      </c>
      <c r="H68" s="3020" t="s">
        <v>3224</v>
      </c>
      <c r="I68" s="3020" t="s">
        <v>3219</v>
      </c>
      <c r="J68" s="3021">
        <v>2</v>
      </c>
      <c r="K68" s="3022">
        <v>42475</v>
      </c>
      <c r="L68" s="3022">
        <v>43204</v>
      </c>
      <c r="M68" s="3021">
        <v>1072.5</v>
      </c>
      <c r="N68" s="2971">
        <v>313.17</v>
      </c>
      <c r="O68" s="2972">
        <v>8</v>
      </c>
    </row>
    <row r="69" spans="6:15">
      <c r="F69" s="2970">
        <v>69</v>
      </c>
      <c r="G69" s="3019">
        <v>87</v>
      </c>
      <c r="H69" s="3020" t="s">
        <v>3225</v>
      </c>
      <c r="I69" s="3020" t="s">
        <v>3226</v>
      </c>
      <c r="J69" s="3021">
        <v>2</v>
      </c>
      <c r="K69" s="3022">
        <v>42475</v>
      </c>
      <c r="L69" s="3022">
        <v>43204</v>
      </c>
      <c r="M69" s="3021">
        <v>1072.5</v>
      </c>
      <c r="N69" s="2971">
        <v>313.17</v>
      </c>
      <c r="O69" s="2972">
        <v>8</v>
      </c>
    </row>
    <row r="70" spans="6:15">
      <c r="F70" s="2970">
        <v>70</v>
      </c>
      <c r="G70" s="3019">
        <v>87</v>
      </c>
      <c r="H70" s="3020" t="s">
        <v>3227</v>
      </c>
      <c r="I70" s="3020" t="s">
        <v>3228</v>
      </c>
      <c r="J70" s="3021">
        <v>5</v>
      </c>
      <c r="K70" s="3022">
        <v>42536</v>
      </c>
      <c r="L70" s="3022">
        <v>44361</v>
      </c>
      <c r="M70" s="3021">
        <v>365</v>
      </c>
      <c r="N70" s="2971">
        <v>96.59</v>
      </c>
      <c r="O70" s="2972">
        <v>7.25</v>
      </c>
    </row>
    <row r="71" spans="6:15">
      <c r="F71" s="2970">
        <v>71</v>
      </c>
      <c r="G71" s="3019">
        <v>87</v>
      </c>
      <c r="H71" s="3020" t="s">
        <v>3229</v>
      </c>
      <c r="I71" s="3020" t="s">
        <v>3230</v>
      </c>
      <c r="J71" s="3021">
        <v>10</v>
      </c>
      <c r="K71" s="3022">
        <v>40648</v>
      </c>
      <c r="L71" s="3022">
        <v>44300</v>
      </c>
      <c r="M71" s="3021">
        <v>1626</v>
      </c>
      <c r="N71" s="2971">
        <v>293.18</v>
      </c>
      <c r="O71" s="2972">
        <v>4.9400000000000004</v>
      </c>
    </row>
    <row r="72" spans="6:15">
      <c r="F72" s="2970">
        <v>72</v>
      </c>
      <c r="G72" s="3019">
        <v>87</v>
      </c>
      <c r="H72" s="3020" t="s">
        <v>3231</v>
      </c>
      <c r="I72" s="3020" t="s">
        <v>3230</v>
      </c>
      <c r="J72" s="3021">
        <v>10</v>
      </c>
      <c r="K72" s="3022">
        <v>40634</v>
      </c>
      <c r="L72" s="3022">
        <v>43935</v>
      </c>
      <c r="M72" s="3021">
        <v>2720</v>
      </c>
      <c r="N72" s="2971">
        <v>291.88</v>
      </c>
      <c r="O72" s="2972">
        <v>2.94</v>
      </c>
    </row>
    <row r="73" spans="6:15">
      <c r="F73" s="2969">
        <v>73</v>
      </c>
      <c r="G73" s="3019">
        <v>87</v>
      </c>
      <c r="H73" s="3023" t="s">
        <v>3232</v>
      </c>
      <c r="I73" s="3023" t="s">
        <v>3233</v>
      </c>
      <c r="J73" s="3023">
        <v>5</v>
      </c>
      <c r="K73" s="3022">
        <v>43009</v>
      </c>
      <c r="L73" s="3022">
        <v>44834</v>
      </c>
      <c r="M73" s="3023">
        <v>570</v>
      </c>
      <c r="N73" s="2969">
        <v>62.42</v>
      </c>
      <c r="O73" s="2969">
        <v>3</v>
      </c>
    </row>
    <row r="77" spans="6:15">
      <c r="F77" s="2931" t="s">
        <v>3239</v>
      </c>
    </row>
    <row r="78" spans="6:15">
      <c r="F78">
        <f>M67+M73</f>
        <v>662.2</v>
      </c>
    </row>
    <row r="79" spans="6:15">
      <c r="F79" s="2931"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G21" sqref="G21"/>
    </sheetView>
  </sheetViews>
  <sheetFormatPr defaultRowHeight="13.5"/>
  <cols>
    <col min="1" max="1" width="9" customWidth="1"/>
    <col min="3" max="3" width="40" customWidth="1"/>
    <col min="4" max="4" width="3.5" customWidth="1"/>
    <col min="5" max="5" width="11.25" bestFit="1" customWidth="1"/>
    <col min="6" max="6" width="14.625" customWidth="1"/>
    <col min="7" max="7" width="15.625" bestFit="1" customWidth="1"/>
    <col min="9" max="9" width="9" customWidth="1"/>
  </cols>
  <sheetData>
    <row r="1" spans="1:10">
      <c r="A1" s="3059" t="s">
        <v>3081</v>
      </c>
      <c r="B1" s="3059" t="s">
        <v>3082</v>
      </c>
      <c r="C1" s="3059" t="s">
        <v>3083</v>
      </c>
      <c r="D1" s="3059" t="s">
        <v>3084</v>
      </c>
      <c r="E1" s="3408" t="s">
        <v>3085</v>
      </c>
      <c r="F1" s="3408" t="s">
        <v>3086</v>
      </c>
      <c r="G1" s="3408" t="s">
        <v>3087</v>
      </c>
      <c r="H1" s="3408" t="s">
        <v>3088</v>
      </c>
      <c r="I1" s="3059" t="s">
        <v>3089</v>
      </c>
      <c r="J1" s="3059" t="s">
        <v>3090</v>
      </c>
    </row>
    <row r="2" spans="1:10">
      <c r="A2" s="3059"/>
      <c r="B2" s="3059"/>
      <c r="C2" s="3059"/>
      <c r="D2" s="3059"/>
      <c r="E2" s="3408"/>
      <c r="F2" s="3408"/>
      <c r="G2" s="3408"/>
      <c r="H2" s="3408"/>
      <c r="I2" s="3059" t="s">
        <v>3091</v>
      </c>
      <c r="J2" s="3059" t="s">
        <v>3092</v>
      </c>
    </row>
    <row r="3" spans="1:10">
      <c r="A3" s="3059">
        <v>57</v>
      </c>
      <c r="B3" s="3060">
        <v>87</v>
      </c>
      <c r="C3" s="3061" t="s">
        <v>3201</v>
      </c>
      <c r="D3" s="3061" t="s">
        <v>3202</v>
      </c>
      <c r="E3" s="3062">
        <v>5</v>
      </c>
      <c r="F3" s="3063">
        <v>43009</v>
      </c>
      <c r="G3" s="3063">
        <v>44834</v>
      </c>
      <c r="H3" s="3062">
        <v>593</v>
      </c>
      <c r="I3" s="3064">
        <v>292.2</v>
      </c>
      <c r="J3" s="3064">
        <v>13.5</v>
      </c>
    </row>
    <row r="4" spans="1:10" s="2932" customFormat="1">
      <c r="A4" s="3059">
        <v>58</v>
      </c>
      <c r="B4" s="3059">
        <v>87</v>
      </c>
      <c r="C4" s="3065" t="s">
        <v>3203</v>
      </c>
      <c r="D4" s="3065" t="s">
        <v>3204</v>
      </c>
      <c r="E4" s="3064">
        <v>5</v>
      </c>
      <c r="F4" s="3066">
        <v>42195</v>
      </c>
      <c r="G4" s="3066">
        <v>44021</v>
      </c>
      <c r="H4" s="3064">
        <v>3484.37</v>
      </c>
      <c r="I4" s="3064">
        <v>992</v>
      </c>
      <c r="J4" s="3064">
        <v>7.8</v>
      </c>
    </row>
    <row r="5" spans="1:10">
      <c r="A5" s="3067">
        <v>59</v>
      </c>
      <c r="B5" s="3067">
        <v>87</v>
      </c>
      <c r="C5" s="3068" t="s">
        <v>3205</v>
      </c>
      <c r="D5" s="3068" t="s">
        <v>3103</v>
      </c>
      <c r="E5" s="3069">
        <v>20</v>
      </c>
      <c r="F5" s="3070">
        <v>37773</v>
      </c>
      <c r="G5" s="3070">
        <v>47999</v>
      </c>
      <c r="H5" s="3069">
        <v>464</v>
      </c>
      <c r="I5" s="3069">
        <v>110</v>
      </c>
      <c r="J5" s="3069">
        <v>6.5</v>
      </c>
    </row>
    <row r="6" spans="1:10" s="2932" customFormat="1">
      <c r="A6" s="3059">
        <v>60</v>
      </c>
      <c r="B6" s="3059">
        <v>87</v>
      </c>
      <c r="C6" s="3065" t="s">
        <v>3206</v>
      </c>
      <c r="D6" s="3065" t="s">
        <v>3207</v>
      </c>
      <c r="E6" s="3064">
        <v>5</v>
      </c>
      <c r="F6" s="3066">
        <v>42887</v>
      </c>
      <c r="G6" s="3066">
        <v>44712</v>
      </c>
      <c r="H6" s="3064">
        <v>2920</v>
      </c>
      <c r="I6" s="3064">
        <v>746.06</v>
      </c>
      <c r="J6" s="3064">
        <v>7</v>
      </c>
    </row>
    <row r="7" spans="1:10">
      <c r="A7" s="3067">
        <v>61</v>
      </c>
      <c r="B7" s="3067">
        <v>87</v>
      </c>
      <c r="C7" s="3068" t="s">
        <v>3208</v>
      </c>
      <c r="D7" s="3068" t="s">
        <v>3209</v>
      </c>
      <c r="E7" s="3069">
        <v>5</v>
      </c>
      <c r="F7" s="3070">
        <v>42385</v>
      </c>
      <c r="G7" s="3070">
        <v>43115</v>
      </c>
      <c r="H7" s="3069">
        <v>22</v>
      </c>
      <c r="I7" s="3069">
        <v>8.0299999999999994</v>
      </c>
      <c r="J7" s="3069">
        <v>10</v>
      </c>
    </row>
    <row r="8" spans="1:10" s="2932" customFormat="1">
      <c r="A8" s="3059">
        <v>62</v>
      </c>
      <c r="B8" s="3059">
        <v>87</v>
      </c>
      <c r="C8" s="3065" t="s">
        <v>3210</v>
      </c>
      <c r="D8" s="3065" t="s">
        <v>3211</v>
      </c>
      <c r="E8" s="3064">
        <v>5</v>
      </c>
      <c r="F8" s="3066">
        <v>42236</v>
      </c>
      <c r="G8" s="3066">
        <v>44093</v>
      </c>
      <c r="H8" s="3064">
        <v>70</v>
      </c>
      <c r="I8" s="3064">
        <v>25.55</v>
      </c>
      <c r="J8" s="3064">
        <v>10</v>
      </c>
    </row>
    <row r="9" spans="1:10">
      <c r="A9" s="3067">
        <v>63</v>
      </c>
      <c r="B9" s="3067">
        <v>87</v>
      </c>
      <c r="C9" s="3068" t="s">
        <v>3212</v>
      </c>
      <c r="D9" s="3068" t="s">
        <v>3213</v>
      </c>
      <c r="E9" s="3069">
        <v>50</v>
      </c>
      <c r="F9" s="3070"/>
      <c r="G9" s="3070"/>
      <c r="H9" s="3069">
        <v>6735</v>
      </c>
      <c r="I9" s="3069">
        <v>0</v>
      </c>
      <c r="J9" s="3069"/>
    </row>
    <row r="10" spans="1:10">
      <c r="A10" s="3059">
        <v>64</v>
      </c>
      <c r="B10" s="3059">
        <v>87</v>
      </c>
      <c r="C10" s="3065" t="s">
        <v>3214</v>
      </c>
      <c r="D10" s="3065" t="s">
        <v>3215</v>
      </c>
      <c r="E10" s="3064">
        <v>20</v>
      </c>
      <c r="F10" s="3066">
        <v>37257</v>
      </c>
      <c r="G10" s="3066">
        <v>44561</v>
      </c>
      <c r="H10" s="3064">
        <v>5750</v>
      </c>
      <c r="I10" s="3064">
        <v>447.03</v>
      </c>
      <c r="J10" s="3064">
        <v>2.13</v>
      </c>
    </row>
    <row r="11" spans="1:10" s="2932" customFormat="1">
      <c r="A11" s="3059">
        <v>65</v>
      </c>
      <c r="B11" s="3059">
        <v>87</v>
      </c>
      <c r="C11" s="3065" t="s">
        <v>3216</v>
      </c>
      <c r="D11" s="3065" t="s">
        <v>3215</v>
      </c>
      <c r="E11" s="3064" t="s">
        <v>3217</v>
      </c>
      <c r="F11" s="3066">
        <v>43009</v>
      </c>
      <c r="G11" s="3066">
        <v>44439</v>
      </c>
      <c r="H11" s="3064">
        <v>83</v>
      </c>
      <c r="I11" s="3064">
        <v>30.3</v>
      </c>
      <c r="J11" s="3064">
        <v>10</v>
      </c>
    </row>
    <row r="12" spans="1:10" s="2932" customFormat="1">
      <c r="A12" s="3067">
        <v>66</v>
      </c>
      <c r="B12" s="3067">
        <v>87</v>
      </c>
      <c r="C12" s="3068" t="s">
        <v>3218</v>
      </c>
      <c r="D12" s="3068" t="s">
        <v>3219</v>
      </c>
      <c r="E12" s="3069" t="s">
        <v>3220</v>
      </c>
      <c r="F12" s="3070" t="s">
        <v>3221</v>
      </c>
      <c r="G12" s="3070" t="s">
        <v>3222</v>
      </c>
      <c r="H12" s="3069">
        <v>238</v>
      </c>
      <c r="I12" s="3069">
        <v>69.5</v>
      </c>
      <c r="J12" s="3069">
        <v>8</v>
      </c>
    </row>
    <row r="13" spans="1:10" s="2932" customFormat="1">
      <c r="A13" s="3067">
        <v>67</v>
      </c>
      <c r="B13" s="3067">
        <v>87</v>
      </c>
      <c r="C13" s="3068" t="s">
        <v>3223</v>
      </c>
      <c r="D13" s="3068" t="s">
        <v>3215</v>
      </c>
      <c r="E13" s="3069">
        <v>2</v>
      </c>
      <c r="F13" s="3070">
        <v>42505</v>
      </c>
      <c r="G13" s="3070">
        <v>43234</v>
      </c>
      <c r="H13" s="3069">
        <v>92.2</v>
      </c>
      <c r="I13" s="3069">
        <v>6.73</v>
      </c>
      <c r="J13" s="3069">
        <v>2</v>
      </c>
    </row>
    <row r="14" spans="1:10" s="2932" customFormat="1">
      <c r="A14" s="3067">
        <v>68</v>
      </c>
      <c r="B14" s="3067">
        <v>87</v>
      </c>
      <c r="C14" s="3068" t="s">
        <v>3224</v>
      </c>
      <c r="D14" s="3068" t="s">
        <v>3219</v>
      </c>
      <c r="E14" s="3069">
        <v>2</v>
      </c>
      <c r="F14" s="3070">
        <v>42475</v>
      </c>
      <c r="G14" s="3070">
        <v>43204</v>
      </c>
      <c r="H14" s="3069">
        <v>1072.5</v>
      </c>
      <c r="I14" s="3069">
        <v>313.17</v>
      </c>
      <c r="J14" s="3069">
        <v>8</v>
      </c>
    </row>
    <row r="15" spans="1:10">
      <c r="A15" s="3067">
        <v>69</v>
      </c>
      <c r="B15" s="3067">
        <v>87</v>
      </c>
      <c r="C15" s="3068" t="s">
        <v>3225</v>
      </c>
      <c r="D15" s="3068" t="s">
        <v>3226</v>
      </c>
      <c r="E15" s="3069">
        <v>2</v>
      </c>
      <c r="F15" s="3070">
        <v>42475</v>
      </c>
      <c r="G15" s="3070">
        <v>43204</v>
      </c>
      <c r="H15" s="3069">
        <v>1072.5</v>
      </c>
      <c r="I15" s="3069">
        <v>313.17</v>
      </c>
      <c r="J15" s="3069">
        <v>8</v>
      </c>
    </row>
    <row r="16" spans="1:10">
      <c r="A16" s="3059">
        <v>70</v>
      </c>
      <c r="B16" s="3059">
        <v>87</v>
      </c>
      <c r="C16" s="3065" t="s">
        <v>3227</v>
      </c>
      <c r="D16" s="3065" t="s">
        <v>3228</v>
      </c>
      <c r="E16" s="3064">
        <v>5</v>
      </c>
      <c r="F16" s="3066">
        <v>42536</v>
      </c>
      <c r="G16" s="3066">
        <v>44361</v>
      </c>
      <c r="H16" s="3064">
        <v>365</v>
      </c>
      <c r="I16" s="3064">
        <v>96.59</v>
      </c>
      <c r="J16" s="3064">
        <v>7.25</v>
      </c>
    </row>
    <row r="17" spans="1:10">
      <c r="A17" s="3059">
        <v>71</v>
      </c>
      <c r="B17" s="3059">
        <v>87</v>
      </c>
      <c r="C17" s="3065" t="s">
        <v>3229</v>
      </c>
      <c r="D17" s="3065" t="s">
        <v>3230</v>
      </c>
      <c r="E17" s="3064">
        <v>10</v>
      </c>
      <c r="F17" s="3066">
        <v>40648</v>
      </c>
      <c r="G17" s="3066">
        <v>44300</v>
      </c>
      <c r="H17" s="3064">
        <v>1626</v>
      </c>
      <c r="I17" s="3064">
        <v>293.18</v>
      </c>
      <c r="J17" s="3064">
        <v>4.9400000000000004</v>
      </c>
    </row>
    <row r="18" spans="1:10">
      <c r="A18" s="3059">
        <v>72</v>
      </c>
      <c r="B18" s="3059">
        <v>87</v>
      </c>
      <c r="C18" s="3065" t="s">
        <v>3231</v>
      </c>
      <c r="D18" s="3065" t="s">
        <v>3230</v>
      </c>
      <c r="E18" s="3064">
        <v>10</v>
      </c>
      <c r="F18" s="3066">
        <v>40634</v>
      </c>
      <c r="G18" s="3066">
        <v>43935</v>
      </c>
      <c r="H18" s="3064">
        <v>2720</v>
      </c>
      <c r="I18" s="3064">
        <v>291.88</v>
      </c>
      <c r="J18" s="3064">
        <v>2.94</v>
      </c>
    </row>
    <row r="19" spans="1:10">
      <c r="A19" s="3071">
        <v>73</v>
      </c>
      <c r="B19" s="3059">
        <v>87</v>
      </c>
      <c r="C19" s="3071" t="s">
        <v>3232</v>
      </c>
      <c r="D19" s="3071" t="s">
        <v>3233</v>
      </c>
      <c r="E19" s="3071">
        <v>5</v>
      </c>
      <c r="F19" s="3066">
        <v>43009</v>
      </c>
      <c r="G19" s="3066">
        <v>44834</v>
      </c>
      <c r="H19" s="3071">
        <v>570</v>
      </c>
      <c r="I19" s="3071">
        <v>62.42</v>
      </c>
      <c r="J19" s="3071">
        <v>3</v>
      </c>
    </row>
    <row r="22" spans="1:10">
      <c r="F22" s="2931" t="s">
        <v>3246</v>
      </c>
      <c r="G22">
        <f>I3+I4+I6+I8+I10+I11+I16+I17+I18+I19</f>
        <v>3277.2100000000005</v>
      </c>
    </row>
    <row r="23" spans="1:10">
      <c r="F23" s="2931" t="s">
        <v>3242</v>
      </c>
      <c r="G23">
        <f>H3+H4+H6+H8+H10+H11+H16+H17+H18+H19</f>
        <v>18181.37</v>
      </c>
    </row>
    <row r="24" spans="1:10">
      <c r="F24" s="2931" t="s">
        <v>3243</v>
      </c>
      <c r="G24" s="3036">
        <v>44834</v>
      </c>
    </row>
    <row r="25" spans="1:10">
      <c r="F25" s="2931" t="s">
        <v>3244</v>
      </c>
      <c r="G25">
        <v>4.8899999999999997</v>
      </c>
    </row>
    <row r="26" spans="1:10">
      <c r="F26" s="2931" t="s">
        <v>3245</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7" workbookViewId="0">
      <selection activeCell="H56" sqref="H56"/>
    </sheetView>
  </sheetViews>
  <sheetFormatPr defaultRowHeight="13.5"/>
  <cols>
    <col min="6" max="8" width="15.625" bestFit="1" customWidth="1"/>
  </cols>
  <sheetData>
    <row r="1" spans="1:10">
      <c r="A1" s="2973" t="s">
        <v>3081</v>
      </c>
      <c r="B1" s="2973" t="s">
        <v>3082</v>
      </c>
      <c r="C1" s="2977" t="s">
        <v>3083</v>
      </c>
      <c r="D1" s="2977" t="s">
        <v>3084</v>
      </c>
      <c r="E1" s="3406" t="s">
        <v>3085</v>
      </c>
      <c r="F1" s="3406" t="s">
        <v>3086</v>
      </c>
      <c r="G1" s="3406" t="s">
        <v>3087</v>
      </c>
      <c r="H1" s="3406" t="s">
        <v>3088</v>
      </c>
      <c r="I1" s="2973" t="s">
        <v>3089</v>
      </c>
      <c r="J1" s="2974" t="s">
        <v>3090</v>
      </c>
    </row>
    <row r="2" spans="1:10" ht="14.25" thickBot="1">
      <c r="A2" s="2975"/>
      <c r="B2" s="2975"/>
      <c r="C2" s="2979"/>
      <c r="D2" s="2979"/>
      <c r="E2" s="3407"/>
      <c r="F2" s="3407"/>
      <c r="G2" s="3407"/>
      <c r="H2" s="3407"/>
      <c r="I2" s="2975" t="s">
        <v>3091</v>
      </c>
      <c r="J2" s="2976" t="s">
        <v>3092</v>
      </c>
    </row>
    <row r="3" spans="1:10" s="2932" customFormat="1">
      <c r="A3" s="2999">
        <v>1</v>
      </c>
      <c r="B3" s="2999">
        <v>24</v>
      </c>
      <c r="C3" s="3000" t="s">
        <v>3093</v>
      </c>
      <c r="D3" s="3000" t="s">
        <v>3094</v>
      </c>
      <c r="E3" s="3001">
        <v>6</v>
      </c>
      <c r="F3" s="3002">
        <v>40909</v>
      </c>
      <c r="G3" s="3002">
        <v>43100</v>
      </c>
      <c r="H3" s="3001">
        <v>154.19999999999999</v>
      </c>
      <c r="I3" s="3001">
        <v>30.96</v>
      </c>
      <c r="J3" s="3035">
        <v>5.5</v>
      </c>
    </row>
    <row r="4" spans="1:10" s="2932" customFormat="1">
      <c r="A4" s="2999">
        <v>2</v>
      </c>
      <c r="B4" s="2999">
        <v>64</v>
      </c>
      <c r="C4" s="3000" t="s">
        <v>3095</v>
      </c>
      <c r="D4" s="3000" t="s">
        <v>3096</v>
      </c>
      <c r="E4" s="3001">
        <v>5</v>
      </c>
      <c r="F4" s="3002">
        <v>41487</v>
      </c>
      <c r="G4" s="3002">
        <v>43312</v>
      </c>
      <c r="H4" s="3001">
        <v>1055.8</v>
      </c>
      <c r="I4" s="3001">
        <v>281.32</v>
      </c>
      <c r="J4" s="3035">
        <v>7.3</v>
      </c>
    </row>
    <row r="5" spans="1:10" s="2932" customFormat="1">
      <c r="A5" s="2999">
        <v>3</v>
      </c>
      <c r="B5" s="2999">
        <v>66</v>
      </c>
      <c r="C5" s="3000" t="s">
        <v>3097</v>
      </c>
      <c r="D5" s="3000" t="s">
        <v>3098</v>
      </c>
      <c r="E5" s="3001">
        <v>6</v>
      </c>
      <c r="F5" s="3002">
        <v>41091</v>
      </c>
      <c r="G5" s="3002">
        <v>43281</v>
      </c>
      <c r="H5" s="3001">
        <v>1214.4100000000001</v>
      </c>
      <c r="I5" s="3001">
        <v>203.9</v>
      </c>
      <c r="J5" s="3035">
        <v>4.5999999999999996</v>
      </c>
    </row>
    <row r="6" spans="1:10" s="2932" customFormat="1">
      <c r="A6" s="2999">
        <v>5</v>
      </c>
      <c r="B6" s="2999">
        <v>68</v>
      </c>
      <c r="C6" s="3000" t="s">
        <v>3099</v>
      </c>
      <c r="D6" s="3000" t="s">
        <v>3100</v>
      </c>
      <c r="E6" s="3001" t="s">
        <v>3101</v>
      </c>
      <c r="F6" s="3002">
        <v>39904</v>
      </c>
      <c r="G6" s="3002">
        <v>43235</v>
      </c>
      <c r="H6" s="3001">
        <v>860</v>
      </c>
      <c r="I6" s="3001">
        <v>114.89</v>
      </c>
      <c r="J6" s="3035">
        <v>3.66</v>
      </c>
    </row>
    <row r="7" spans="1:10" s="2939" customFormat="1">
      <c r="A7" s="2987">
        <v>6</v>
      </c>
      <c r="B7" s="2987">
        <v>68</v>
      </c>
      <c r="C7" s="2988" t="s">
        <v>3102</v>
      </c>
      <c r="D7" s="2988" t="s">
        <v>3103</v>
      </c>
      <c r="E7" s="2989">
        <v>20</v>
      </c>
      <c r="F7" s="2990">
        <v>39203</v>
      </c>
      <c r="G7" s="2990">
        <v>48213</v>
      </c>
      <c r="H7" s="2989">
        <v>590</v>
      </c>
      <c r="I7" s="2989">
        <v>9.48</v>
      </c>
      <c r="J7" s="3037">
        <v>0.44</v>
      </c>
    </row>
    <row r="8" spans="1:10" s="2932" customFormat="1">
      <c r="A8" s="2999">
        <v>7</v>
      </c>
      <c r="B8" s="2999">
        <v>68</v>
      </c>
      <c r="C8" s="3000" t="s">
        <v>3104</v>
      </c>
      <c r="D8" s="3000" t="s">
        <v>3105</v>
      </c>
      <c r="E8" s="3001">
        <v>6</v>
      </c>
      <c r="F8" s="3002">
        <v>40940</v>
      </c>
      <c r="G8" s="3002">
        <v>43131</v>
      </c>
      <c r="H8" s="3001">
        <v>880</v>
      </c>
      <c r="I8" s="3001">
        <v>64.239999999999995</v>
      </c>
      <c r="J8" s="3035">
        <v>2</v>
      </c>
    </row>
    <row r="9" spans="1:10" s="2932" customFormat="1">
      <c r="A9" s="2999">
        <v>8</v>
      </c>
      <c r="B9" s="2999">
        <v>69</v>
      </c>
      <c r="C9" s="3000" t="s">
        <v>3106</v>
      </c>
      <c r="D9" s="3000" t="s">
        <v>3107</v>
      </c>
      <c r="E9" s="3001">
        <v>9</v>
      </c>
      <c r="F9" s="3002">
        <v>39924</v>
      </c>
      <c r="G9" s="3002">
        <v>43210</v>
      </c>
      <c r="H9" s="3001">
        <v>800.8</v>
      </c>
      <c r="I9" s="3001">
        <v>203.59</v>
      </c>
      <c r="J9" s="3035" t="s">
        <v>3108</v>
      </c>
    </row>
    <row r="10" spans="1:10" s="2932" customFormat="1">
      <c r="A10" s="2999">
        <v>9</v>
      </c>
      <c r="B10" s="2999">
        <v>69</v>
      </c>
      <c r="C10" s="3000" t="s">
        <v>3109</v>
      </c>
      <c r="D10" s="3000" t="s">
        <v>3110</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3113</v>
      </c>
      <c r="D12" s="3033" t="s">
        <v>3114</v>
      </c>
      <c r="E12" s="2971">
        <v>5</v>
      </c>
      <c r="F12" s="3034">
        <v>42005</v>
      </c>
      <c r="G12" s="3034">
        <v>43830</v>
      </c>
      <c r="H12" s="2971">
        <v>716.2</v>
      </c>
      <c r="I12" s="2971">
        <v>261.41000000000003</v>
      </c>
      <c r="J12" s="2972">
        <v>10</v>
      </c>
    </row>
    <row r="13" spans="1:10">
      <c r="A13" s="2970">
        <v>12</v>
      </c>
      <c r="B13" s="2970">
        <v>73</v>
      </c>
      <c r="C13" s="3033" t="s">
        <v>3115</v>
      </c>
      <c r="D13" s="3033" t="s">
        <v>3116</v>
      </c>
      <c r="E13" s="2971">
        <v>5</v>
      </c>
      <c r="F13" s="3034">
        <v>42111</v>
      </c>
      <c r="G13" s="3034">
        <v>43937</v>
      </c>
      <c r="H13" s="2971">
        <v>119</v>
      </c>
      <c r="I13" s="2971">
        <v>31.27</v>
      </c>
      <c r="J13" s="2972">
        <v>7.2</v>
      </c>
    </row>
    <row r="14" spans="1:10">
      <c r="A14" s="2970">
        <v>13</v>
      </c>
      <c r="B14" s="2970">
        <v>73</v>
      </c>
      <c r="C14" s="3033" t="s">
        <v>3117</v>
      </c>
      <c r="D14" s="3033" t="s">
        <v>3118</v>
      </c>
      <c r="E14" s="2971">
        <v>5</v>
      </c>
      <c r="F14" s="3034">
        <v>42111</v>
      </c>
      <c r="G14" s="3034">
        <v>43937</v>
      </c>
      <c r="H14" s="2971">
        <v>642.79999999999995</v>
      </c>
      <c r="I14" s="2971">
        <v>150.16</v>
      </c>
      <c r="J14" s="2972">
        <v>6.4</v>
      </c>
    </row>
    <row r="15" spans="1:10">
      <c r="A15" s="2970">
        <v>14</v>
      </c>
      <c r="B15" s="2970">
        <v>77</v>
      </c>
      <c r="C15" s="3033" t="s">
        <v>3119</v>
      </c>
      <c r="D15" s="3033" t="s">
        <v>3120</v>
      </c>
      <c r="E15" s="2971">
        <v>5</v>
      </c>
      <c r="F15" s="3034">
        <v>42370</v>
      </c>
      <c r="G15" s="3034">
        <v>44196</v>
      </c>
      <c r="H15" s="2971">
        <v>561.4</v>
      </c>
      <c r="I15" s="2971">
        <v>122.95</v>
      </c>
      <c r="J15" s="2972">
        <v>6</v>
      </c>
    </row>
    <row r="16" spans="1:10">
      <c r="A16" s="2970">
        <v>15</v>
      </c>
      <c r="B16" s="2970">
        <v>77</v>
      </c>
      <c r="C16" s="3033" t="s">
        <v>3121</v>
      </c>
      <c r="D16" s="3033" t="s">
        <v>3122</v>
      </c>
      <c r="E16" s="2971">
        <v>5</v>
      </c>
      <c r="F16" s="3034">
        <v>42491</v>
      </c>
      <c r="G16" s="3034">
        <v>44316</v>
      </c>
      <c r="H16" s="2971">
        <v>748.4</v>
      </c>
      <c r="I16" s="2971">
        <v>204.87</v>
      </c>
      <c r="J16" s="2972">
        <v>7.5</v>
      </c>
    </row>
    <row r="17" spans="1:10" s="2932" customFormat="1">
      <c r="A17" s="2999">
        <v>16</v>
      </c>
      <c r="B17" s="2999">
        <v>75</v>
      </c>
      <c r="C17" s="3000" t="s">
        <v>3123</v>
      </c>
      <c r="D17" s="3000" t="s">
        <v>3124</v>
      </c>
      <c r="E17" s="3001">
        <v>5</v>
      </c>
      <c r="F17" s="3002">
        <v>41214</v>
      </c>
      <c r="G17" s="3002">
        <v>43038</v>
      </c>
      <c r="H17" s="3001">
        <v>245.85</v>
      </c>
      <c r="I17" s="3001">
        <v>42.18</v>
      </c>
      <c r="J17" s="3035">
        <v>4.7</v>
      </c>
    </row>
    <row r="18" spans="1:10" s="2932" customFormat="1">
      <c r="A18" s="2999">
        <v>17</v>
      </c>
      <c r="B18" s="2999">
        <v>75</v>
      </c>
      <c r="C18" s="3000" t="s">
        <v>3125</v>
      </c>
      <c r="D18" s="3000" t="s">
        <v>3126</v>
      </c>
      <c r="E18" s="3001">
        <v>5</v>
      </c>
      <c r="F18" s="3002">
        <v>41228</v>
      </c>
      <c r="G18" s="3002">
        <v>43053</v>
      </c>
      <c r="H18" s="3001">
        <v>245.85</v>
      </c>
      <c r="I18" s="3001">
        <v>42.18</v>
      </c>
      <c r="J18" s="3035">
        <v>4.7</v>
      </c>
    </row>
    <row r="19" spans="1:10">
      <c r="A19" s="2970">
        <v>18</v>
      </c>
      <c r="B19" s="2970">
        <v>76</v>
      </c>
      <c r="C19" s="3033" t="s">
        <v>3127</v>
      </c>
      <c r="D19" s="3033" t="s">
        <v>3128</v>
      </c>
      <c r="E19" s="2971">
        <v>5</v>
      </c>
      <c r="F19" s="3034">
        <v>42917</v>
      </c>
      <c r="G19" s="3034">
        <v>44742</v>
      </c>
      <c r="H19" s="2971">
        <f>面积整理!D38</f>
        <v>516.79999999999995</v>
      </c>
      <c r="I19" s="2971">
        <v>96.96</v>
      </c>
      <c r="J19" s="2972">
        <v>5</v>
      </c>
    </row>
    <row r="20" spans="1:10">
      <c r="A20" s="2970">
        <v>19</v>
      </c>
      <c r="B20" s="2970">
        <v>75</v>
      </c>
      <c r="C20" s="3033" t="s">
        <v>3129</v>
      </c>
      <c r="D20" s="3033" t="s">
        <v>3130</v>
      </c>
      <c r="E20" s="2971">
        <v>5</v>
      </c>
      <c r="F20" s="3034">
        <v>42917</v>
      </c>
      <c r="G20" s="3034">
        <v>44742</v>
      </c>
      <c r="H20" s="3005">
        <v>516.79999999999995</v>
      </c>
      <c r="I20" s="2971">
        <v>94.32</v>
      </c>
      <c r="J20" s="2972">
        <v>5</v>
      </c>
    </row>
    <row r="21" spans="1:10" s="2939" customFormat="1">
      <c r="A21" s="2987">
        <v>20</v>
      </c>
      <c r="B21" s="2987">
        <v>74</v>
      </c>
      <c r="C21" s="2988" t="s">
        <v>3131</v>
      </c>
      <c r="D21" s="2988" t="s">
        <v>3103</v>
      </c>
      <c r="E21" s="2989">
        <v>20</v>
      </c>
      <c r="F21" s="2990">
        <v>39814</v>
      </c>
      <c r="G21" s="2990">
        <v>48213</v>
      </c>
      <c r="H21" s="2989">
        <v>1080.3</v>
      </c>
      <c r="I21" s="2989">
        <v>39.43</v>
      </c>
      <c r="J21" s="3037">
        <v>1</v>
      </c>
    </row>
    <row r="22" spans="1:10" s="2932" customFormat="1">
      <c r="A22" s="2999">
        <v>21</v>
      </c>
      <c r="B22" s="2999">
        <v>78</v>
      </c>
      <c r="C22" s="3000" t="s">
        <v>3132</v>
      </c>
      <c r="D22" s="3000" t="s">
        <v>3133</v>
      </c>
      <c r="E22" s="3001" t="s">
        <v>1330</v>
      </c>
      <c r="F22" s="3002">
        <v>43009</v>
      </c>
      <c r="G22" s="3002">
        <v>43100</v>
      </c>
      <c r="H22" s="3001">
        <v>875</v>
      </c>
      <c r="I22" s="3001">
        <v>51.9</v>
      </c>
      <c r="J22" s="3035">
        <v>6.5</v>
      </c>
    </row>
    <row r="23" spans="1:10" s="2932" customFormat="1">
      <c r="A23" s="2999">
        <v>22</v>
      </c>
      <c r="B23" s="2999">
        <v>80</v>
      </c>
      <c r="C23" s="3000" t="s">
        <v>3134</v>
      </c>
      <c r="D23" s="3000" t="s">
        <v>3135</v>
      </c>
      <c r="E23" s="3001">
        <v>6</v>
      </c>
      <c r="F23" s="3002">
        <v>40909</v>
      </c>
      <c r="G23" s="3002">
        <v>43100</v>
      </c>
      <c r="H23" s="3001">
        <v>1680</v>
      </c>
      <c r="I23" s="3001">
        <v>294.33999999999997</v>
      </c>
      <c r="J23" s="3035">
        <v>4.8</v>
      </c>
    </row>
    <row r="24" spans="1:10">
      <c r="A24" s="2970">
        <v>23</v>
      </c>
      <c r="B24" s="2970">
        <v>79</v>
      </c>
      <c r="C24" s="3033" t="s">
        <v>3136</v>
      </c>
      <c r="D24" s="3033" t="s">
        <v>3137</v>
      </c>
      <c r="E24" s="2971">
        <v>5</v>
      </c>
      <c r="F24" s="3034">
        <v>42979</v>
      </c>
      <c r="G24" s="3034">
        <v>44804</v>
      </c>
      <c r="H24" s="2971">
        <v>1125</v>
      </c>
      <c r="I24" s="2971">
        <v>615.94000000000005</v>
      </c>
      <c r="J24" s="2972">
        <v>15</v>
      </c>
    </row>
    <row r="25" spans="1:10">
      <c r="A25" s="2970">
        <v>24</v>
      </c>
      <c r="B25" s="2970">
        <v>79</v>
      </c>
      <c r="C25" s="3033" t="s">
        <v>3138</v>
      </c>
      <c r="D25" s="3033" t="s">
        <v>3139</v>
      </c>
      <c r="E25" s="2971">
        <v>5</v>
      </c>
      <c r="F25" s="3034">
        <v>41665</v>
      </c>
      <c r="G25" s="3034">
        <v>43479</v>
      </c>
      <c r="H25" s="2971">
        <v>1160.45</v>
      </c>
      <c r="I25" s="2971">
        <v>436.27</v>
      </c>
      <c r="J25" s="2972">
        <v>10.3</v>
      </c>
    </row>
    <row r="26" spans="1:10">
      <c r="A26" s="2970">
        <v>25</v>
      </c>
      <c r="B26" s="2970">
        <v>79</v>
      </c>
      <c r="C26" s="3033" t="s">
        <v>3138</v>
      </c>
      <c r="D26" s="3033" t="s">
        <v>3140</v>
      </c>
      <c r="E26" s="2971">
        <v>5</v>
      </c>
      <c r="F26" s="3034">
        <v>41665</v>
      </c>
      <c r="G26" s="3034">
        <v>43479</v>
      </c>
      <c r="H26" s="2971">
        <v>45.62</v>
      </c>
      <c r="I26" s="2971">
        <v>17.149999999999999</v>
      </c>
      <c r="J26" s="2972">
        <v>10.3</v>
      </c>
    </row>
    <row r="27" spans="1:10">
      <c r="A27" s="2970">
        <v>26</v>
      </c>
      <c r="B27" s="2970">
        <v>79</v>
      </c>
      <c r="C27" s="3033" t="s">
        <v>3138</v>
      </c>
      <c r="D27" s="3033" t="s">
        <v>3141</v>
      </c>
      <c r="E27" s="2971">
        <v>5</v>
      </c>
      <c r="F27" s="3034">
        <v>41665</v>
      </c>
      <c r="G27" s="3034">
        <v>43479</v>
      </c>
      <c r="H27" s="2971">
        <v>209.03</v>
      </c>
      <c r="I27" s="2971">
        <v>78.58</v>
      </c>
      <c r="J27" s="2972">
        <v>10.3</v>
      </c>
    </row>
    <row r="28" spans="1:10">
      <c r="A28" s="2970">
        <v>27</v>
      </c>
      <c r="B28" s="2970">
        <v>80</v>
      </c>
      <c r="C28" s="3033" t="s">
        <v>3142</v>
      </c>
      <c r="D28" s="3033" t="s">
        <v>3143</v>
      </c>
      <c r="E28" s="2971">
        <v>5</v>
      </c>
      <c r="F28" s="3034">
        <v>42962</v>
      </c>
      <c r="G28" s="3034">
        <v>44787</v>
      </c>
      <c r="H28" s="2971">
        <v>1300</v>
      </c>
      <c r="I28" s="2971">
        <v>348.76</v>
      </c>
      <c r="J28" s="2972">
        <v>7.35</v>
      </c>
    </row>
    <row r="29" spans="1:10">
      <c r="A29" s="2970">
        <v>29</v>
      </c>
      <c r="B29" s="2970">
        <v>80</v>
      </c>
      <c r="C29" s="3033" t="s">
        <v>3144</v>
      </c>
      <c r="D29" s="3033" t="s">
        <v>3145</v>
      </c>
      <c r="E29" s="2971">
        <v>2</v>
      </c>
      <c r="F29" s="3034">
        <v>42979</v>
      </c>
      <c r="G29" s="3034">
        <v>43708</v>
      </c>
      <c r="H29" s="2971">
        <v>160.80000000000001</v>
      </c>
      <c r="I29" s="2971">
        <v>44.37</v>
      </c>
      <c r="J29" s="2972">
        <v>7.56</v>
      </c>
    </row>
    <row r="30" spans="1:10" s="2932" customFormat="1">
      <c r="A30" s="2999">
        <v>30</v>
      </c>
      <c r="B30" s="2999">
        <v>80</v>
      </c>
      <c r="C30" s="3000" t="s">
        <v>3146</v>
      </c>
      <c r="D30" s="3000" t="s">
        <v>3147</v>
      </c>
      <c r="E30" s="3001">
        <v>1</v>
      </c>
      <c r="F30" s="3002">
        <v>42750</v>
      </c>
      <c r="G30" s="3002">
        <v>43114</v>
      </c>
      <c r="H30" s="3001">
        <v>150</v>
      </c>
      <c r="I30" s="3001">
        <v>39.64</v>
      </c>
      <c r="J30" s="3035">
        <v>7.24</v>
      </c>
    </row>
    <row r="31" spans="1:10">
      <c r="A31" s="2970">
        <v>31</v>
      </c>
      <c r="B31" s="2970">
        <v>80</v>
      </c>
      <c r="C31" s="3033" t="s">
        <v>3148</v>
      </c>
      <c r="D31" s="3033" t="s">
        <v>3149</v>
      </c>
      <c r="E31" s="2971">
        <v>3</v>
      </c>
      <c r="F31" s="3034">
        <v>42856</v>
      </c>
      <c r="G31" s="3034">
        <v>43951</v>
      </c>
      <c r="H31" s="2971">
        <v>266</v>
      </c>
      <c r="I31" s="2971">
        <v>71.17</v>
      </c>
      <c r="J31" s="2972">
        <v>7.33</v>
      </c>
    </row>
    <row r="32" spans="1:10">
      <c r="A32" s="2970">
        <v>32</v>
      </c>
      <c r="B32" s="2970">
        <v>80</v>
      </c>
      <c r="C32" s="3033" t="s">
        <v>3150</v>
      </c>
      <c r="D32" s="3033" t="s">
        <v>3151</v>
      </c>
      <c r="E32" s="2971">
        <v>2</v>
      </c>
      <c r="F32" s="3034">
        <v>42865</v>
      </c>
      <c r="G32" s="3034">
        <v>43594</v>
      </c>
      <c r="H32" s="2971">
        <v>407</v>
      </c>
      <c r="I32" s="2971">
        <v>106.22</v>
      </c>
      <c r="J32" s="2972">
        <v>7.15</v>
      </c>
    </row>
    <row r="33" spans="1:10" s="2932" customFormat="1">
      <c r="A33" s="2999">
        <v>33</v>
      </c>
      <c r="B33" s="2999">
        <v>80</v>
      </c>
      <c r="C33" s="3000" t="s">
        <v>3152</v>
      </c>
      <c r="D33" s="3000" t="s">
        <v>3153</v>
      </c>
      <c r="E33" s="3001">
        <v>1</v>
      </c>
      <c r="F33" s="3002">
        <v>42916</v>
      </c>
      <c r="G33" s="3002">
        <v>43280</v>
      </c>
      <c r="H33" s="3001">
        <v>335</v>
      </c>
      <c r="I33" s="3001">
        <v>89.26</v>
      </c>
      <c r="J33" s="3035">
        <v>7.3</v>
      </c>
    </row>
    <row r="34" spans="1:10">
      <c r="A34" s="2970">
        <v>34</v>
      </c>
      <c r="B34" s="2970">
        <v>80</v>
      </c>
      <c r="C34" s="3033" t="s">
        <v>3154</v>
      </c>
      <c r="D34" s="3033" t="s">
        <v>3155</v>
      </c>
      <c r="E34" s="2971">
        <v>3</v>
      </c>
      <c r="F34" s="3034">
        <v>42449</v>
      </c>
      <c r="G34" s="3034">
        <v>43543</v>
      </c>
      <c r="H34" s="2971">
        <v>266</v>
      </c>
      <c r="I34" s="2971">
        <v>71.849999999999994</v>
      </c>
      <c r="J34" s="2972">
        <v>7.4</v>
      </c>
    </row>
    <row r="35" spans="1:10">
      <c r="A35" s="2970">
        <v>35</v>
      </c>
      <c r="B35" s="2970">
        <v>80</v>
      </c>
      <c r="C35" s="3033" t="s">
        <v>3156</v>
      </c>
      <c r="D35" s="3033" t="s">
        <v>3157</v>
      </c>
      <c r="E35" s="2971">
        <v>5</v>
      </c>
      <c r="F35" s="3034">
        <v>42444</v>
      </c>
      <c r="G35" s="3034">
        <v>44269</v>
      </c>
      <c r="H35" s="2971">
        <v>1800</v>
      </c>
      <c r="I35" s="2971">
        <v>446.76</v>
      </c>
      <c r="J35" s="2972">
        <v>6.8</v>
      </c>
    </row>
    <row r="36" spans="1:10" s="2932" customFormat="1">
      <c r="A36" s="2999">
        <v>36</v>
      </c>
      <c r="B36" s="2999">
        <v>80</v>
      </c>
      <c r="C36" s="3000" t="s">
        <v>3158</v>
      </c>
      <c r="D36" s="3000" t="s">
        <v>3159</v>
      </c>
      <c r="E36" s="3001">
        <v>1</v>
      </c>
      <c r="F36" s="3002">
        <v>43028</v>
      </c>
      <c r="G36" s="3002">
        <v>43392</v>
      </c>
      <c r="H36" s="3001">
        <v>305</v>
      </c>
      <c r="I36" s="3001">
        <v>90.17</v>
      </c>
      <c r="J36" s="3035">
        <v>8.1</v>
      </c>
    </row>
    <row r="37" spans="1:10">
      <c r="A37" s="2970">
        <v>37</v>
      </c>
      <c r="B37" s="2970">
        <v>81</v>
      </c>
      <c r="C37" s="3033" t="s">
        <v>3160</v>
      </c>
      <c r="D37" s="3033" t="s">
        <v>3161</v>
      </c>
      <c r="E37" s="2971">
        <v>5</v>
      </c>
      <c r="F37" s="3034">
        <v>43076</v>
      </c>
      <c r="G37" s="3034">
        <v>44901</v>
      </c>
      <c r="H37" s="2971">
        <v>398.09</v>
      </c>
      <c r="I37" s="2971">
        <v>181.63</v>
      </c>
      <c r="J37" s="2972">
        <v>12.5</v>
      </c>
    </row>
    <row r="38" spans="1:10">
      <c r="A38" s="2970">
        <v>38</v>
      </c>
      <c r="B38" s="2970">
        <v>81</v>
      </c>
      <c r="C38" s="3033" t="s">
        <v>3162</v>
      </c>
      <c r="D38" s="3033" t="s">
        <v>3163</v>
      </c>
      <c r="E38" s="2971">
        <v>5</v>
      </c>
      <c r="F38" s="3034">
        <v>42109</v>
      </c>
      <c r="G38" s="3034">
        <v>43935</v>
      </c>
      <c r="H38" s="2971">
        <v>475</v>
      </c>
      <c r="I38" s="2971">
        <v>116.16</v>
      </c>
      <c r="J38" s="2972">
        <v>6.7</v>
      </c>
    </row>
    <row r="39" spans="1:10">
      <c r="A39" s="2970">
        <v>39</v>
      </c>
      <c r="B39" s="2970">
        <v>81</v>
      </c>
      <c r="C39" s="3033" t="s">
        <v>3164</v>
      </c>
      <c r="D39" s="3033" t="s">
        <v>3165</v>
      </c>
      <c r="E39" s="2971">
        <v>5</v>
      </c>
      <c r="F39" s="3034">
        <v>42200</v>
      </c>
      <c r="G39" s="3034">
        <v>44026</v>
      </c>
      <c r="H39" s="2971">
        <v>805</v>
      </c>
      <c r="I39" s="2971">
        <v>196.19</v>
      </c>
      <c r="J39" s="2972">
        <v>6.68</v>
      </c>
    </row>
    <row r="40" spans="1:10">
      <c r="A40" s="2970">
        <v>40</v>
      </c>
      <c r="B40" s="2970">
        <v>81</v>
      </c>
      <c r="C40" s="3033" t="s">
        <v>3166</v>
      </c>
      <c r="D40" s="3033" t="s">
        <v>3167</v>
      </c>
      <c r="E40" s="2971" t="s">
        <v>3168</v>
      </c>
      <c r="F40" s="3034">
        <v>42795</v>
      </c>
      <c r="G40" s="3034">
        <v>44026</v>
      </c>
      <c r="H40" s="2971">
        <v>146.12</v>
      </c>
      <c r="I40" s="2971">
        <v>48</v>
      </c>
      <c r="J40" s="2972">
        <v>9</v>
      </c>
    </row>
    <row r="41" spans="1:10">
      <c r="A41" s="2970">
        <v>41</v>
      </c>
      <c r="B41" s="2970">
        <v>81</v>
      </c>
      <c r="C41" s="3033" t="s">
        <v>3169</v>
      </c>
      <c r="D41" s="3033" t="s">
        <v>3170</v>
      </c>
      <c r="E41" s="2971">
        <v>5</v>
      </c>
      <c r="F41" s="3034">
        <v>42200</v>
      </c>
      <c r="G41" s="3034">
        <v>44026</v>
      </c>
      <c r="H41" s="2971">
        <v>50.96</v>
      </c>
      <c r="I41" s="2971">
        <v>12.42</v>
      </c>
      <c r="J41" s="2972">
        <v>6.68</v>
      </c>
    </row>
    <row r="42" spans="1:10">
      <c r="A42" s="2970">
        <v>42</v>
      </c>
      <c r="B42" s="2970">
        <v>81</v>
      </c>
      <c r="C42" s="3033" t="s">
        <v>3171</v>
      </c>
      <c r="D42" s="3033" t="s">
        <v>3172</v>
      </c>
      <c r="E42" s="2971">
        <v>5</v>
      </c>
      <c r="F42" s="3034">
        <v>42200</v>
      </c>
      <c r="G42" s="3034">
        <v>44026</v>
      </c>
      <c r="H42" s="2971">
        <v>68.7</v>
      </c>
      <c r="I42" s="2971">
        <v>10.96</v>
      </c>
      <c r="J42" s="2972">
        <v>4.37</v>
      </c>
    </row>
    <row r="43" spans="1:10">
      <c r="A43" s="2970">
        <v>43</v>
      </c>
      <c r="B43" s="2970">
        <v>81</v>
      </c>
      <c r="C43" s="3033" t="s">
        <v>3173</v>
      </c>
      <c r="D43" s="3033" t="s">
        <v>3174</v>
      </c>
      <c r="E43" s="2971">
        <v>5</v>
      </c>
      <c r="F43" s="3034">
        <v>42200</v>
      </c>
      <c r="G43" s="3034">
        <v>44026</v>
      </c>
      <c r="H43" s="2971">
        <v>104.59</v>
      </c>
      <c r="I43" s="2971">
        <v>25.49</v>
      </c>
      <c r="J43" s="2972">
        <v>6.68</v>
      </c>
    </row>
    <row r="44" spans="1:10">
      <c r="A44" s="2970">
        <v>44</v>
      </c>
      <c r="B44" s="2970">
        <v>81</v>
      </c>
      <c r="C44" s="3033" t="s">
        <v>3175</v>
      </c>
      <c r="D44" s="3033" t="s">
        <v>3176</v>
      </c>
      <c r="E44" s="2971">
        <v>5</v>
      </c>
      <c r="F44" s="3034">
        <v>42200</v>
      </c>
      <c r="G44" s="3034">
        <v>44026</v>
      </c>
      <c r="H44" s="2971">
        <v>49.07</v>
      </c>
      <c r="I44" s="2971">
        <v>7.83</v>
      </c>
      <c r="J44" s="2972">
        <v>4.37</v>
      </c>
    </row>
    <row r="45" spans="1:10">
      <c r="A45" s="2970">
        <v>45</v>
      </c>
      <c r="B45" s="2970">
        <v>81</v>
      </c>
      <c r="C45" s="3033" t="s">
        <v>3177</v>
      </c>
      <c r="D45" s="3033" t="s">
        <v>3178</v>
      </c>
      <c r="E45" s="2971">
        <v>5</v>
      </c>
      <c r="F45" s="3034">
        <v>42200</v>
      </c>
      <c r="G45" s="3034">
        <v>44026</v>
      </c>
      <c r="H45" s="2971">
        <v>34.89</v>
      </c>
      <c r="I45" s="2971">
        <v>5.56</v>
      </c>
      <c r="J45" s="2972">
        <v>4.37</v>
      </c>
    </row>
    <row r="46" spans="1:10">
      <c r="A46" s="2970">
        <v>46</v>
      </c>
      <c r="B46" s="2970">
        <v>81</v>
      </c>
      <c r="C46" s="3033" t="s">
        <v>3179</v>
      </c>
      <c r="D46" s="3033" t="s">
        <v>3180</v>
      </c>
      <c r="E46" s="2971" t="s">
        <v>3168</v>
      </c>
      <c r="F46" s="3034">
        <v>42795</v>
      </c>
      <c r="G46" s="3034">
        <v>44026</v>
      </c>
      <c r="H46" s="2971">
        <v>80.42</v>
      </c>
      <c r="I46" s="2971">
        <v>22.53</v>
      </c>
      <c r="J46" s="2972">
        <v>7.6769999999999996</v>
      </c>
    </row>
    <row r="47" spans="1:10">
      <c r="A47" s="2970">
        <v>47</v>
      </c>
      <c r="B47" s="2970">
        <v>81</v>
      </c>
      <c r="C47" s="3033" t="s">
        <v>3181</v>
      </c>
      <c r="D47" s="3033" t="s">
        <v>3182</v>
      </c>
      <c r="E47" s="2971" t="s">
        <v>3168</v>
      </c>
      <c r="F47" s="3034">
        <v>42795</v>
      </c>
      <c r="G47" s="3034">
        <v>44026</v>
      </c>
      <c r="H47" s="2971">
        <v>75.239999999999995</v>
      </c>
      <c r="I47" s="2971">
        <v>31.58</v>
      </c>
      <c r="J47" s="2972">
        <v>11.5</v>
      </c>
    </row>
    <row r="48" spans="1:10">
      <c r="A48" s="2970">
        <v>48</v>
      </c>
      <c r="B48" s="2970">
        <v>81</v>
      </c>
      <c r="C48" s="3033" t="s">
        <v>3183</v>
      </c>
      <c r="D48" s="3033" t="s">
        <v>3184</v>
      </c>
      <c r="E48" s="2971">
        <v>3</v>
      </c>
      <c r="F48" s="3034">
        <v>42200</v>
      </c>
      <c r="G48" s="3034">
        <v>43295</v>
      </c>
      <c r="H48" s="2971">
        <v>13.4</v>
      </c>
      <c r="I48" s="2971">
        <v>3.27</v>
      </c>
      <c r="J48" s="2972">
        <v>6.68</v>
      </c>
    </row>
    <row r="49" spans="1:10">
      <c r="A49" s="2970">
        <v>49</v>
      </c>
      <c r="B49" s="2970">
        <v>81</v>
      </c>
      <c r="C49" s="3033" t="s">
        <v>3185</v>
      </c>
      <c r="D49" s="3033" t="s">
        <v>3186</v>
      </c>
      <c r="E49" s="2971" t="s">
        <v>3168</v>
      </c>
      <c r="F49" s="3034">
        <v>42795</v>
      </c>
      <c r="G49" s="3034">
        <v>44026</v>
      </c>
      <c r="H49" s="2971">
        <v>83.1</v>
      </c>
      <c r="I49" s="2971">
        <v>21.33</v>
      </c>
      <c r="J49" s="2972">
        <v>7.6769999999999996</v>
      </c>
    </row>
    <row r="50" spans="1:10">
      <c r="A50" s="2970">
        <v>50</v>
      </c>
      <c r="B50" s="2970">
        <v>81</v>
      </c>
      <c r="C50" s="3033" t="s">
        <v>3187</v>
      </c>
      <c r="D50" s="3033" t="s">
        <v>3188</v>
      </c>
      <c r="E50" s="2971">
        <v>5</v>
      </c>
      <c r="F50" s="3034">
        <v>42200</v>
      </c>
      <c r="G50" s="3034">
        <v>44026</v>
      </c>
      <c r="H50" s="2971">
        <v>91.16</v>
      </c>
      <c r="I50" s="2971">
        <v>22.22</v>
      </c>
      <c r="J50" s="2972">
        <v>6.68</v>
      </c>
    </row>
    <row r="51" spans="1:10">
      <c r="A51" s="2970">
        <v>51</v>
      </c>
      <c r="B51" s="2970">
        <v>81</v>
      </c>
      <c r="C51" s="3033" t="s">
        <v>3189</v>
      </c>
      <c r="D51" s="3033" t="s">
        <v>3190</v>
      </c>
      <c r="E51" s="2971">
        <v>2</v>
      </c>
      <c r="F51" s="3034">
        <v>42200</v>
      </c>
      <c r="G51" s="3034">
        <v>44026</v>
      </c>
      <c r="H51" s="2971">
        <v>53.64</v>
      </c>
      <c r="I51" s="2971">
        <v>13.07</v>
      </c>
      <c r="J51" s="2972">
        <v>6.68</v>
      </c>
    </row>
    <row r="52" spans="1:10" s="2932" customFormat="1">
      <c r="A52" s="2999">
        <v>52</v>
      </c>
      <c r="B52" s="2999">
        <v>81</v>
      </c>
      <c r="C52" s="3000" t="s">
        <v>3191</v>
      </c>
      <c r="D52" s="3000" t="s">
        <v>3192</v>
      </c>
      <c r="E52" s="3001">
        <v>3</v>
      </c>
      <c r="F52" s="3002">
        <v>42200</v>
      </c>
      <c r="G52" s="3002">
        <v>43295</v>
      </c>
      <c r="H52" s="3001">
        <v>37.56</v>
      </c>
      <c r="I52" s="3001">
        <v>9.15</v>
      </c>
      <c r="J52" s="3035">
        <v>6.68</v>
      </c>
    </row>
    <row r="53" spans="1:10" s="2932" customFormat="1">
      <c r="A53" s="2999">
        <v>53</v>
      </c>
      <c r="B53" s="2999">
        <v>81</v>
      </c>
      <c r="C53" s="3000" t="s">
        <v>3193</v>
      </c>
      <c r="D53" s="3000" t="s">
        <v>3194</v>
      </c>
      <c r="E53" s="3001">
        <v>3</v>
      </c>
      <c r="F53" s="3002">
        <v>42200</v>
      </c>
      <c r="G53" s="3002">
        <v>43295</v>
      </c>
      <c r="H53" s="3001">
        <v>85.05</v>
      </c>
      <c r="I53" s="3001">
        <v>34.15</v>
      </c>
      <c r="J53" s="3035">
        <v>11</v>
      </c>
    </row>
    <row r="54" spans="1:10" s="2932" customFormat="1">
      <c r="A54" s="2999">
        <v>54</v>
      </c>
      <c r="B54" s="2999">
        <v>81</v>
      </c>
      <c r="C54" s="3000" t="s">
        <v>3195</v>
      </c>
      <c r="D54" s="3000" t="s">
        <v>3196</v>
      </c>
      <c r="E54" s="3001">
        <v>10</v>
      </c>
      <c r="F54" s="3002">
        <v>39814</v>
      </c>
      <c r="G54" s="3002">
        <v>43465</v>
      </c>
      <c r="H54" s="3001">
        <v>475</v>
      </c>
      <c r="I54" s="3001">
        <v>78.89</v>
      </c>
      <c r="J54" s="3035">
        <v>4.55</v>
      </c>
    </row>
    <row r="55" spans="1:10" s="2932" customFormat="1">
      <c r="A55" s="2999">
        <v>55</v>
      </c>
      <c r="B55" s="2999">
        <v>81</v>
      </c>
      <c r="C55" s="3000" t="s">
        <v>3197</v>
      </c>
      <c r="D55" s="3000" t="s">
        <v>3196</v>
      </c>
      <c r="E55" s="3001">
        <v>3</v>
      </c>
      <c r="F55" s="3002">
        <v>42370</v>
      </c>
      <c r="G55" s="3002">
        <v>43465</v>
      </c>
      <c r="H55" s="3001">
        <v>280</v>
      </c>
      <c r="I55" s="3001">
        <v>20.440000000000001</v>
      </c>
      <c r="J55" s="3035">
        <v>2</v>
      </c>
    </row>
    <row r="56" spans="1:10" s="2932" customFormat="1">
      <c r="A56" s="2999">
        <v>56</v>
      </c>
      <c r="B56" s="2999">
        <v>81</v>
      </c>
      <c r="C56" s="3000" t="s">
        <v>3198</v>
      </c>
      <c r="D56" s="3000" t="s">
        <v>3199</v>
      </c>
      <c r="E56" s="3001" t="s">
        <v>3200</v>
      </c>
      <c r="F56" s="3002">
        <v>39873</v>
      </c>
      <c r="G56" s="3002">
        <v>43100</v>
      </c>
      <c r="H56" s="3001">
        <v>810.21</v>
      </c>
      <c r="I56" s="3001">
        <v>100.55</v>
      </c>
      <c r="J56" s="3035">
        <v>3.4</v>
      </c>
    </row>
    <row r="57" spans="1:10">
      <c r="H57">
        <f>SUM(H3:H56)</f>
        <v>25430.709999999995</v>
      </c>
    </row>
    <row r="58" spans="1:10">
      <c r="F58" s="2931" t="s">
        <v>3248</v>
      </c>
      <c r="G58" s="2931" t="s">
        <v>3249</v>
      </c>
      <c r="H58" s="3038">
        <v>44901</v>
      </c>
    </row>
    <row r="59" spans="1:10">
      <c r="G59" s="2931" t="s">
        <v>3247</v>
      </c>
      <c r="H59">
        <f>I13+I14+I15+I16+I19+I20+I24+I25+I26+I27+I28+I29+I31+I32+I34+I35+I37+I38+I39+I40+I41+I42+I43+I44+I45+I46+I47+I48+I49+I50+I51</f>
        <v>3655.8399999999992</v>
      </c>
    </row>
    <row r="60" spans="1:10">
      <c r="G60" s="2931" t="s">
        <v>3250</v>
      </c>
      <c r="H60">
        <f>H12+H13+H14+H15+H16+H19+H20+H24+H25+H26+H27+H28+H29+H31+H32+H34+H35+H37+H38+H39+H40+H41+H42+H43+H44+H45+H46+H47+H48+H49+H50+H51</f>
        <v>13090.679999999998</v>
      </c>
    </row>
    <row r="61" spans="1:10">
      <c r="G61" s="3039" t="s">
        <v>3251</v>
      </c>
      <c r="H61">
        <f>ROUND(H59*10000/H60/365,2)</f>
        <v>7.65</v>
      </c>
    </row>
    <row r="62" spans="1:10">
      <c r="G62" s="3039" t="s">
        <v>3254</v>
      </c>
      <c r="H62">
        <v>5.07</v>
      </c>
    </row>
    <row r="64" spans="1:10">
      <c r="F64" s="2931" t="s">
        <v>3252</v>
      </c>
      <c r="G64" s="3039" t="s">
        <v>3253</v>
      </c>
      <c r="H64" s="3038">
        <v>48213</v>
      </c>
    </row>
    <row r="65" spans="6:8">
      <c r="G65" s="3039" t="s">
        <v>3255</v>
      </c>
      <c r="H65">
        <f>I7+I21</f>
        <v>48.91</v>
      </c>
    </row>
    <row r="66" spans="6:8">
      <c r="G66" s="3039" t="s">
        <v>3256</v>
      </c>
      <c r="H66">
        <f>H7+H21</f>
        <v>1670.3</v>
      </c>
    </row>
    <row r="67" spans="6:8">
      <c r="G67" s="3039" t="s">
        <v>3257</v>
      </c>
      <c r="H67">
        <f>ROUND(H65*10000/H66/365,2)</f>
        <v>0.8</v>
      </c>
    </row>
    <row r="68" spans="6:8">
      <c r="G68" s="3039" t="s">
        <v>3258</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A4" sqref="A4"/>
    </sheetView>
  </sheetViews>
  <sheetFormatPr defaultRowHeight="13.5"/>
  <cols>
    <col min="1" max="14" width="10.5" bestFit="1" customWidth="1"/>
    <col min="15" max="15" width="11.625" bestFit="1" customWidth="1"/>
  </cols>
  <sheetData>
    <row r="1" spans="1:15">
      <c r="A1" s="2931" t="s">
        <v>3326</v>
      </c>
      <c r="B1" s="2931" t="s">
        <v>3327</v>
      </c>
    </row>
    <row r="2" spans="1:15">
      <c r="A2">
        <f>'比较法-租金'!C50</f>
        <v>5.8</v>
      </c>
      <c r="B2" s="3058">
        <v>2.5000000000000001E-2</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5.8</v>
      </c>
      <c r="B4">
        <f>ROUND(A4*(1+$B$2),2)</f>
        <v>5.95</v>
      </c>
      <c r="C4">
        <f>ROUND(B4*(1+$B$2),2)</f>
        <v>6.1</v>
      </c>
      <c r="D4">
        <f>ROUND(C4*(1+$B$2),2)</f>
        <v>6.25</v>
      </c>
      <c r="E4">
        <f t="shared" ref="E4:O4" si="0">ROUND(D4*(1+$B$2),2)</f>
        <v>6.41</v>
      </c>
      <c r="F4">
        <f>ROUND(E4*(1+$B$2),2)</f>
        <v>6.57</v>
      </c>
      <c r="G4">
        <f t="shared" si="0"/>
        <v>6.73</v>
      </c>
      <c r="H4">
        <f t="shared" si="0"/>
        <v>6.9</v>
      </c>
      <c r="I4">
        <f t="shared" si="0"/>
        <v>7.07</v>
      </c>
      <c r="J4">
        <f t="shared" si="0"/>
        <v>7.25</v>
      </c>
      <c r="K4">
        <f t="shared" si="0"/>
        <v>7.43</v>
      </c>
      <c r="L4">
        <f t="shared" si="0"/>
        <v>7.62</v>
      </c>
      <c r="M4">
        <f t="shared" si="0"/>
        <v>7.81</v>
      </c>
      <c r="N4">
        <f>ROUND(M4*(1+$B$2)^1.14,2)</f>
        <v>8.0299999999999994</v>
      </c>
      <c r="O4">
        <f t="shared" si="0"/>
        <v>8.23</v>
      </c>
    </row>
    <row r="5" spans="1:15">
      <c r="A5" s="3048">
        <v>0.8</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9"/>
    </sheetView>
  </sheetViews>
  <sheetFormatPr defaultRowHeight="13.5"/>
  <cols>
    <col min="3" max="3" width="14.625" bestFit="1" customWidth="1"/>
    <col min="4" max="4" width="15.625" bestFit="1" customWidth="1"/>
    <col min="5" max="5" width="11.25" bestFit="1" customWidth="1"/>
    <col min="7" max="7" width="15.625" bestFit="1" customWidth="1"/>
  </cols>
  <sheetData>
    <row r="1" spans="1:7" ht="15.75">
      <c r="A1" s="3409" t="s">
        <v>3345</v>
      </c>
      <c r="B1" s="3409" t="s">
        <v>3344</v>
      </c>
      <c r="C1" s="3409" t="s">
        <v>3346</v>
      </c>
      <c r="D1" s="3409" t="s">
        <v>3347</v>
      </c>
      <c r="E1" s="3072" t="s">
        <v>3348</v>
      </c>
      <c r="F1" s="3072" t="s">
        <v>3349</v>
      </c>
      <c r="G1" s="3072" t="s">
        <v>3350</v>
      </c>
    </row>
    <row r="2" spans="1:7" ht="15.75">
      <c r="A2" s="3409"/>
      <c r="B2" s="3409"/>
      <c r="C2" s="3409"/>
      <c r="D2" s="3409"/>
      <c r="E2" s="3072" t="s">
        <v>3352</v>
      </c>
      <c r="F2" s="3072" t="s">
        <v>3351</v>
      </c>
      <c r="G2" s="3072" t="s">
        <v>3353</v>
      </c>
    </row>
    <row r="3" spans="1:7" ht="14.25">
      <c r="A3" s="3072">
        <v>57</v>
      </c>
      <c r="B3" s="3072">
        <v>87</v>
      </c>
      <c r="C3" s="3073">
        <v>43009</v>
      </c>
      <c r="D3" s="3073">
        <v>44834</v>
      </c>
      <c r="E3" s="3072">
        <v>593</v>
      </c>
      <c r="F3" s="3072">
        <v>292.2</v>
      </c>
      <c r="G3" s="3072">
        <v>13.5</v>
      </c>
    </row>
    <row r="4" spans="1:7" ht="14.25">
      <c r="A4" s="3072">
        <v>58</v>
      </c>
      <c r="B4" s="3072">
        <v>87</v>
      </c>
      <c r="C4" s="3073">
        <v>42195</v>
      </c>
      <c r="D4" s="3073">
        <v>44021</v>
      </c>
      <c r="E4" s="3072">
        <v>3484.37</v>
      </c>
      <c r="F4" s="3072">
        <v>992</v>
      </c>
      <c r="G4" s="3072">
        <v>7.8</v>
      </c>
    </row>
    <row r="5" spans="1:7" ht="14.25">
      <c r="A5" s="3072">
        <v>59</v>
      </c>
      <c r="B5" s="3072">
        <v>87</v>
      </c>
      <c r="C5" s="3073">
        <v>37773</v>
      </c>
      <c r="D5" s="3073">
        <v>47999</v>
      </c>
      <c r="E5" s="3072">
        <v>464</v>
      </c>
      <c r="F5" s="3072">
        <v>110</v>
      </c>
      <c r="G5" s="3072">
        <v>6.5</v>
      </c>
    </row>
    <row r="6" spans="1:7" ht="14.25">
      <c r="A6" s="3072">
        <v>60</v>
      </c>
      <c r="B6" s="3072">
        <v>87</v>
      </c>
      <c r="C6" s="3073">
        <v>42887</v>
      </c>
      <c r="D6" s="3073">
        <v>44712</v>
      </c>
      <c r="E6" s="3072">
        <v>2920</v>
      </c>
      <c r="F6" s="3072">
        <v>746.06</v>
      </c>
      <c r="G6" s="3072">
        <v>7</v>
      </c>
    </row>
    <row r="7" spans="1:7" ht="14.25">
      <c r="A7" s="3072">
        <v>61</v>
      </c>
      <c r="B7" s="3072">
        <v>87</v>
      </c>
      <c r="C7" s="3073">
        <v>42385</v>
      </c>
      <c r="D7" s="3073">
        <v>43115</v>
      </c>
      <c r="E7" s="3072">
        <v>22</v>
      </c>
      <c r="F7" s="3072">
        <v>8.0299999999999994</v>
      </c>
      <c r="G7" s="3072">
        <v>10</v>
      </c>
    </row>
    <row r="8" spans="1:7" ht="14.25">
      <c r="A8" s="3072">
        <v>62</v>
      </c>
      <c r="B8" s="3072">
        <v>87</v>
      </c>
      <c r="C8" s="3073">
        <v>42236</v>
      </c>
      <c r="D8" s="3073">
        <v>44093</v>
      </c>
      <c r="E8" s="3072">
        <v>70</v>
      </c>
      <c r="F8" s="3072">
        <v>25.55</v>
      </c>
      <c r="G8" s="3072">
        <v>10</v>
      </c>
    </row>
    <row r="9" spans="1:7" ht="14.25">
      <c r="A9" s="3072">
        <v>63</v>
      </c>
      <c r="B9" s="3072">
        <v>87</v>
      </c>
      <c r="C9" s="3073"/>
      <c r="D9" s="3073"/>
      <c r="E9" s="3072">
        <v>6735</v>
      </c>
      <c r="F9" s="3072">
        <v>0</v>
      </c>
      <c r="G9" s="3072"/>
    </row>
    <row r="10" spans="1:7" ht="14.25">
      <c r="A10" s="3072">
        <v>64</v>
      </c>
      <c r="B10" s="3072">
        <v>87</v>
      </c>
      <c r="C10" s="3073">
        <v>37257</v>
      </c>
      <c r="D10" s="3073">
        <v>44561</v>
      </c>
      <c r="E10" s="3072">
        <v>5750</v>
      </c>
      <c r="F10" s="3072">
        <v>447.03</v>
      </c>
      <c r="G10" s="3072">
        <v>2.13</v>
      </c>
    </row>
    <row r="11" spans="1:7" ht="14.25">
      <c r="A11" s="3072">
        <v>65</v>
      </c>
      <c r="B11" s="3072">
        <v>87</v>
      </c>
      <c r="C11" s="3073">
        <v>43009</v>
      </c>
      <c r="D11" s="3073">
        <v>44439</v>
      </c>
      <c r="E11" s="3072">
        <v>83</v>
      </c>
      <c r="F11" s="3072">
        <v>30.3</v>
      </c>
      <c r="G11" s="3072">
        <v>10</v>
      </c>
    </row>
    <row r="12" spans="1:7" ht="14.25">
      <c r="A12" s="3072">
        <v>66</v>
      </c>
      <c r="B12" s="3072">
        <v>87</v>
      </c>
      <c r="C12" s="3073" t="s">
        <v>3221</v>
      </c>
      <c r="D12" s="3073" t="s">
        <v>3222</v>
      </c>
      <c r="E12" s="3072">
        <v>238</v>
      </c>
      <c r="F12" s="3072">
        <v>69.5</v>
      </c>
      <c r="G12" s="3072">
        <v>8</v>
      </c>
    </row>
    <row r="13" spans="1:7" ht="14.25">
      <c r="A13" s="3072">
        <v>67</v>
      </c>
      <c r="B13" s="3072">
        <v>87</v>
      </c>
      <c r="C13" s="3073">
        <v>42505</v>
      </c>
      <c r="D13" s="3073">
        <v>43234</v>
      </c>
      <c r="E13" s="3072">
        <v>92.2</v>
      </c>
      <c r="F13" s="3072">
        <v>6.73</v>
      </c>
      <c r="G13" s="3072">
        <v>2</v>
      </c>
    </row>
    <row r="14" spans="1:7" ht="14.25">
      <c r="A14" s="3072">
        <v>68</v>
      </c>
      <c r="B14" s="3072">
        <v>87</v>
      </c>
      <c r="C14" s="3073">
        <v>42475</v>
      </c>
      <c r="D14" s="3073">
        <v>43204</v>
      </c>
      <c r="E14" s="3072">
        <v>1072.5</v>
      </c>
      <c r="F14" s="3072">
        <v>313.17</v>
      </c>
      <c r="G14" s="3072">
        <v>8</v>
      </c>
    </row>
    <row r="15" spans="1:7" ht="14.25">
      <c r="A15" s="3072">
        <v>69</v>
      </c>
      <c r="B15" s="3072">
        <v>87</v>
      </c>
      <c r="C15" s="3073">
        <v>42475</v>
      </c>
      <c r="D15" s="3073">
        <v>43204</v>
      </c>
      <c r="E15" s="3072">
        <v>1072.5</v>
      </c>
      <c r="F15" s="3072">
        <v>313.17</v>
      </c>
      <c r="G15" s="3072">
        <v>8</v>
      </c>
    </row>
    <row r="16" spans="1:7" ht="14.25">
      <c r="A16" s="3072">
        <v>70</v>
      </c>
      <c r="B16" s="3072">
        <v>87</v>
      </c>
      <c r="C16" s="3073">
        <v>42536</v>
      </c>
      <c r="D16" s="3073">
        <v>44361</v>
      </c>
      <c r="E16" s="3072">
        <v>365</v>
      </c>
      <c r="F16" s="3072">
        <v>96.59</v>
      </c>
      <c r="G16" s="3072">
        <v>7.25</v>
      </c>
    </row>
    <row r="17" spans="1:7" ht="14.25">
      <c r="A17" s="3072">
        <v>71</v>
      </c>
      <c r="B17" s="3072">
        <v>87</v>
      </c>
      <c r="C17" s="3073">
        <v>40648</v>
      </c>
      <c r="D17" s="3073">
        <v>44300</v>
      </c>
      <c r="E17" s="3072">
        <v>1626</v>
      </c>
      <c r="F17" s="3072">
        <v>293.18</v>
      </c>
      <c r="G17" s="3072">
        <v>4.9400000000000004</v>
      </c>
    </row>
    <row r="18" spans="1:7" ht="14.25">
      <c r="A18" s="3072">
        <v>72</v>
      </c>
      <c r="B18" s="3072">
        <v>87</v>
      </c>
      <c r="C18" s="3073">
        <v>40634</v>
      </c>
      <c r="D18" s="3073">
        <v>43935</v>
      </c>
      <c r="E18" s="3072">
        <v>2720</v>
      </c>
      <c r="F18" s="3072">
        <v>291.88</v>
      </c>
      <c r="G18" s="3072">
        <v>2.94</v>
      </c>
    </row>
    <row r="19" spans="1:7" ht="14.25">
      <c r="A19" s="3074">
        <v>73</v>
      </c>
      <c r="B19" s="3072">
        <v>87</v>
      </c>
      <c r="C19" s="3073">
        <v>43009</v>
      </c>
      <c r="D19" s="3073">
        <v>44834</v>
      </c>
      <c r="E19" s="3074">
        <v>570</v>
      </c>
      <c r="F19" s="3074">
        <v>62.42</v>
      </c>
      <c r="G19" s="3074">
        <v>3</v>
      </c>
    </row>
  </sheetData>
  <mergeCells count="4">
    <mergeCell ref="A1:A2"/>
    <mergeCell ref="B1:B2"/>
    <mergeCell ref="C1:C2"/>
    <mergeCell ref="D1:D2"/>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103" t="s">
        <v>1664</v>
      </c>
      <c r="B1" s="3103"/>
      <c r="C1" s="3103"/>
      <c r="D1" s="3103"/>
    </row>
    <row r="2" spans="1:4" ht="18">
      <c r="A2" s="3104" t="s">
        <v>1648</v>
      </c>
      <c r="B2" s="3104"/>
      <c r="C2" s="3104"/>
      <c r="D2" s="3104"/>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104" t="s">
        <v>1654</v>
      </c>
      <c r="B6" s="3104"/>
      <c r="C6" s="3104"/>
      <c r="D6" s="3104"/>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105" t="s">
        <v>1657</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2"/>
      <c r="C12" s="3102"/>
      <c r="D12" s="3102"/>
    </row>
    <row r="13" spans="1:4" ht="30" customHeight="1">
      <c r="A13" s="3097" t="str">
        <f>IF(项目基本情况!B8="抵押","3.抵押双方在办理抵押登记手续时，应使用本公司出具的正式《房地产评估报告》，特提醒报告使用者注意。","——")</f>
        <v>——</v>
      </c>
      <c r="B13" s="3102"/>
      <c r="C13" s="3102"/>
      <c r="D13" s="3102"/>
    </row>
    <row r="14" spans="1:4" ht="15.75" customHeight="1">
      <c r="A14" s="3097" t="str">
        <f>IF(项目基本情况!B8="抵押","4.本次评估估价师所知悉的法定优先受偿款情况说明如下：","——")</f>
        <v>——</v>
      </c>
      <c r="B14" s="3102"/>
      <c r="C14" s="3102"/>
      <c r="D14" s="3102"/>
    </row>
    <row r="15" spans="1:4" ht="42" customHeight="1">
      <c r="A15" s="3097" t="str">
        <f>IF(项目基本情况!B8="抵押","（1）"&amp;CONCATENATE(项目基本情况!L20,项目基本情况!L21,项目基本情况!L22),"——")</f>
        <v>——</v>
      </c>
      <c r="B15" s="3097"/>
      <c r="C15" s="3097"/>
      <c r="D15" s="3097"/>
    </row>
    <row r="16" spans="1:4" ht="30" customHeight="1">
      <c r="A16" s="3099" t="s">
        <v>1658</v>
      </c>
      <c r="B16" s="3099"/>
      <c r="C16" s="3099"/>
      <c r="D16" s="3099"/>
    </row>
    <row r="17" spans="1:4" ht="144" customHeight="1">
      <c r="A17" s="3099" t="s">
        <v>1659</v>
      </c>
      <c r="B17" s="3099"/>
      <c r="C17" s="3099"/>
      <c r="D17" s="3099"/>
    </row>
    <row r="18" spans="1:4" ht="15.75" customHeight="1">
      <c r="A18" s="3097" t="str">
        <f>IF(项目基本情况!B8="抵押",'结果表-凯富'!K120,"——")</f>
        <v>——</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0"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1660</v>
      </c>
      <c r="B22" s="3101"/>
      <c r="C22" s="3101"/>
      <c r="D22" s="3101"/>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111" t="s">
        <v>1671</v>
      </c>
      <c r="B15" s="3106" t="s">
        <v>136</v>
      </c>
      <c r="C15" s="3107"/>
    </row>
    <row r="16" spans="1:7" ht="13.5">
      <c r="A16" s="3112"/>
      <c r="B16" s="3106" t="s">
        <v>69</v>
      </c>
      <c r="C16" s="3107"/>
    </row>
    <row r="17" spans="1:3" ht="13.5">
      <c r="A17" s="3112"/>
      <c r="B17" s="3109" t="s">
        <v>1672</v>
      </c>
      <c r="C17" s="2004" t="s">
        <v>1671</v>
      </c>
    </row>
    <row r="18" spans="1:3" ht="13.5">
      <c r="A18" s="3112"/>
      <c r="B18" s="3109"/>
      <c r="C18" s="2004" t="s">
        <v>1673</v>
      </c>
    </row>
    <row r="19" spans="1:3" ht="13.5">
      <c r="A19" s="3112"/>
      <c r="B19" s="3109"/>
      <c r="C19" s="2004" t="s">
        <v>1674</v>
      </c>
    </row>
    <row r="20" spans="1:3" ht="13.5">
      <c r="A20" s="3113"/>
      <c r="B20" s="3108" t="s">
        <v>1675</v>
      </c>
      <c r="C20" s="3107"/>
    </row>
    <row r="21" spans="1:3" ht="13.5">
      <c r="A21" s="2005" t="s">
        <v>1676</v>
      </c>
      <c r="B21" s="2006"/>
      <c r="C21" s="2007"/>
    </row>
    <row r="22" spans="1:3" ht="13.5">
      <c r="A22" s="3110" t="s">
        <v>1677</v>
      </c>
      <c r="B22" s="3108" t="s">
        <v>1678</v>
      </c>
      <c r="C22" s="3107"/>
    </row>
    <row r="23" spans="1:3" ht="13.5">
      <c r="A23" s="3110"/>
      <c r="B23" s="3108" t="s">
        <v>1679</v>
      </c>
      <c r="C23" s="3107"/>
    </row>
    <row r="24" spans="1:3" ht="13.5">
      <c r="A24" s="3110"/>
      <c r="B24" s="3108" t="s">
        <v>1680</v>
      </c>
      <c r="C24" s="3107"/>
    </row>
    <row r="25" spans="1:3" ht="13.5">
      <c r="A25" s="3110"/>
      <c r="B25" s="3109" t="s">
        <v>1681</v>
      </c>
      <c r="C25" s="2004" t="s">
        <v>1682</v>
      </c>
    </row>
    <row r="26" spans="1:3" ht="13.5">
      <c r="A26" s="3110"/>
      <c r="B26" s="3109"/>
      <c r="C26" s="2004" t="s">
        <v>1683</v>
      </c>
    </row>
    <row r="27" spans="1:3" ht="13.5">
      <c r="A27" s="3110"/>
      <c r="B27" s="3109"/>
      <c r="C27" s="2004" t="s">
        <v>1684</v>
      </c>
    </row>
    <row r="28" spans="1:3" ht="13.5">
      <c r="A28" s="3110"/>
      <c r="B28" s="3109"/>
      <c r="C28" s="2004" t="s">
        <v>1685</v>
      </c>
    </row>
    <row r="29" spans="1:3" ht="13.5">
      <c r="A29" s="3110"/>
      <c r="B29" s="3109"/>
      <c r="C29" s="2004" t="s">
        <v>1686</v>
      </c>
    </row>
    <row r="30" spans="1:3" ht="13.5">
      <c r="A30" s="3110"/>
      <c r="B30" s="3109"/>
      <c r="C30" s="2004" t="s">
        <v>1687</v>
      </c>
    </row>
    <row r="31" spans="1:3" ht="13.5">
      <c r="A31" s="3110"/>
      <c r="B31" s="3109"/>
      <c r="C31" s="2004" t="s">
        <v>1688</v>
      </c>
    </row>
    <row r="32" spans="1:3" ht="13.5">
      <c r="A32" s="3110"/>
      <c r="B32" s="3109"/>
      <c r="C32" s="2004" t="s">
        <v>1689</v>
      </c>
    </row>
    <row r="33" spans="1:3" ht="13.5">
      <c r="A33" s="3110"/>
      <c r="B33" s="3109"/>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43060</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14" t="s">
        <v>846</v>
      </c>
      <c r="B25" s="3114"/>
      <c r="C25" s="3114"/>
      <c r="D25" s="3114"/>
      <c r="E25" s="3114"/>
      <c r="F25" s="3114"/>
      <c r="G25" s="3114"/>
    </row>
    <row r="26" spans="1:7" s="1028" customFormat="1" ht="24" customHeight="1">
      <c r="A26" s="3115" t="s">
        <v>847</v>
      </c>
      <c r="B26" s="3115"/>
      <c r="C26" s="3116"/>
      <c r="D26" s="3117" t="s">
        <v>848</v>
      </c>
      <c r="E26" s="3115"/>
      <c r="F26" s="311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150</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Sheet1</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2017-11-21T09:17:31Z</dcterms:modified>
</cp:coreProperties>
</file>