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共享文档\审核敲测算222222222222222\"/>
    </mc:Choice>
  </mc:AlternateContent>
  <bookViews>
    <workbookView xWindow="0" yWindow="0" windowWidth="19200" windowHeight="11040" tabRatio="895" firstSheet="13"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凯富" sheetId="9" state="hidden" r:id="rId18"/>
    <sheet name="比较法-凯富" sheetId="34" state="hidden" r:id="rId19"/>
    <sheet name="收益法-凯富" sheetId="15" state="hidden" r:id="rId20"/>
    <sheet name="结果表-办公" sheetId="84" r:id="rId21"/>
    <sheet name="成本法-办公" sheetId="68" r:id="rId22"/>
    <sheet name="成本法 (元)" sheetId="69" state="hidden" r:id="rId23"/>
    <sheet name="假设开发法" sheetId="12" state="hidden" r:id="rId24"/>
    <sheet name="收益法 (元)" sheetId="67" state="hidden" r:id="rId25"/>
    <sheet name="基准地价修正" sheetId="43" r:id="rId26"/>
    <sheet name="收益法（办公汇总）" sheetId="70" r:id="rId27"/>
    <sheet name="酒店收入计算" sheetId="66" state="hidden" r:id="rId28"/>
    <sheet name="比较法-住宅" sheetId="21" state="hidden" r:id="rId29"/>
    <sheet name="比较法-商业" sheetId="33" state="hidden" r:id="rId30"/>
    <sheet name="收益法-办公短租" sheetId="81" r:id="rId31"/>
    <sheet name="收益法-办公长租" sheetId="82" r:id="rId32"/>
    <sheet name="收益法-办公未租" sheetId="83"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比较法-租金" sheetId="86" r:id="rId39"/>
    <sheet name="修正" sheetId="45" state="hidden" r:id="rId40"/>
    <sheet name="容积率修正" sheetId="46" state="hidden" r:id="rId41"/>
    <sheet name="基准地价（汇总）" sheetId="76" state="hidden"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面积表" sheetId="77" r:id="rId50"/>
    <sheet name="面积整理" sheetId="78" r:id="rId51"/>
    <sheet name="凯富大厦租约整理" sheetId="79" r:id="rId52"/>
    <sheet name="办公区域租金整理" sheetId="80" r:id="rId53"/>
    <sheet name="市场租金整理" sheetId="85" r:id="rId54"/>
  </sheets>
  <definedNames>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18" hidden="1">'比较法-凯富'!$A$1:$L$50</definedName>
    <definedName name="_xlnm._FilterDatabase" localSheetId="29" hidden="1">'比较法-商业'!$A$1:$L$49</definedName>
    <definedName name="_xlnm._FilterDatabase" localSheetId="28" hidden="1">'比较法-住宅'!$A$1:$L$49</definedName>
    <definedName name="_xlnm._FilterDatabase" localSheetId="38" hidden="1">'比较法-租金'!$A$1:$L$50</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30">'收益法-办公短租'!$A$1:$AK$69</definedName>
    <definedName name="_xlnm.Print_Area" localSheetId="32">'收益法-办公未租'!$A$1:$AK$69</definedName>
    <definedName name="_xlnm.Print_Area" localSheetId="31">'收益法-办公长租'!$A$1:$AK$69</definedName>
    <definedName name="_xlnm.Print_Area" localSheetId="19">'收益法-凯富'!$A$1:$AK$69</definedName>
    <definedName name="_xlnm.Print_Area" localSheetId="13">'数据-汇总表'!$A$1:$P$32</definedName>
    <definedName name="八级">区片价!$O$1:$O$40</definedName>
    <definedName name="办公层高" localSheetId="38">'比较法-租金'!$B$119:$M$119</definedName>
    <definedName name="办公层高">'比较法-凯富'!$B$119:$M$119</definedName>
    <definedName name="办公朝向" localSheetId="38">'比较法-租金'!$B$91:$M$91</definedName>
    <definedName name="办公朝向">'比较法-凯富'!$B$91:$M$91</definedName>
    <definedName name="办公道路级别" localSheetId="38">'比较法-租金'!$B$87:$M$87</definedName>
    <definedName name="办公道路级别">'比较法-凯富'!$B$87:$M$87</definedName>
    <definedName name="办公公共部分装修" localSheetId="38">'比较法-租金'!$B$108:$M$108</definedName>
    <definedName name="办公公共部分装修">'比较法-凯富'!$B$108:$M$108</definedName>
    <definedName name="办公基础设施水平" localSheetId="38">'比较法-租金'!$B$117:$M$117</definedName>
    <definedName name="办公基础设施水平">'比较法-凯富'!$B$117:$M$117</definedName>
    <definedName name="办公集聚程度">定义!$M$1:$M$6</definedName>
    <definedName name="办公建筑结构" localSheetId="38">'比较法-租金'!$B$106:$M$106</definedName>
    <definedName name="办公建筑结构">'比较法-凯富'!$B$106:$M$106</definedName>
    <definedName name="办公建筑类型" localSheetId="38">'比较法-租金'!$B$101:$M$101</definedName>
    <definedName name="办公建筑类型">'比较法-凯富'!$B$101:$M$101</definedName>
    <definedName name="办公交易情况" localSheetId="38">'比较法-租金'!$A$62:$M$62</definedName>
    <definedName name="办公交易情况">'比较法-凯富'!$A$62:$M$62</definedName>
    <definedName name="办公楼层" localSheetId="38">'比较法-租金'!$B$89:$M$89</definedName>
    <definedName name="办公楼层">'比较法-凯富'!$B$89:$M$89</definedName>
    <definedName name="办公内部装修" localSheetId="38">'比较法-租金'!$B$123:$M$123</definedName>
    <definedName name="办公内部装修">'比较法-凯富'!$B$123:$M$123</definedName>
    <definedName name="办公物业管理" localSheetId="38">'比较法-租金'!$B$115:$M$115</definedName>
    <definedName name="办公物业管理">'比较法-凯富'!$B$115:$M$115</definedName>
    <definedName name="办公用途" localSheetId="38">'比较法-租金'!$B$64:$M$64</definedName>
    <definedName name="办公用途">'比较法-凯富'!$B$64:$M$64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8">'比较法-租金'!$B$113:$M$113</definedName>
    <definedName name="写字楼等级">'比较法-凯富'!$B$113:$M$113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37" i="86" l="1"/>
  <c r="N7" i="1"/>
  <c r="N8" i="1" s="1"/>
  <c r="I8" i="1"/>
  <c r="I9" i="1" s="1"/>
  <c r="H8" i="1"/>
  <c r="H9" i="1" s="1"/>
  <c r="J8" i="1"/>
  <c r="J9" i="1" s="1"/>
  <c r="N9" i="1" l="1"/>
  <c r="F70" i="82"/>
  <c r="F52" i="82"/>
  <c r="F70" i="15"/>
  <c r="F52" i="15"/>
  <c r="O5" i="85"/>
  <c r="AD8" i="1" s="1"/>
  <c r="F5" i="85"/>
  <c r="AD7" i="1" s="1"/>
  <c r="AB8" i="1"/>
  <c r="AB7" i="1"/>
  <c r="AA8" i="1"/>
  <c r="AA7" i="1"/>
  <c r="V9" i="1"/>
  <c r="B131" i="86"/>
  <c r="H47" i="86" s="1"/>
  <c r="AB47" i="86" s="1"/>
  <c r="B129" i="86"/>
  <c r="B127" i="86"/>
  <c r="H45" i="86" s="1"/>
  <c r="AB45" i="86" s="1"/>
  <c r="D126" i="86"/>
  <c r="E126" i="86" s="1"/>
  <c r="F126" i="86" s="1"/>
  <c r="G126" i="86" s="1"/>
  <c r="D124" i="86"/>
  <c r="E124" i="86" s="1"/>
  <c r="F124" i="86" s="1"/>
  <c r="G124" i="86" s="1"/>
  <c r="H124" i="86" s="1"/>
  <c r="I124" i="86" s="1"/>
  <c r="J124" i="86" s="1"/>
  <c r="K124" i="86" s="1"/>
  <c r="L124" i="86" s="1"/>
  <c r="M124" i="86" s="1"/>
  <c r="D120" i="86"/>
  <c r="E120" i="86" s="1"/>
  <c r="F120" i="86" s="1"/>
  <c r="G120" i="86" s="1"/>
  <c r="H120" i="86" s="1"/>
  <c r="I120" i="86" s="1"/>
  <c r="J120" i="86" s="1"/>
  <c r="K120" i="86" s="1"/>
  <c r="L120" i="86" s="1"/>
  <c r="M120" i="86" s="1"/>
  <c r="D118" i="86"/>
  <c r="E118" i="86" s="1"/>
  <c r="F118" i="86" s="1"/>
  <c r="G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E102" i="86"/>
  <c r="F102" i="86" s="1"/>
  <c r="G102" i="86" s="1"/>
  <c r="H102" i="86" s="1"/>
  <c r="I102" i="86" s="1"/>
  <c r="J102" i="86" s="1"/>
  <c r="K102" i="86" s="1"/>
  <c r="L102" i="86" s="1"/>
  <c r="M102" i="86" s="1"/>
  <c r="D102" i="86"/>
  <c r="B99" i="86"/>
  <c r="H32" i="86" s="1"/>
  <c r="AB32" i="86" s="1"/>
  <c r="B97" i="86"/>
  <c r="B95" i="86"/>
  <c r="H30" i="86" s="1"/>
  <c r="AB30" i="86" s="1"/>
  <c r="B93" i="86"/>
  <c r="E92" i="86"/>
  <c r="F92" i="86" s="1"/>
  <c r="G92" i="86" s="1"/>
  <c r="H92" i="86" s="1"/>
  <c r="I92" i="86" s="1"/>
  <c r="J92" i="86" s="1"/>
  <c r="K92" i="86" s="1"/>
  <c r="L92" i="86" s="1"/>
  <c r="M92" i="86" s="1"/>
  <c r="D92" i="86"/>
  <c r="B91" i="86"/>
  <c r="H28" i="86" s="1"/>
  <c r="AB28" i="86" s="1"/>
  <c r="D90" i="86"/>
  <c r="E90" i="86" s="1"/>
  <c r="F90" i="86" s="1"/>
  <c r="G90" i="86" s="1"/>
  <c r="H90" i="86" s="1"/>
  <c r="I90" i="86" s="1"/>
  <c r="J90" i="86" s="1"/>
  <c r="K90" i="86" s="1"/>
  <c r="L90" i="86" s="1"/>
  <c r="M90" i="86" s="1"/>
  <c r="B89" i="86"/>
  <c r="H27" i="86" s="1"/>
  <c r="AB27" i="86" s="1"/>
  <c r="D88" i="86"/>
  <c r="E88" i="86" s="1"/>
  <c r="F88" i="86" s="1"/>
  <c r="G88" i="86" s="1"/>
  <c r="D86" i="86"/>
  <c r="E86" i="86" s="1"/>
  <c r="F86" i="86" s="1"/>
  <c r="G86" i="86" s="1"/>
  <c r="D84" i="86"/>
  <c r="E84" i="86" s="1"/>
  <c r="F84" i="86" s="1"/>
  <c r="G84" i="86" s="1"/>
  <c r="D82" i="86"/>
  <c r="E82" i="86" s="1"/>
  <c r="F82" i="86" s="1"/>
  <c r="G82" i="86" s="1"/>
  <c r="D80" i="86"/>
  <c r="E80" i="86" s="1"/>
  <c r="F80" i="86" s="1"/>
  <c r="G80" i="86" s="1"/>
  <c r="D78" i="86"/>
  <c r="E78" i="86" s="1"/>
  <c r="F78" i="86" s="1"/>
  <c r="G78" i="86" s="1"/>
  <c r="B75" i="86"/>
  <c r="B73" i="86"/>
  <c r="J13" i="86" s="1"/>
  <c r="AC13" i="86" s="1"/>
  <c r="B71" i="86"/>
  <c r="D70" i="86"/>
  <c r="E70" i="86" s="1"/>
  <c r="F70" i="86" s="1"/>
  <c r="G70" i="86" s="1"/>
  <c r="H70" i="86" s="1"/>
  <c r="I70" i="86" s="1"/>
  <c r="J70" i="86" s="1"/>
  <c r="K70" i="86" s="1"/>
  <c r="L70" i="86" s="1"/>
  <c r="M70" i="86" s="1"/>
  <c r="M68" i="86"/>
  <c r="L68" i="86"/>
  <c r="K68" i="86"/>
  <c r="J68" i="86"/>
  <c r="I68" i="86"/>
  <c r="H68" i="86"/>
  <c r="G68" i="86"/>
  <c r="F68" i="86"/>
  <c r="E68" i="86"/>
  <c r="D68" i="86"/>
  <c r="C68" i="86"/>
  <c r="F67" i="86"/>
  <c r="G67" i="86" s="1"/>
  <c r="H67" i="86" s="1"/>
  <c r="I67" i="86" s="1"/>
  <c r="C64" i="86"/>
  <c r="P50" i="86"/>
  <c r="P49" i="86"/>
  <c r="P48" i="86"/>
  <c r="Q47" i="86"/>
  <c r="Z47" i="86" s="1"/>
  <c r="J47" i="86"/>
  <c r="AC47" i="86" s="1"/>
  <c r="F47" i="86"/>
  <c r="AA47" i="86" s="1"/>
  <c r="Q46" i="86"/>
  <c r="Z46" i="86" s="1"/>
  <c r="J46" i="86"/>
  <c r="AC46" i="86" s="1"/>
  <c r="H46" i="86"/>
  <c r="AB46" i="86" s="1"/>
  <c r="F46" i="86"/>
  <c r="AA46" i="86" s="1"/>
  <c r="Q45" i="86"/>
  <c r="Z45" i="86" s="1"/>
  <c r="J45" i="86"/>
  <c r="AC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F40" i="86"/>
  <c r="AA40" i="86" s="1"/>
  <c r="Q39" i="86"/>
  <c r="Z39" i="86" s="1"/>
  <c r="J39" i="86"/>
  <c r="AC39" i="86" s="1"/>
  <c r="H39" i="86"/>
  <c r="AB39" i="86" s="1"/>
  <c r="F39" i="86"/>
  <c r="AA39" i="86" s="1"/>
  <c r="Q38" i="86"/>
  <c r="Z38" i="86" s="1"/>
  <c r="J38" i="86"/>
  <c r="AC38" i="86" s="1"/>
  <c r="F38" i="86"/>
  <c r="AA38" i="86" s="1"/>
  <c r="Q37" i="86"/>
  <c r="Z37" i="86" s="1"/>
  <c r="I37" i="86"/>
  <c r="G37" i="86"/>
  <c r="E37" i="86"/>
  <c r="Q36" i="86"/>
  <c r="Z36" i="86" s="1"/>
  <c r="J36" i="86"/>
  <c r="AC36" i="86" s="1"/>
  <c r="H36" i="86"/>
  <c r="AB36" i="86" s="1"/>
  <c r="F36" i="86"/>
  <c r="AA36" i="86" s="1"/>
  <c r="Q35" i="86"/>
  <c r="Z35" i="86" s="1"/>
  <c r="J35" i="86"/>
  <c r="AC35" i="86" s="1"/>
  <c r="F35" i="86"/>
  <c r="AA35" i="86" s="1"/>
  <c r="Q34" i="86"/>
  <c r="Z34" i="86" s="1"/>
  <c r="C34" i="86"/>
  <c r="H34" i="86" s="1"/>
  <c r="Q33" i="86"/>
  <c r="Z33" i="86" s="1"/>
  <c r="J33" i="86"/>
  <c r="AC33" i="86" s="1"/>
  <c r="H33" i="86"/>
  <c r="AB33" i="86" s="1"/>
  <c r="F33" i="86"/>
  <c r="AA33" i="86" s="1"/>
  <c r="Q32" i="86"/>
  <c r="Z32" i="86" s="1"/>
  <c r="J32" i="86"/>
  <c r="AC32" i="86" s="1"/>
  <c r="F32" i="86"/>
  <c r="AA32" i="86" s="1"/>
  <c r="Q31" i="86"/>
  <c r="Z31" i="86" s="1"/>
  <c r="J31" i="86"/>
  <c r="AC31" i="86" s="1"/>
  <c r="H31" i="86"/>
  <c r="AB31" i="86" s="1"/>
  <c r="F31" i="86"/>
  <c r="AA31" i="86" s="1"/>
  <c r="Q30" i="86"/>
  <c r="Z30" i="86" s="1"/>
  <c r="J30" i="86"/>
  <c r="AC30" i="86" s="1"/>
  <c r="F30" i="86"/>
  <c r="AA30" i="86" s="1"/>
  <c r="Q29" i="86"/>
  <c r="Z29" i="86" s="1"/>
  <c r="J29" i="86"/>
  <c r="AC29" i="86" s="1"/>
  <c r="H29" i="86"/>
  <c r="AB29" i="86" s="1"/>
  <c r="F29" i="86"/>
  <c r="AA29" i="86" s="1"/>
  <c r="Q28" i="86"/>
  <c r="Z28" i="86" s="1"/>
  <c r="J28" i="86"/>
  <c r="AC28" i="86" s="1"/>
  <c r="F28" i="86"/>
  <c r="AA28" i="86" s="1"/>
  <c r="Q27" i="86"/>
  <c r="Z27" i="86" s="1"/>
  <c r="J27" i="86"/>
  <c r="AC27" i="86" s="1"/>
  <c r="F27" i="86"/>
  <c r="AA27" i="86" s="1"/>
  <c r="Q25" i="86"/>
  <c r="Z25" i="86" s="1"/>
  <c r="Q23" i="86"/>
  <c r="Z23" i="86" s="1"/>
  <c r="J23" i="86"/>
  <c r="AC23" i="86" s="1"/>
  <c r="F23" i="86"/>
  <c r="AA23" i="86" s="1"/>
  <c r="C23" i="86"/>
  <c r="Q21" i="86"/>
  <c r="Z21" i="86" s="1"/>
  <c r="J21" i="86"/>
  <c r="AC21" i="86" s="1"/>
  <c r="H21" i="86"/>
  <c r="AB21" i="86" s="1"/>
  <c r="F21" i="86"/>
  <c r="AA21" i="86" s="1"/>
  <c r="C21" i="86"/>
  <c r="Q19" i="86"/>
  <c r="Z19" i="86" s="1"/>
  <c r="J19" i="86"/>
  <c r="AC19" i="86" s="1"/>
  <c r="F19" i="86"/>
  <c r="AA19" i="86" s="1"/>
  <c r="C19" i="86"/>
  <c r="Q17" i="86"/>
  <c r="Z17" i="86" s="1"/>
  <c r="J17" i="86"/>
  <c r="AC17" i="86" s="1"/>
  <c r="H17" i="86"/>
  <c r="AB17" i="86" s="1"/>
  <c r="F17" i="86"/>
  <c r="AA17" i="86" s="1"/>
  <c r="C17" i="86"/>
  <c r="Q15" i="86"/>
  <c r="Z15" i="86" s="1"/>
  <c r="J15" i="86"/>
  <c r="AC15" i="86" s="1"/>
  <c r="F15" i="86"/>
  <c r="AA15" i="86" s="1"/>
  <c r="C15" i="86"/>
  <c r="Q14" i="86"/>
  <c r="Z14" i="86" s="1"/>
  <c r="J14" i="86"/>
  <c r="AC14" i="86" s="1"/>
  <c r="H14" i="86"/>
  <c r="AB14" i="86" s="1"/>
  <c r="F14" i="86"/>
  <c r="AA14" i="86" s="1"/>
  <c r="Q13" i="86"/>
  <c r="Z13" i="86" s="1"/>
  <c r="H13" i="86"/>
  <c r="AB13" i="86" s="1"/>
  <c r="Q12" i="86"/>
  <c r="Z12" i="86" s="1"/>
  <c r="J12" i="86"/>
  <c r="AC12" i="86" s="1"/>
  <c r="H12" i="86"/>
  <c r="AB12" i="86" s="1"/>
  <c r="F12" i="86"/>
  <c r="AA12" i="86" s="1"/>
  <c r="Q11" i="86"/>
  <c r="Z11" i="86" s="1"/>
  <c r="Q10" i="86"/>
  <c r="Z10" i="86" s="1"/>
  <c r="J10" i="86"/>
  <c r="AC10" i="86" s="1"/>
  <c r="F10" i="86"/>
  <c r="AA10" i="86" s="1"/>
  <c r="Q9" i="86"/>
  <c r="Z9" i="86" s="1"/>
  <c r="J9" i="86"/>
  <c r="AC9" i="86" s="1"/>
  <c r="H9" i="86"/>
  <c r="AB9" i="86" s="1"/>
  <c r="F9" i="86"/>
  <c r="AA9" i="86" s="1"/>
  <c r="J8" i="86"/>
  <c r="AC8" i="86" s="1"/>
  <c r="H8" i="86"/>
  <c r="U8" i="86" s="1"/>
  <c r="F8" i="86"/>
  <c r="AA8" i="86" s="1"/>
  <c r="E48" i="34"/>
  <c r="G48" i="34"/>
  <c r="I48" i="34"/>
  <c r="C34" i="34"/>
  <c r="E37" i="34"/>
  <c r="G37" i="34"/>
  <c r="I37" i="34"/>
  <c r="A126" i="84"/>
  <c r="A124" i="84"/>
  <c r="A122" i="84"/>
  <c r="A120" i="84"/>
  <c r="E111" i="84"/>
  <c r="H112" i="84" s="1"/>
  <c r="E109" i="84"/>
  <c r="H109" i="84" s="1"/>
  <c r="E107" i="84"/>
  <c r="H106" i="84"/>
  <c r="H105" i="84"/>
  <c r="H104" i="84"/>
  <c r="D101" i="84"/>
  <c r="C101" i="84"/>
  <c r="C91" i="84"/>
  <c r="E90" i="84"/>
  <c r="D89" i="84"/>
  <c r="C89" i="84"/>
  <c r="C87" i="84" s="1"/>
  <c r="H77" i="84"/>
  <c r="D77" i="84"/>
  <c r="C76" i="84"/>
  <c r="F59" i="84"/>
  <c r="E59" i="84"/>
  <c r="D59" i="84"/>
  <c r="F56" i="84"/>
  <c r="O55" i="84"/>
  <c r="N55" i="84"/>
  <c r="M55" i="84"/>
  <c r="K55" i="84"/>
  <c r="J55" i="84"/>
  <c r="I55" i="84"/>
  <c r="F55" i="84"/>
  <c r="O53" i="84" s="1"/>
  <c r="O54" i="84"/>
  <c r="N54" i="84"/>
  <c r="N53" i="84"/>
  <c r="K49" i="84"/>
  <c r="F48" i="84"/>
  <c r="O52" i="84" s="1"/>
  <c r="E48" i="84"/>
  <c r="N52" i="84" s="1"/>
  <c r="D48" i="84"/>
  <c r="M52" i="84" s="1"/>
  <c r="F33" i="84"/>
  <c r="B30" i="84"/>
  <c r="D27" i="84"/>
  <c r="D30" i="84" s="1"/>
  <c r="C30" i="84" s="1"/>
  <c r="C25" i="84"/>
  <c r="C24" i="84"/>
  <c r="D17" i="84"/>
  <c r="C17" i="84"/>
  <c r="L4" i="84"/>
  <c r="K4" i="84"/>
  <c r="H1" i="84"/>
  <c r="G70" i="80"/>
  <c r="H59" i="80"/>
  <c r="Q72" i="83"/>
  <c r="Q59" i="83"/>
  <c r="K59" i="83"/>
  <c r="P74" i="83" s="1"/>
  <c r="F59" i="83"/>
  <c r="Q58" i="83"/>
  <c r="Q51" i="83"/>
  <c r="J50" i="83"/>
  <c r="M47" i="83"/>
  <c r="D46" i="83"/>
  <c r="F33" i="83"/>
  <c r="F61" i="83" s="1"/>
  <c r="F31" i="83"/>
  <c r="F23" i="83"/>
  <c r="D23" i="83" s="1"/>
  <c r="F21" i="83"/>
  <c r="F20" i="83"/>
  <c r="M19" i="83"/>
  <c r="F18" i="83"/>
  <c r="M17" i="83"/>
  <c r="F17" i="83"/>
  <c r="F15" i="83"/>
  <c r="Q72" i="82"/>
  <c r="Q59" i="82"/>
  <c r="K59" i="82"/>
  <c r="P74" i="82" s="1"/>
  <c r="F59" i="82"/>
  <c r="Q58" i="82"/>
  <c r="Q51" i="82"/>
  <c r="J50" i="82"/>
  <c r="M47" i="82"/>
  <c r="D46" i="82"/>
  <c r="F33" i="82"/>
  <c r="F61" i="82" s="1"/>
  <c r="F31" i="82"/>
  <c r="F23" i="82"/>
  <c r="D23" i="82" s="1"/>
  <c r="F21" i="82"/>
  <c r="F20" i="82"/>
  <c r="M19" i="82"/>
  <c r="F18" i="82"/>
  <c r="M17" i="82"/>
  <c r="F17" i="82"/>
  <c r="F15" i="82"/>
  <c r="Q72" i="81"/>
  <c r="Q59" i="81"/>
  <c r="K59" i="81"/>
  <c r="P74" i="81" s="1"/>
  <c r="F59" i="81"/>
  <c r="Q58" i="81"/>
  <c r="Q51" i="81"/>
  <c r="J50" i="81"/>
  <c r="M47" i="81"/>
  <c r="D46" i="81"/>
  <c r="F33" i="81"/>
  <c r="F61" i="81" s="1"/>
  <c r="F31" i="81"/>
  <c r="F23" i="81"/>
  <c r="D23" i="81" s="1"/>
  <c r="F21" i="81"/>
  <c r="F20" i="81"/>
  <c r="M19" i="81"/>
  <c r="F18" i="81"/>
  <c r="M17" i="81"/>
  <c r="F17" i="81"/>
  <c r="F15" i="81"/>
  <c r="AF8" i="1"/>
  <c r="AF7" i="1"/>
  <c r="Y8" i="1"/>
  <c r="Y9" i="1"/>
  <c r="Y7" i="1"/>
  <c r="G23" i="79"/>
  <c r="G22" i="79"/>
  <c r="G28" i="79"/>
  <c r="H19" i="80"/>
  <c r="H60" i="80" s="1"/>
  <c r="F20" i="6" s="1"/>
  <c r="D38" i="78"/>
  <c r="H66" i="80"/>
  <c r="F21" i="6" s="1"/>
  <c r="H65" i="80"/>
  <c r="H67" i="80" s="1"/>
  <c r="U8" i="1" s="1"/>
  <c r="D2" i="86"/>
  <c r="D34" i="84"/>
  <c r="D35" i="84"/>
  <c r="H88" i="86" l="1"/>
  <c r="I88" i="86" s="1"/>
  <c r="J88" i="86" s="1"/>
  <c r="K88" i="86" s="1"/>
  <c r="L88" i="86" s="1"/>
  <c r="M88" i="86" s="1"/>
  <c r="H25" i="86"/>
  <c r="AB25" i="86" s="1"/>
  <c r="J25" i="86"/>
  <c r="AC25" i="86" s="1"/>
  <c r="F25" i="86"/>
  <c r="AA25" i="86" s="1"/>
  <c r="H57" i="80"/>
  <c r="F22" i="6" s="1"/>
  <c r="D29" i="43" s="1"/>
  <c r="W19" i="86"/>
  <c r="G26" i="79"/>
  <c r="H103" i="84"/>
  <c r="D120" i="84" s="1"/>
  <c r="H111" i="84"/>
  <c r="D126" i="84" s="1"/>
  <c r="D127" i="84" s="1"/>
  <c r="W8" i="86"/>
  <c r="H10" i="86"/>
  <c r="AB10" i="86" s="1"/>
  <c r="F13" i="86"/>
  <c r="AA13" i="86" s="1"/>
  <c r="H15" i="86"/>
  <c r="AB15" i="86" s="1"/>
  <c r="H19" i="86"/>
  <c r="AB19" i="86" s="1"/>
  <c r="H23" i="86"/>
  <c r="AB23" i="86" s="1"/>
  <c r="H35" i="86"/>
  <c r="AB35" i="86" s="1"/>
  <c r="H38" i="86"/>
  <c r="AB38" i="86" s="1"/>
  <c r="H40" i="86"/>
  <c r="AB40" i="86" s="1"/>
  <c r="C18" i="84"/>
  <c r="D18" i="84" s="1"/>
  <c r="F34" i="86"/>
  <c r="AA34" i="86" s="1"/>
  <c r="J34" i="86"/>
  <c r="AC34" i="86" s="1"/>
  <c r="C37" i="34"/>
  <c r="H37" i="86"/>
  <c r="AB37" i="86" s="1"/>
  <c r="F37" i="86"/>
  <c r="J37" i="86"/>
  <c r="W37" i="86" s="1"/>
  <c r="S8" i="86"/>
  <c r="AB8" i="86"/>
  <c r="S9" i="86"/>
  <c r="W9" i="86"/>
  <c r="S12" i="86"/>
  <c r="W12" i="86"/>
  <c r="U13" i="86"/>
  <c r="S14" i="86"/>
  <c r="W14" i="86"/>
  <c r="S15" i="86"/>
  <c r="W15" i="86"/>
  <c r="S17" i="86"/>
  <c r="W17" i="86"/>
  <c r="S19" i="86"/>
  <c r="W21" i="86"/>
  <c r="AA37" i="86"/>
  <c r="S37" i="86"/>
  <c r="U9" i="86"/>
  <c r="S10" i="86"/>
  <c r="W10" i="86"/>
  <c r="U12" i="86"/>
  <c r="S13" i="86"/>
  <c r="W13" i="86"/>
  <c r="U14" i="86"/>
  <c r="U17" i="86"/>
  <c r="S21" i="86"/>
  <c r="AB34" i="86"/>
  <c r="U34" i="86"/>
  <c r="U37" i="86"/>
  <c r="U19" i="86"/>
  <c r="U21" i="86"/>
  <c r="S25" i="86"/>
  <c r="U27" i="86"/>
  <c r="S28" i="86"/>
  <c r="W28" i="86"/>
  <c r="U29" i="86"/>
  <c r="S30" i="86"/>
  <c r="W30" i="86"/>
  <c r="U31" i="86"/>
  <c r="S32" i="86"/>
  <c r="W32" i="86"/>
  <c r="U33" i="86"/>
  <c r="S35" i="86"/>
  <c r="W35" i="86"/>
  <c r="U36" i="86"/>
  <c r="S39" i="86"/>
  <c r="W39" i="86"/>
  <c r="U40" i="86"/>
  <c r="S41" i="86"/>
  <c r="W41" i="86"/>
  <c r="U42" i="86"/>
  <c r="S43" i="86"/>
  <c r="W43" i="86"/>
  <c r="U44" i="86"/>
  <c r="S45" i="86"/>
  <c r="W45" i="86"/>
  <c r="U46" i="86"/>
  <c r="S47" i="86"/>
  <c r="W47" i="86"/>
  <c r="G55" i="86"/>
  <c r="H55" i="86" s="1"/>
  <c r="T48" i="86"/>
  <c r="S23" i="86"/>
  <c r="W23" i="86"/>
  <c r="U25" i="86"/>
  <c r="S27" i="86"/>
  <c r="W27" i="86"/>
  <c r="U28" i="86"/>
  <c r="S29" i="86"/>
  <c r="W29" i="86"/>
  <c r="U30" i="86"/>
  <c r="S31" i="86"/>
  <c r="W31" i="86"/>
  <c r="U32" i="86"/>
  <c r="S33" i="86"/>
  <c r="W33" i="86"/>
  <c r="S34" i="86"/>
  <c r="U35" i="86"/>
  <c r="S36" i="86"/>
  <c r="W36" i="86"/>
  <c r="S38" i="86"/>
  <c r="W38" i="86"/>
  <c r="U39" i="86"/>
  <c r="S40" i="86"/>
  <c r="W40" i="86"/>
  <c r="U41" i="86"/>
  <c r="S42" i="86"/>
  <c r="W42" i="86"/>
  <c r="U43" i="86"/>
  <c r="S44" i="86"/>
  <c r="W44" i="86"/>
  <c r="U45" i="86"/>
  <c r="S46" i="86"/>
  <c r="W46" i="86"/>
  <c r="U47" i="86"/>
  <c r="E55" i="86"/>
  <c r="F55" i="86" s="1"/>
  <c r="I55" i="86"/>
  <c r="J55" i="86" s="1"/>
  <c r="V48" i="86"/>
  <c r="R48" i="86"/>
  <c r="K120" i="84"/>
  <c r="D121" i="84"/>
  <c r="D124" i="84"/>
  <c r="D125" i="84" s="1"/>
  <c r="H110" i="84"/>
  <c r="C92" i="84"/>
  <c r="C94" i="84"/>
  <c r="D24" i="83"/>
  <c r="P61" i="83"/>
  <c r="D22" i="83"/>
  <c r="J51" i="83"/>
  <c r="D24" i="82"/>
  <c r="P61" i="82"/>
  <c r="D22" i="82"/>
  <c r="J51" i="82"/>
  <c r="D24" i="81"/>
  <c r="P61" i="81"/>
  <c r="D22" i="81"/>
  <c r="J51" i="81"/>
  <c r="H61" i="80"/>
  <c r="U7" i="1" s="1"/>
  <c r="F80" i="78"/>
  <c r="F78" i="78"/>
  <c r="D27" i="77"/>
  <c r="W34" i="86" l="1"/>
  <c r="U38" i="86"/>
  <c r="W25" i="86"/>
  <c r="U23" i="86"/>
  <c r="U15" i="86"/>
  <c r="U10" i="86"/>
  <c r="AC37" i="86"/>
  <c r="E10" i="78"/>
  <c r="D35" i="78"/>
  <c r="C44" i="78"/>
  <c r="C43" i="78"/>
  <c r="C42" i="78"/>
  <c r="C41" i="78"/>
  <c r="C40" i="78"/>
  <c r="C39" i="78"/>
  <c r="C38" i="78"/>
  <c r="C37" i="78"/>
  <c r="C36" i="78"/>
  <c r="C35" i="78"/>
  <c r="C34" i="78"/>
  <c r="C33" i="78"/>
  <c r="C32" i="78"/>
  <c r="C31" i="78"/>
  <c r="C30" i="78"/>
  <c r="C29" i="78"/>
  <c r="E20" i="78"/>
  <c r="D43" i="78" s="1"/>
  <c r="E14" i="78"/>
  <c r="E11" i="78"/>
  <c r="E9" i="78"/>
  <c r="E4" i="78"/>
  <c r="E3" i="78"/>
  <c r="E2" i="78"/>
  <c r="E24" i="78" s="1"/>
  <c r="E26" i="78" s="1"/>
  <c r="E23" i="78"/>
  <c r="D44" i="78" s="1"/>
  <c r="I13" i="3" s="1"/>
  <c r="E18" i="78"/>
  <c r="D42" i="78" s="1"/>
  <c r="E17" i="78"/>
  <c r="D41" i="78" s="1"/>
  <c r="E15" i="78"/>
  <c r="D40" i="78" s="1"/>
  <c r="E13" i="78"/>
  <c r="E12" i="78"/>
  <c r="D37" i="78" s="1"/>
  <c r="E7" i="78"/>
  <c r="D33" i="78" s="1"/>
  <c r="E5" i="78"/>
  <c r="D32" i="78" s="1"/>
  <c r="D45" i="78" s="1"/>
  <c r="I14" i="3" s="1"/>
  <c r="I15" i="3" s="1"/>
  <c r="C26" i="78"/>
  <c r="C25" i="78"/>
  <c r="C24" i="78"/>
  <c r="C23" i="78"/>
  <c r="C22" i="78"/>
  <c r="C21" i="78"/>
  <c r="C20" i="78"/>
  <c r="C19" i="78"/>
  <c r="C18" i="78"/>
  <c r="C17" i="78"/>
  <c r="C16" i="78"/>
  <c r="C15" i="78"/>
  <c r="C14" i="78"/>
  <c r="C13" i="78"/>
  <c r="C12" i="78"/>
  <c r="C11" i="78"/>
  <c r="C10" i="78"/>
  <c r="C9" i="78"/>
  <c r="C8" i="78"/>
  <c r="C7" i="78"/>
  <c r="C6" i="78"/>
  <c r="C5" i="78"/>
  <c r="C4" i="78"/>
  <c r="C3" i="78"/>
  <c r="C2" i="78"/>
  <c r="C3" i="77" l="1"/>
  <c r="C4" i="77"/>
  <c r="C5" i="77"/>
  <c r="C6" i="77"/>
  <c r="C7" i="77"/>
  <c r="C8" i="77"/>
  <c r="C9" i="77"/>
  <c r="C10" i="77"/>
  <c r="C11" i="77"/>
  <c r="C12" i="77"/>
  <c r="C13" i="77"/>
  <c r="C14" i="77"/>
  <c r="C15" i="77"/>
  <c r="C16" i="77"/>
  <c r="C17" i="77"/>
  <c r="C18" i="77"/>
  <c r="C19" i="77"/>
  <c r="C20" i="77"/>
  <c r="C21" i="77"/>
  <c r="C22" i="77"/>
  <c r="C23" i="77"/>
  <c r="C24" i="77"/>
  <c r="C25" i="77"/>
  <c r="C26" i="77"/>
  <c r="C2" i="77"/>
  <c r="F6" i="77" l="1"/>
  <c r="F8" i="77"/>
  <c r="F3" i="77" l="1"/>
  <c r="F2" i="77"/>
  <c r="F4" i="77"/>
  <c r="F5" i="77"/>
  <c r="F7" i="77"/>
  <c r="F9" i="77"/>
  <c r="F10" i="77"/>
  <c r="F11" i="77"/>
  <c r="F12" i="77"/>
  <c r="F13" i="77"/>
  <c r="F14" i="77"/>
  <c r="F15" i="77"/>
  <c r="F17" i="77"/>
  <c r="F18" i="77"/>
  <c r="F20" i="77"/>
  <c r="F23" i="77"/>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E12" i="76"/>
  <c r="B7" i="76"/>
  <c r="B9" i="76"/>
  <c r="B10" i="76"/>
  <c r="B8" i="76"/>
  <c r="E11" i="76"/>
  <c r="B13" i="76"/>
  <c r="B12" i="76"/>
  <c r="E7" i="76"/>
  <c r="E10" i="76"/>
  <c r="B11" i="76"/>
  <c r="E9" i="76"/>
  <c r="E8" i="76"/>
  <c r="E13" i="76"/>
  <c r="C76" i="9" l="1"/>
  <c r="I107" i="40" l="1"/>
  <c r="K6" i="4" l="1"/>
  <c r="N56" i="84" l="1"/>
  <c r="K56" i="84"/>
  <c r="M56" i="84"/>
  <c r="J56" i="84"/>
  <c r="J57" i="84" s="1"/>
  <c r="J59" i="84" s="1"/>
  <c r="J61" i="84" s="1"/>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F3" i="73"/>
  <c r="F4" i="73"/>
  <c r="F5" i="73"/>
  <c r="D3" i="73"/>
  <c r="I1" i="73" l="1"/>
  <c r="B39" i="1" s="1"/>
  <c r="D5" i="73"/>
  <c r="D6" i="73"/>
  <c r="D7" i="73"/>
  <c r="D4" i="73"/>
  <c r="F11" i="83" l="1"/>
  <c r="M11" i="83"/>
  <c r="F11" i="82"/>
  <c r="M11" i="82"/>
  <c r="F11" i="81"/>
  <c r="M11" i="8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3" l="1"/>
  <c r="C53" i="8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V20" i="71" l="1"/>
  <c r="M19" i="43"/>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C19" i="71" s="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2" i="1"/>
  <c r="AO13" i="1"/>
  <c r="AO11" i="1"/>
  <c r="B11" i="70" l="1"/>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67" i="43"/>
  <c r="D60" i="43"/>
  <c r="D61" i="43"/>
  <c r="D62" i="43"/>
  <c r="D63" i="43"/>
  <c r="D64" i="43"/>
  <c r="D65" i="43"/>
  <c r="D66" i="43"/>
  <c r="D59" i="43"/>
  <c r="E59" i="43" s="1"/>
  <c r="B57" i="43" s="1"/>
  <c r="M88" i="43"/>
  <c r="N88" i="43" s="1"/>
  <c r="K88" i="43"/>
  <c r="J88" i="43" s="1"/>
  <c r="M87" i="43"/>
  <c r="N87" i="43"/>
  <c r="K87" i="43"/>
  <c r="D87" i="43" s="1"/>
  <c r="J87" i="43"/>
  <c r="M86" i="43"/>
  <c r="N86" i="43"/>
  <c r="K86" i="43"/>
  <c r="J86" i="43"/>
  <c r="D86" i="43" s="1"/>
  <c r="M85" i="43"/>
  <c r="N85" i="43"/>
  <c r="K85" i="43"/>
  <c r="D85" i="43" s="1"/>
  <c r="J85" i="43"/>
  <c r="M84" i="43"/>
  <c r="N84" i="43" s="1"/>
  <c r="K84" i="43"/>
  <c r="J84" i="43" s="1"/>
  <c r="M83" i="43"/>
  <c r="N83" i="43"/>
  <c r="K83" i="43"/>
  <c r="D83" i="43" s="1"/>
  <c r="J83" i="43"/>
  <c r="M82" i="43"/>
  <c r="N82" i="43" s="1"/>
  <c r="K82" i="43"/>
  <c r="D82" i="43" s="1"/>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K10" i="1" s="1"/>
  <c r="M10" i="1" s="1"/>
  <c r="O10" i="1" s="1"/>
  <c r="A11" i="1"/>
  <c r="A12" i="1"/>
  <c r="A13" i="1"/>
  <c r="K13" i="1" s="1"/>
  <c r="M13" i="1" s="1"/>
  <c r="O13" i="1" s="1"/>
  <c r="P13" i="1" s="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D3" i="86" s="1"/>
  <c r="E21" i="6"/>
  <c r="K8" i="1" s="1"/>
  <c r="F23" i="15"/>
  <c r="D24" i="15" s="1"/>
  <c r="O8" i="1"/>
  <c r="P8" i="1" s="1"/>
  <c r="E22" i="6"/>
  <c r="K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W30" i="36" s="1"/>
  <c r="H30" i="36"/>
  <c r="F30" i="36"/>
  <c r="AA30" i="36" s="1"/>
  <c r="C26" i="35"/>
  <c r="C79" i="35" s="1"/>
  <c r="J31" i="35"/>
  <c r="W31" i="35" s="1"/>
  <c r="H31" i="35"/>
  <c r="F31" i="35"/>
  <c r="S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D114" i="34"/>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H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J11" i="35" s="1"/>
  <c r="B61" i="35"/>
  <c r="B59" i="35"/>
  <c r="H12" i="35" s="1"/>
  <c r="B131" i="34"/>
  <c r="B129" i="34"/>
  <c r="H46" i="34" s="1"/>
  <c r="B127" i="34"/>
  <c r="B99" i="34"/>
  <c r="F32" i="34" s="1"/>
  <c r="B97" i="34"/>
  <c r="B95" i="34"/>
  <c r="H30" i="34" s="1"/>
  <c r="B93" i="34"/>
  <c r="B75" i="34"/>
  <c r="F14" i="34" s="1"/>
  <c r="B73" i="34"/>
  <c r="B71" i="34"/>
  <c r="H12" i="34" s="1"/>
  <c r="B130" i="33"/>
  <c r="B128" i="33"/>
  <c r="H45" i="33" s="1"/>
  <c r="B126" i="33"/>
  <c r="B98" i="33"/>
  <c r="H31" i="33" s="1"/>
  <c r="B96" i="33"/>
  <c r="B94" i="33"/>
  <c r="J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J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A585" i="3" s="1"/>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AC44" i="39" s="1"/>
  <c r="F36" i="39"/>
  <c r="S36" i="39" s="1"/>
  <c r="H36" i="39"/>
  <c r="AB36"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W22" i="35"/>
  <c r="F36" i="34"/>
  <c r="S34" i="34"/>
  <c r="H39" i="33"/>
  <c r="AB39" i="33" s="1"/>
  <c r="S9" i="33"/>
  <c r="U33" i="33"/>
  <c r="U35" i="33"/>
  <c r="W33" i="33"/>
  <c r="W39" i="33"/>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W32" i="40"/>
  <c r="F37" i="39"/>
  <c r="AA37" i="39" s="1"/>
  <c r="U30" i="36"/>
  <c r="J30" i="35"/>
  <c r="W30" i="35" s="1"/>
  <c r="H30" i="35"/>
  <c r="AB30" i="35" s="1"/>
  <c r="F22" i="35"/>
  <c r="AA22" i="35" s="1"/>
  <c r="H10" i="35"/>
  <c r="U10" i="35" s="1"/>
  <c r="AC16" i="36"/>
  <c r="F33" i="36"/>
  <c r="AA33" i="36" s="1"/>
  <c r="H16" i="36"/>
  <c r="AB16" i="36" s="1"/>
  <c r="E85" i="36"/>
  <c r="F85" i="36" s="1"/>
  <c r="G85" i="36" s="1"/>
  <c r="H85" i="36" s="1"/>
  <c r="I85" i="36" s="1"/>
  <c r="J85" i="36" s="1"/>
  <c r="K85" i="36" s="1"/>
  <c r="L85" i="36" s="1"/>
  <c r="M85" i="36" s="1"/>
  <c r="J29" i="36"/>
  <c r="AC29" i="36" s="1"/>
  <c r="F24" i="36"/>
  <c r="AA24" i="36" s="1"/>
  <c r="S10" i="36"/>
  <c r="S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H36" i="34"/>
  <c r="U36" i="34" s="1"/>
  <c r="F37" i="34"/>
  <c r="AA37" i="34" s="1"/>
  <c r="F27" i="34"/>
  <c r="AA27" i="34" s="1"/>
  <c r="H23" i="34"/>
  <c r="U23" i="34" s="1"/>
  <c r="J23" i="34"/>
  <c r="F19" i="34"/>
  <c r="H17" i="34"/>
  <c r="U17" i="34" s="1"/>
  <c r="F15" i="34"/>
  <c r="S15" i="34" s="1"/>
  <c r="H15" i="34"/>
  <c r="AB15"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B30" i="36"/>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J36" i="34"/>
  <c r="W36" i="34" s="1"/>
  <c r="H37" i="34"/>
  <c r="U37" i="34" s="1"/>
  <c r="H25" i="34"/>
  <c r="AB25" i="34" s="1"/>
  <c r="AB23" i="34"/>
  <c r="F23" i="34"/>
  <c r="AA23" i="34" s="1"/>
  <c r="J19" i="34"/>
  <c r="AC19" i="34" s="1"/>
  <c r="F17" i="34"/>
  <c r="AA17" i="34" s="1"/>
  <c r="AB17" i="34"/>
  <c r="S41" i="33"/>
  <c r="H37" i="33"/>
  <c r="AB37" i="33" s="1"/>
  <c r="H15" i="33"/>
  <c r="AB15" i="33" s="1"/>
  <c r="H11" i="33"/>
  <c r="AB11" i="33" s="1"/>
  <c r="F28" i="40"/>
  <c r="AA28" i="40" s="1"/>
  <c r="AA29" i="35"/>
  <c r="AA42" i="34"/>
  <c r="S42" i="34"/>
  <c r="J37" i="34"/>
  <c r="AC37" i="34" s="1"/>
  <c r="J11" i="33"/>
  <c r="W11" i="33" s="1"/>
  <c r="U23" i="40"/>
  <c r="G123" i="21"/>
  <c r="H123" i="21" s="1"/>
  <c r="I123" i="21" s="1"/>
  <c r="J123" i="21" s="1"/>
  <c r="K123" i="21" s="1"/>
  <c r="L123" i="21" s="1"/>
  <c r="M123" i="21" s="1"/>
  <c r="J42" i="21"/>
  <c r="AC42" i="21" s="1"/>
  <c r="H42" i="21"/>
  <c r="U42" i="21" s="1"/>
  <c r="J44" i="34"/>
  <c r="AC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S13" i="33" s="1"/>
  <c r="H29" i="33"/>
  <c r="U29" i="33" s="1"/>
  <c r="J31" i="33"/>
  <c r="W31" i="33" s="1"/>
  <c r="F31" i="33"/>
  <c r="J45" i="33"/>
  <c r="W45" i="33" s="1"/>
  <c r="J14" i="34"/>
  <c r="W14" i="34" s="1"/>
  <c r="H14" i="34"/>
  <c r="F30" i="34"/>
  <c r="S30" i="34" s="1"/>
  <c r="H32" i="34"/>
  <c r="J32" i="34"/>
  <c r="W32" i="34" s="1"/>
  <c r="F46" i="34"/>
  <c r="H11" i="35"/>
  <c r="U11" i="35" s="1"/>
  <c r="F11" i="35"/>
  <c r="S11" i="35" s="1"/>
  <c r="J26" i="36"/>
  <c r="W26" i="36" s="1"/>
  <c r="H28" i="36"/>
  <c r="U28" i="36" s="1"/>
  <c r="H32" i="36"/>
  <c r="AB32" i="36" s="1"/>
  <c r="J32" i="36"/>
  <c r="W32" i="36" s="1"/>
  <c r="J11" i="36"/>
  <c r="AC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J10" i="36"/>
  <c r="AC10" i="36" s="1"/>
  <c r="AB30" i="21"/>
  <c r="AA14" i="37"/>
  <c r="W31" i="34"/>
  <c r="W13" i="36"/>
  <c r="W11" i="36"/>
  <c r="BA586" i="3"/>
  <c r="F17" i="21"/>
  <c r="AA17" i="21" s="1"/>
  <c r="H17" i="21"/>
  <c r="AB17" i="21" s="1"/>
  <c r="F15" i="21"/>
  <c r="S15" i="21" s="1"/>
  <c r="AB11" i="21"/>
  <c r="J41" i="39"/>
  <c r="W41" i="39" s="1"/>
  <c r="W44" i="39"/>
  <c r="W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s="1"/>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AZ502" i="3" s="1"/>
  <c r="BA500" i="3"/>
  <c r="BA498" i="3"/>
  <c r="AZ498" i="3" s="1"/>
  <c r="BA496" i="3"/>
  <c r="AZ496" i="3" s="1"/>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AZ501" i="3" s="1"/>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2" i="36"/>
  <c r="U35" i="35"/>
  <c r="AA12" i="35"/>
  <c r="W14" i="37"/>
  <c r="AB28" i="37"/>
  <c r="U33" i="37"/>
  <c r="U39" i="37"/>
  <c r="W26" i="37"/>
  <c r="AC8" i="37"/>
  <c r="U26" i="37"/>
  <c r="W47" i="34"/>
  <c r="W37" i="34"/>
  <c r="AB37" i="34"/>
  <c r="AA13" i="33"/>
  <c r="AC45" i="33"/>
  <c r="W44" i="33"/>
  <c r="U11" i="33"/>
  <c r="U19" i="21"/>
  <c r="AB38" i="21"/>
  <c r="F43" i="33"/>
  <c r="AA43" i="33" s="1"/>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19" i="40"/>
  <c r="S19" i="40" s="1"/>
  <c r="AC13" i="40"/>
  <c r="AB33" i="40"/>
  <c r="W23" i="39"/>
  <c r="H37" i="39"/>
  <c r="AB37" i="39" s="1"/>
  <c r="H25" i="39"/>
  <c r="AB25" i="39" s="1"/>
  <c r="J25" i="39"/>
  <c r="F25" i="39"/>
  <c r="AA25" i="39" s="1"/>
  <c r="F15" i="39"/>
  <c r="AA15" i="39" s="1"/>
  <c r="H15" i="39"/>
  <c r="U15" i="39" s="1"/>
  <c r="J15" i="39"/>
  <c r="W15" i="39" s="1"/>
  <c r="H41" i="39"/>
  <c r="W27" i="39"/>
  <c r="AB34" i="39"/>
  <c r="U40" i="39"/>
  <c r="S42" i="39"/>
  <c r="W14"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AZ394" i="3" s="1"/>
  <c r="BL394" i="3"/>
  <c r="G113" i="3"/>
  <c r="BA115" i="3"/>
  <c r="BL116" i="3"/>
  <c r="AZ116" i="3"/>
  <c r="G117" i="3"/>
  <c r="BA119" i="3"/>
  <c r="AZ119" i="3" s="1"/>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43" i="3"/>
  <c r="AZ47" i="3"/>
  <c r="AZ59" i="3"/>
  <c r="AZ63" i="3"/>
  <c r="AZ75" i="3"/>
  <c r="AZ136" i="3"/>
  <c r="AZ144" i="3"/>
  <c r="AZ152" i="3"/>
  <c r="AZ168" i="3"/>
  <c r="AZ176" i="3"/>
  <c r="AZ184" i="3"/>
  <c r="AZ200" i="3"/>
  <c r="AZ93"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50" i="3"/>
  <c r="AZ158" i="3"/>
  <c r="AZ166" i="3"/>
  <c r="AZ174" i="3"/>
  <c r="AZ182" i="3"/>
  <c r="AZ190" i="3"/>
  <c r="AZ198"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M5" i="3"/>
  <c r="BH5" i="3"/>
  <c r="BD5" i="3"/>
  <c r="AZ309" i="3"/>
  <c r="AZ325" i="3"/>
  <c r="AZ341" i="3"/>
  <c r="AC5" i="3"/>
  <c r="AZ549" i="3"/>
  <c r="AZ506" i="3"/>
  <c r="G548" i="3"/>
  <c r="G538" i="3"/>
  <c r="G520" i="3"/>
  <c r="G502" i="3"/>
  <c r="BP5" i="3"/>
  <c r="BN5" i="3"/>
  <c r="AZ343" i="3"/>
  <c r="BK5" i="3"/>
  <c r="BI5" i="3"/>
  <c r="BG5" i="3"/>
  <c r="BE5" i="3"/>
  <c r="BC5" i="3"/>
  <c r="G17" i="3"/>
  <c r="BA17" i="3"/>
  <c r="BT5" i="3"/>
  <c r="AZ350" i="3"/>
  <c r="AZ352" i="3"/>
  <c r="AZ360" i="3"/>
  <c r="AZ368" i="3"/>
  <c r="BA15" i="3"/>
  <c r="BB5" i="3"/>
  <c r="E8" i="6" s="1"/>
  <c r="F27" i="6" s="1"/>
  <c r="BR5" i="3"/>
  <c r="AZ380" i="3"/>
  <c r="AZ384" i="3"/>
  <c r="AZ388" i="3"/>
  <c r="AZ392" i="3"/>
  <c r="AZ499" i="3"/>
  <c r="G509" i="3"/>
  <c r="BL493" i="3"/>
  <c r="AZ491" i="3"/>
  <c r="AZ390" i="3"/>
  <c r="AZ493" i="3"/>
  <c r="N4" i="43"/>
  <c r="F81" i="43"/>
  <c r="H83" i="43" s="1"/>
  <c r="F48" i="43"/>
  <c r="H52" i="43" s="1"/>
  <c r="N7" i="43"/>
  <c r="F70" i="43"/>
  <c r="H73" i="43" s="1"/>
  <c r="M6" i="43"/>
  <c r="M11" i="43"/>
  <c r="F39" i="43"/>
  <c r="F35" i="43"/>
  <c r="F6" i="1"/>
  <c r="U17" i="39"/>
  <c r="U43" i="21"/>
  <c r="U35" i="21"/>
  <c r="AC35" i="21"/>
  <c r="U10" i="21"/>
  <c r="G10" i="1"/>
  <c r="F48" i="9"/>
  <c r="O52" i="9" s="1"/>
  <c r="AC11" i="39"/>
  <c r="W37" i="37"/>
  <c r="S15" i="37"/>
  <c r="U13" i="37"/>
  <c r="U12" i="40"/>
  <c r="AA12" i="40"/>
  <c r="J37" i="33"/>
  <c r="W37"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0" i="3"/>
  <c r="AZ29" i="3"/>
  <c r="AZ31" i="3"/>
  <c r="AZ33" i="3"/>
  <c r="AZ45" i="3"/>
  <c r="AZ50" i="3"/>
  <c r="AZ61" i="3"/>
  <c r="AZ66" i="3"/>
  <c r="AZ72" i="3"/>
  <c r="AZ74" i="3"/>
  <c r="AZ77" i="3"/>
  <c r="AZ86" i="3"/>
  <c r="AZ94"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2" i="43"/>
  <c r="AA28" i="34" l="1"/>
  <c r="S28" i="34"/>
  <c r="U23" i="35"/>
  <c r="AB23" i="35"/>
  <c r="AB9" i="36"/>
  <c r="U9" i="36"/>
  <c r="U11" i="36"/>
  <c r="AB11" i="36"/>
  <c r="AC24" i="36"/>
  <c r="W24" i="36"/>
  <c r="AC43" i="39"/>
  <c r="W43" i="39"/>
  <c r="U45" i="39"/>
  <c r="AB45" i="39"/>
  <c r="AC35" i="39"/>
  <c r="W35" i="39"/>
  <c r="AZ509" i="3"/>
  <c r="AZ587" i="3"/>
  <c r="S12" i="21"/>
  <c r="AA12" i="21"/>
  <c r="AC44" i="21"/>
  <c r="W44" i="21"/>
  <c r="W46" i="21"/>
  <c r="AC46" i="21"/>
  <c r="AB13" i="33"/>
  <c r="U13" i="33"/>
  <c r="AC29" i="33"/>
  <c r="W29" i="33"/>
  <c r="AB31" i="33"/>
  <c r="U31" i="33"/>
  <c r="U45" i="33"/>
  <c r="AB45" i="33"/>
  <c r="S14" i="34"/>
  <c r="AA14" i="34"/>
  <c r="U46" i="34"/>
  <c r="AB46" i="34"/>
  <c r="U12" i="35"/>
  <c r="AB12" i="35"/>
  <c r="AC11" i="35"/>
  <c r="W11" i="35"/>
  <c r="AB34" i="35"/>
  <c r="U34" i="35"/>
  <c r="AC12" i="36"/>
  <c r="W12" i="36"/>
  <c r="AB44" i="39"/>
  <c r="U44" i="39"/>
  <c r="AC37" i="39"/>
  <c r="W37" i="39"/>
  <c r="W12" i="40"/>
  <c r="AC12" i="40"/>
  <c r="BL586" i="3"/>
  <c r="AZ585" i="3"/>
  <c r="AZ557" i="3"/>
  <c r="H75" i="43"/>
  <c r="W44" i="34"/>
  <c r="S14" i="35"/>
  <c r="U36" i="40"/>
  <c r="BQ5" i="3"/>
  <c r="AZ326" i="3"/>
  <c r="AZ311" i="3"/>
  <c r="AZ372" i="3"/>
  <c r="AZ347" i="3"/>
  <c r="AZ344" i="3"/>
  <c r="AZ337" i="3"/>
  <c r="AZ320" i="3"/>
  <c r="AZ313" i="3"/>
  <c r="AZ305" i="3"/>
  <c r="AZ362" i="3"/>
  <c r="AA41" i="39"/>
  <c r="S14" i="40"/>
  <c r="U12" i="21"/>
  <c r="U26" i="21"/>
  <c r="AC31" i="33"/>
  <c r="AB13" i="34"/>
  <c r="AC33" i="36"/>
  <c r="U14" i="40"/>
  <c r="U43" i="33"/>
  <c r="U32" i="33"/>
  <c r="AZ507" i="3"/>
  <c r="AZ513" i="3"/>
  <c r="AZ521" i="3"/>
  <c r="AZ553" i="3"/>
  <c r="AZ583" i="3"/>
  <c r="AZ581" i="3"/>
  <c r="AZ518" i="3"/>
  <c r="AZ538" i="3"/>
  <c r="AZ552" i="3"/>
  <c r="U36" i="39"/>
  <c r="S11" i="36"/>
  <c r="AB26" i="33"/>
  <c r="AB11" i="35"/>
  <c r="AA44" i="33"/>
  <c r="J46" i="34"/>
  <c r="J30" i="34"/>
  <c r="F45" i="33"/>
  <c r="F29" i="33"/>
  <c r="S29" i="33" s="1"/>
  <c r="J28" i="33"/>
  <c r="W28" i="33" s="1"/>
  <c r="F44" i="21"/>
  <c r="AA44" i="21" s="1"/>
  <c r="J28" i="21"/>
  <c r="F44" i="34"/>
  <c r="AA44" i="34" s="1"/>
  <c r="AA15" i="34"/>
  <c r="J25" i="34"/>
  <c r="AC25" i="34" s="1"/>
  <c r="H38" i="34"/>
  <c r="AB38" i="34" s="1"/>
  <c r="U30" i="35"/>
  <c r="J28" i="34"/>
  <c r="J15" i="34"/>
  <c r="F25" i="34"/>
  <c r="S25" i="34" s="1"/>
  <c r="AA39" i="37"/>
  <c r="AC8" i="35"/>
  <c r="F23" i="35"/>
  <c r="AA23" i="35" s="1"/>
  <c r="AB8" i="36"/>
  <c r="F34" i="36"/>
  <c r="S34" i="36" s="1"/>
  <c r="F12" i="36"/>
  <c r="J34" i="36"/>
  <c r="S44" i="39"/>
  <c r="AA12" i="34"/>
  <c r="AB12" i="33"/>
  <c r="C15" i="39"/>
  <c r="C25" i="39"/>
  <c r="S38" i="40"/>
  <c r="W31" i="40"/>
  <c r="U38" i="40"/>
  <c r="U9" i="40"/>
  <c r="S27" i="35"/>
  <c r="S40" i="33"/>
  <c r="F26" i="33"/>
  <c r="U34" i="34"/>
  <c r="S34" i="35"/>
  <c r="W28" i="35"/>
  <c r="U31" i="36"/>
  <c r="S30" i="36"/>
  <c r="U14" i="37"/>
  <c r="J45" i="39"/>
  <c r="AB41" i="21"/>
  <c r="J12" i="21"/>
  <c r="AC12" i="21" s="1"/>
  <c r="J23" i="35"/>
  <c r="J36" i="35"/>
  <c r="H12" i="36"/>
  <c r="H24" i="36"/>
  <c r="AB24" i="36" s="1"/>
  <c r="H39" i="40"/>
  <c r="G582" i="3"/>
  <c r="G566" i="3"/>
  <c r="G552" i="3"/>
  <c r="BA551" i="3"/>
  <c r="G551" i="3"/>
  <c r="BL550" i="3"/>
  <c r="BA550" i="3"/>
  <c r="F9" i="1"/>
  <c r="F8" i="1"/>
  <c r="AZ403" i="3"/>
  <c r="AZ406" i="3"/>
  <c r="AZ419" i="3"/>
  <c r="AZ422" i="3"/>
  <c r="AZ425" i="3"/>
  <c r="AZ435" i="3"/>
  <c r="AZ438" i="3"/>
  <c r="AZ442" i="3"/>
  <c r="AZ451" i="3"/>
  <c r="AZ453" i="3"/>
  <c r="AZ454" i="3"/>
  <c r="AZ458" i="3"/>
  <c r="AZ469" i="3"/>
  <c r="AZ487" i="3"/>
  <c r="AZ274" i="3"/>
  <c r="AZ284" i="3"/>
  <c r="AZ293" i="3"/>
  <c r="BL548" i="3"/>
  <c r="AZ548" i="3" s="1"/>
  <c r="G526" i="3"/>
  <c r="M20" i="15"/>
  <c r="M20" i="83"/>
  <c r="M20" i="82"/>
  <c r="M20" i="81"/>
  <c r="F34" i="83"/>
  <c r="F62" i="83" s="1"/>
  <c r="F34" i="82"/>
  <c r="F62" i="82" s="1"/>
  <c r="F34" i="81"/>
  <c r="F62" i="81" s="1"/>
  <c r="D78" i="9"/>
  <c r="D78" i="84"/>
  <c r="D93" i="84"/>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AZ277" i="3" s="1"/>
  <c r="BA278" i="3"/>
  <c r="AZ278" i="3" s="1"/>
  <c r="BA279" i="3"/>
  <c r="AZ279" i="3" s="1"/>
  <c r="BA280" i="3"/>
  <c r="AZ280" i="3" s="1"/>
  <c r="G283" i="3"/>
  <c r="G284" i="3"/>
  <c r="BL284" i="3"/>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AZ30" i="3"/>
  <c r="AZ49" i="3"/>
  <c r="AZ95" i="3"/>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M47" i="84"/>
  <c r="C7" i="86"/>
  <c r="C59" i="86" s="1"/>
  <c r="I20" i="66"/>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BA96" i="3"/>
  <c r="AZ96" i="3" s="1"/>
  <c r="BA97" i="3"/>
  <c r="AZ97" i="3" s="1"/>
  <c r="G100" i="3"/>
  <c r="BL100" i="3"/>
  <c r="AZ100" i="3" s="1"/>
  <c r="BL102" i="3"/>
  <c r="AZ102" i="3" s="1"/>
  <c r="BA103" i="3"/>
  <c r="AZ103" i="3" s="1"/>
  <c r="BL105" i="3"/>
  <c r="AZ105" i="3" s="1"/>
  <c r="G107" i="3"/>
  <c r="BL107" i="3"/>
  <c r="G109" i="3"/>
  <c r="G110" i="3"/>
  <c r="G111" i="3"/>
  <c r="BL111" i="3"/>
  <c r="F3" i="35"/>
  <c r="M9" i="1"/>
  <c r="O9" i="1" s="1"/>
  <c r="P9" i="1" s="1"/>
  <c r="M8" i="1"/>
  <c r="D88" i="43"/>
  <c r="D84" i="43"/>
  <c r="J82" i="43"/>
  <c r="D81" i="43"/>
  <c r="C51" i="10"/>
  <c r="A13" i="51" s="1"/>
  <c r="B11" i="72" s="1"/>
  <c r="A2" i="84"/>
  <c r="A118" i="84"/>
  <c r="F38" i="34"/>
  <c r="S38" i="34" s="1"/>
  <c r="J38" i="34"/>
  <c r="H35" i="34"/>
  <c r="U35" i="34" s="1"/>
  <c r="J35" i="34"/>
  <c r="W35" i="34" s="1"/>
  <c r="F35" i="34"/>
  <c r="J17" i="34"/>
  <c r="W17" i="34" s="1"/>
  <c r="S44" i="34"/>
  <c r="AA41" i="34"/>
  <c r="AC17" i="34"/>
  <c r="S9" i="34"/>
  <c r="W8" i="34"/>
  <c r="AA38" i="34"/>
  <c r="AC36" i="34"/>
  <c r="W9" i="34"/>
  <c r="C27" i="39"/>
  <c r="G1" i="83"/>
  <c r="G1" i="81"/>
  <c r="G1" i="82"/>
  <c r="G11" i="1"/>
  <c r="G9" i="1"/>
  <c r="H5" i="3"/>
  <c r="BL15" i="3"/>
  <c r="AZ15" i="3" s="1"/>
  <c r="BO5" i="3"/>
  <c r="F29" i="6" s="1"/>
  <c r="BS5" i="3"/>
  <c r="G14" i="3"/>
  <c r="BJ5" i="3"/>
  <c r="BF5" i="3"/>
  <c r="E12" i="6" s="1"/>
  <c r="G28" i="6"/>
  <c r="H48" i="43"/>
  <c r="J17" i="43"/>
  <c r="I17" i="43"/>
  <c r="E17" i="43"/>
  <c r="H113" i="43"/>
  <c r="F36" i="43"/>
  <c r="H87" i="43"/>
  <c r="H86" i="43"/>
  <c r="H50" i="43"/>
  <c r="H49" i="43"/>
  <c r="H74" i="43"/>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E28" i="6"/>
  <c r="E56" i="40"/>
  <c r="AR12" i="1"/>
  <c r="T10" i="1"/>
  <c r="E19" i="69"/>
  <c r="E19" i="68"/>
  <c r="E19" i="11"/>
  <c r="E1" i="73"/>
  <c r="K1" i="73" s="1"/>
  <c r="G41" i="69"/>
  <c r="G22" i="69"/>
  <c r="G41" i="68"/>
  <c r="G22" i="68"/>
  <c r="G27" i="12"/>
  <c r="G26" i="12"/>
  <c r="G41" i="11"/>
  <c r="G22" i="11"/>
  <c r="G25" i="12"/>
  <c r="C100" i="43"/>
  <c r="E11" i="43"/>
  <c r="E10" i="43"/>
  <c r="E9" i="43"/>
  <c r="E8" i="43"/>
  <c r="C7" i="43" s="1"/>
  <c r="E81" i="43"/>
  <c r="B79" i="43" s="1"/>
  <c r="C24" i="43" s="1"/>
  <c r="E48" i="43"/>
  <c r="B46" i="43" s="1"/>
  <c r="E70" i="43"/>
  <c r="B68" i="43" s="1"/>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C77" i="84" l="1"/>
  <c r="C74" i="84" s="1"/>
  <c r="U39" i="40"/>
  <c r="AB39" i="40"/>
  <c r="U12" i="36"/>
  <c r="AB12" i="36"/>
  <c r="AC23" i="35"/>
  <c r="W23" i="35"/>
  <c r="AA26" i="33"/>
  <c r="S26" i="33"/>
  <c r="W34" i="36"/>
  <c r="AC34" i="36"/>
  <c r="AC15" i="34"/>
  <c r="W15" i="34"/>
  <c r="W30" i="34"/>
  <c r="AC30" i="34"/>
  <c r="W17" i="21"/>
  <c r="F53" i="9"/>
  <c r="D68" i="84"/>
  <c r="F54" i="84"/>
  <c r="F53" i="84"/>
  <c r="F52" i="84"/>
  <c r="F32" i="83"/>
  <c r="F60" i="83" s="1"/>
  <c r="F28" i="83"/>
  <c r="C28" i="83" s="1"/>
  <c r="M18" i="83"/>
  <c r="F32" i="82"/>
  <c r="F60" i="82" s="1"/>
  <c r="F28" i="82"/>
  <c r="C28" i="82" s="1"/>
  <c r="M18" i="82"/>
  <c r="F32" i="81"/>
  <c r="F60" i="81" s="1"/>
  <c r="F28" i="81"/>
  <c r="C28" i="81" s="1"/>
  <c r="M18" i="81"/>
  <c r="D59" i="86"/>
  <c r="E59" i="86" s="1"/>
  <c r="F59" i="86" s="1"/>
  <c r="G59" i="86" s="1"/>
  <c r="H59" i="86" s="1"/>
  <c r="I59" i="86" s="1"/>
  <c r="J59" i="86" s="1"/>
  <c r="K59" i="86" s="1"/>
  <c r="L59" i="86" s="1"/>
  <c r="M59" i="86" s="1"/>
  <c r="N59" i="86" s="1"/>
  <c r="O59" i="86" s="1"/>
  <c r="F7" i="86"/>
  <c r="J7" i="86"/>
  <c r="H7" i="86"/>
  <c r="G8" i="1"/>
  <c r="I20" i="43"/>
  <c r="C20" i="43" s="1"/>
  <c r="AC36" i="35"/>
  <c r="W36" i="35"/>
  <c r="W45" i="39"/>
  <c r="AC45" i="39"/>
  <c r="S12" i="36"/>
  <c r="AA12" i="36"/>
  <c r="W28" i="34"/>
  <c r="AC28" i="34"/>
  <c r="W28" i="21"/>
  <c r="AC28" i="21"/>
  <c r="AA45" i="33"/>
  <c r="S45" i="33"/>
  <c r="F30" i="6"/>
  <c r="F31" i="6" s="1"/>
  <c r="W38" i="34"/>
  <c r="AC38" i="34"/>
  <c r="AA35" i="34"/>
  <c r="S35" i="34"/>
  <c r="T12" i="1"/>
  <c r="AR10" i="1"/>
  <c r="E57" i="40"/>
  <c r="E62" i="39"/>
  <c r="E29" i="6"/>
  <c r="C6" i="43"/>
  <c r="E4" i="4"/>
  <c r="B5" i="62" s="1"/>
  <c r="B73" i="72" s="1"/>
  <c r="J53" i="67"/>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R11" i="1"/>
  <c r="E59" i="40"/>
  <c r="D68" i="39"/>
  <c r="D70" i="39" s="1"/>
  <c r="P24" i="43"/>
  <c r="B66" i="40"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M20" i="6"/>
  <c r="I20" i="6" s="1"/>
  <c r="G16" i="1"/>
  <c r="H10" i="40" s="1"/>
  <c r="U10" i="40" s="1"/>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67"/>
  <c r="F31" i="67"/>
  <c r="M17" i="67"/>
  <c r="M17" i="15"/>
  <c r="F31" i="15"/>
  <c r="F59" i="15"/>
  <c r="F8" i="83"/>
  <c r="F40" i="83"/>
  <c r="F7" i="83"/>
  <c r="C76" i="83"/>
  <c r="M23" i="82"/>
  <c r="F8" i="82"/>
  <c r="M8" i="82"/>
  <c r="M26" i="81"/>
  <c r="M22" i="81"/>
  <c r="M28" i="81"/>
  <c r="F37" i="15"/>
  <c r="F9" i="67"/>
  <c r="F16" i="67"/>
  <c r="F36" i="15"/>
  <c r="M24" i="15"/>
  <c r="L47" i="15"/>
  <c r="F36" i="83"/>
  <c r="M29" i="83"/>
  <c r="M27" i="83"/>
  <c r="M28" i="82"/>
  <c r="L48" i="82"/>
  <c r="F36" i="82"/>
  <c r="C76" i="82"/>
  <c r="M29" i="81"/>
  <c r="M24" i="81"/>
  <c r="M8" i="81"/>
  <c r="F40" i="67"/>
  <c r="M29" i="67"/>
  <c r="M23" i="15"/>
  <c r="F42" i="67"/>
  <c r="M8" i="67"/>
  <c r="G1" i="73"/>
  <c r="F7" i="82"/>
  <c r="L47" i="82"/>
  <c r="F43" i="81"/>
  <c r="F9" i="81"/>
  <c r="F6" i="15"/>
  <c r="C76" i="67"/>
  <c r="L48" i="67"/>
  <c r="F43" i="83"/>
  <c r="M9" i="83"/>
  <c r="M28" i="83"/>
  <c r="F16" i="83"/>
  <c r="F37" i="82"/>
  <c r="M24" i="82"/>
  <c r="J15" i="82"/>
  <c r="F36" i="81"/>
  <c r="F40" i="81"/>
  <c r="F16" i="81"/>
  <c r="M28" i="67"/>
  <c r="F8" i="15"/>
  <c r="F8" i="67"/>
  <c r="F6" i="67"/>
  <c r="L47" i="67"/>
  <c r="M28" i="15"/>
  <c r="M24" i="83"/>
  <c r="M22" i="83"/>
  <c r="M8" i="83"/>
  <c r="F41" i="82"/>
  <c r="F40" i="82"/>
  <c r="L47" i="81"/>
  <c r="F8" i="81"/>
  <c r="F13" i="15"/>
  <c r="F42" i="15"/>
  <c r="F37" i="67"/>
  <c r="F26" i="83"/>
  <c r="L48" i="81"/>
  <c r="J15" i="67"/>
  <c r="F9" i="15"/>
  <c r="F7" i="67"/>
  <c r="M8" i="15"/>
  <c r="L48" i="83"/>
  <c r="M6" i="83"/>
  <c r="M22" i="82"/>
  <c r="F6" i="81"/>
  <c r="F37" i="81"/>
  <c r="F38" i="67"/>
  <c r="M23" i="67"/>
  <c r="F43" i="15"/>
  <c r="F6" i="82"/>
  <c r="M23" i="81"/>
  <c r="F26" i="15"/>
  <c r="M26" i="67"/>
  <c r="F13" i="83"/>
  <c r="F37" i="83"/>
  <c r="M9" i="82"/>
  <c r="F41" i="81"/>
  <c r="M9" i="81"/>
  <c r="F7" i="15"/>
  <c r="M9" i="67"/>
  <c r="M29" i="15"/>
  <c r="J15" i="83"/>
  <c r="M23" i="83"/>
  <c r="F16" i="82"/>
  <c r="F40" i="15"/>
  <c r="F38" i="15"/>
  <c r="M26" i="83"/>
  <c r="L47" i="83"/>
  <c r="F9" i="82"/>
  <c r="F43" i="82"/>
  <c r="M29" i="82"/>
  <c r="F42" i="81"/>
  <c r="F26" i="81"/>
  <c r="L48" i="15"/>
  <c r="M9" i="15"/>
  <c r="F36" i="67"/>
  <c r="F9" i="83"/>
  <c r="F26" i="82"/>
  <c r="F13" i="82"/>
  <c r="F7" i="81"/>
  <c r="F26" i="67"/>
  <c r="C76" i="15"/>
  <c r="J15" i="15"/>
  <c r="F13" i="67"/>
  <c r="F38" i="81"/>
  <c r="M22" i="15"/>
  <c r="M24" i="67"/>
  <c r="F38" i="83"/>
  <c r="F42" i="82"/>
  <c r="F38" i="82"/>
  <c r="F13" i="81"/>
  <c r="C76" i="81"/>
  <c r="M22" i="67"/>
  <c r="M26" i="15"/>
  <c r="F43" i="67"/>
  <c r="F42" i="83"/>
  <c r="M26" i="82"/>
  <c r="J15" i="81"/>
  <c r="F16" i="15"/>
  <c r="AC7" i="86" l="1"/>
  <c r="W7" i="86"/>
  <c r="U7" i="86"/>
  <c r="AB7" i="86"/>
  <c r="S7" i="86"/>
  <c r="AA7" i="86"/>
  <c r="M18" i="84"/>
  <c r="B118" i="84" s="1"/>
  <c r="L18" i="84"/>
  <c r="F65" i="67"/>
  <c r="B40" i="1"/>
  <c r="F24" i="83" s="1"/>
  <c r="C24" i="83" s="1"/>
  <c r="I54" i="67"/>
  <c r="L56" i="67"/>
  <c r="J57" i="67"/>
  <c r="J55" i="67" s="1"/>
  <c r="J58" i="67" s="1"/>
  <c r="Q50" i="67" s="1"/>
  <c r="F71" i="15"/>
  <c r="F66" i="15"/>
  <c r="F70" i="67"/>
  <c r="Q71" i="67"/>
  <c r="C27" i="15"/>
  <c r="Q71" i="15"/>
  <c r="C6" i="15"/>
  <c r="C10" i="15"/>
  <c r="F66" i="67"/>
  <c r="F68" i="67"/>
  <c r="F68" i="15"/>
  <c r="C27" i="67"/>
  <c r="F65" i="81"/>
  <c r="F51" i="81"/>
  <c r="F71" i="81"/>
  <c r="C10" i="81"/>
  <c r="C5" i="81" s="1"/>
  <c r="C32" i="81" s="1"/>
  <c r="C6" i="81"/>
  <c r="F66" i="81"/>
  <c r="F50" i="81"/>
  <c r="M7" i="81"/>
  <c r="N59" i="81"/>
  <c r="L59" i="81"/>
  <c r="Q61" i="81" s="1"/>
  <c r="L58" i="81"/>
  <c r="Q60" i="81" s="1"/>
  <c r="M59" i="81"/>
  <c r="Q71" i="82"/>
  <c r="L59" i="82"/>
  <c r="Q74" i="82" s="1"/>
  <c r="N59" i="82"/>
  <c r="M59" i="82"/>
  <c r="L58" i="82"/>
  <c r="Q73" i="82" s="1"/>
  <c r="F64" i="82"/>
  <c r="C6" i="82"/>
  <c r="C10" i="82"/>
  <c r="F68" i="82"/>
  <c r="J53" i="82"/>
  <c r="Q52" i="82" s="1"/>
  <c r="L56" i="82"/>
  <c r="I54" i="82"/>
  <c r="J57" i="82"/>
  <c r="J55" i="82" s="1"/>
  <c r="J58" i="82" s="1"/>
  <c r="Q50" i="82" s="1"/>
  <c r="C27" i="82"/>
  <c r="M7" i="82"/>
  <c r="F50" i="82"/>
  <c r="F69" i="82"/>
  <c r="I54" i="83"/>
  <c r="J57" i="83"/>
  <c r="J55" i="83" s="1"/>
  <c r="J58" i="83" s="1"/>
  <c r="Q50" i="83" s="1"/>
  <c r="J53" i="83"/>
  <c r="Q52" i="83" s="1"/>
  <c r="L56" i="83"/>
  <c r="F64" i="83"/>
  <c r="M59" i="15"/>
  <c r="L58" i="15"/>
  <c r="Q73" i="15" s="1"/>
  <c r="N59" i="15"/>
  <c r="F64" i="67"/>
  <c r="F71" i="67"/>
  <c r="L58" i="67"/>
  <c r="Q60" i="67" s="1"/>
  <c r="N59" i="67"/>
  <c r="L59" i="67" s="1"/>
  <c r="Q61" i="67" s="1"/>
  <c r="M59" i="67"/>
  <c r="M7" i="67"/>
  <c r="F50" i="67"/>
  <c r="F64" i="15"/>
  <c r="C6" i="67"/>
  <c r="C5" i="67" s="1"/>
  <c r="C32" i="67" s="1"/>
  <c r="F51" i="67"/>
  <c r="F50" i="15"/>
  <c r="M7" i="15"/>
  <c r="F51" i="15"/>
  <c r="I54" i="15"/>
  <c r="J53" i="15"/>
  <c r="L56" i="15" s="1"/>
  <c r="J57" i="15"/>
  <c r="J55" i="15" s="1"/>
  <c r="J58" i="15" s="1"/>
  <c r="Q50" i="15" s="1"/>
  <c r="F65" i="15"/>
  <c r="Q71" i="81"/>
  <c r="C27" i="81"/>
  <c r="F68" i="81"/>
  <c r="J57" i="81"/>
  <c r="J55" i="81" s="1"/>
  <c r="J58" i="81" s="1"/>
  <c r="Q50" i="81" s="1"/>
  <c r="I54" i="81"/>
  <c r="J53" i="81"/>
  <c r="F1" i="81" s="1"/>
  <c r="L56" i="81"/>
  <c r="F64" i="81"/>
  <c r="F69" i="81"/>
  <c r="F66" i="82"/>
  <c r="F51" i="82"/>
  <c r="F71" i="82"/>
  <c r="F65" i="82"/>
  <c r="Q71" i="83"/>
  <c r="C27" i="83"/>
  <c r="F65" i="83"/>
  <c r="M7" i="83"/>
  <c r="J10" i="83" s="1"/>
  <c r="F50" i="83"/>
  <c r="L58" i="83"/>
  <c r="Q73" i="83" s="1"/>
  <c r="M59" i="83"/>
  <c r="N59" i="83"/>
  <c r="L59" i="83"/>
  <c r="Q61" i="83" s="1"/>
  <c r="F68" i="83"/>
  <c r="F66" i="83"/>
  <c r="F51" i="83"/>
  <c r="F71" i="83"/>
  <c r="F1" i="83"/>
  <c r="Q61" i="82"/>
  <c r="Q73" i="81"/>
  <c r="AQ7" i="1"/>
  <c r="M22" i="6"/>
  <c r="I22" i="6" s="1"/>
  <c r="S22" i="6" s="1"/>
  <c r="S9" i="1"/>
  <c r="E9" i="70" s="1"/>
  <c r="M21" i="6"/>
  <c r="I21" i="6" s="1"/>
  <c r="S21" i="6" s="1"/>
  <c r="S8" i="1"/>
  <c r="E8" i="70" s="1"/>
  <c r="C30" i="69"/>
  <c r="K4" i="4"/>
  <c r="B46" i="48" s="1"/>
  <c r="B4" i="72" s="1"/>
  <c r="M19" i="6"/>
  <c r="I19" i="6"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J10" i="67"/>
  <c r="C53" i="67"/>
  <c r="F10" i="40"/>
  <c r="AA10" i="40" s="1"/>
  <c r="S20" i="6"/>
  <c r="M27" i="6"/>
  <c r="H10" i="39"/>
  <c r="J10" i="39"/>
  <c r="M16" i="1"/>
  <c r="N16" i="1" s="1"/>
  <c r="Q73" i="67"/>
  <c r="F27" i="11"/>
  <c r="F1" i="67"/>
  <c r="Q52" i="67"/>
  <c r="C16" i="83"/>
  <c r="AE9" i="1"/>
  <c r="C16" i="82"/>
  <c r="C17" i="81"/>
  <c r="C16" i="81"/>
  <c r="C16" i="15"/>
  <c r="C17" i="83"/>
  <c r="C16" i="67"/>
  <c r="C17" i="82"/>
  <c r="C17" i="15"/>
  <c r="Q74" i="83" l="1"/>
  <c r="Q52" i="15"/>
  <c r="Q74" i="81"/>
  <c r="F1" i="82"/>
  <c r="F24" i="67"/>
  <c r="C24" i="67" s="1"/>
  <c r="Q74" i="67"/>
  <c r="F24" i="15"/>
  <c r="C24" i="15" s="1"/>
  <c r="C49" i="81"/>
  <c r="C48" i="81" s="1"/>
  <c r="C60" i="81" s="1"/>
  <c r="F25" i="12"/>
  <c r="F24" i="81"/>
  <c r="C24" i="81" s="1"/>
  <c r="Q60" i="82"/>
  <c r="L19" i="84"/>
  <c r="M19" i="84"/>
  <c r="C118" i="84" s="1"/>
  <c r="C49" i="67"/>
  <c r="C5" i="82"/>
  <c r="C38" i="82" s="1"/>
  <c r="F22" i="68"/>
  <c r="C44" i="68" s="1"/>
  <c r="D41" i="68" s="1"/>
  <c r="F22" i="69"/>
  <c r="C26" i="69" s="1"/>
  <c r="D22" i="69" s="1"/>
  <c r="F22" i="11"/>
  <c r="C26" i="11" s="1"/>
  <c r="D22" i="11" s="1"/>
  <c r="F24" i="82"/>
  <c r="C24" i="82" s="1"/>
  <c r="C5" i="15"/>
  <c r="C32" i="15" s="1"/>
  <c r="Q60" i="15"/>
  <c r="F1" i="15"/>
  <c r="Q52" i="81"/>
  <c r="C49" i="83"/>
  <c r="C48" i="83" s="1"/>
  <c r="C66" i="83" s="1"/>
  <c r="Q60" i="83"/>
  <c r="J6" i="83"/>
  <c r="J5" i="83" s="1"/>
  <c r="J24" i="83" s="1"/>
  <c r="C38" i="81"/>
  <c r="C66" i="81"/>
  <c r="AR9" i="1"/>
  <c r="AQ9" i="1"/>
  <c r="T9" i="1"/>
  <c r="AR8" i="1"/>
  <c r="T8" i="1"/>
  <c r="AQ8" i="1"/>
  <c r="Q61" i="15"/>
  <c r="E37" i="43"/>
  <c r="AA7" i="36"/>
  <c r="R36" i="36" s="1"/>
  <c r="E36" i="36" s="1"/>
  <c r="E40" i="36" s="1"/>
  <c r="F40" i="36" s="1"/>
  <c r="AC11" i="37"/>
  <c r="W11" i="37"/>
  <c r="AB7" i="37"/>
  <c r="T42" i="37" s="1"/>
  <c r="G42" i="37" s="1"/>
  <c r="G46" i="37" s="1"/>
  <c r="H46" i="37" s="1"/>
  <c r="H20" i="6"/>
  <c r="AB7" i="36"/>
  <c r="T36" i="36" s="1"/>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F41" i="83"/>
  <c r="C14" i="82"/>
  <c r="C14" i="81"/>
  <c r="C14" i="83"/>
  <c r="C24" i="11" l="1"/>
  <c r="C23" i="11"/>
  <c r="C25" i="11"/>
  <c r="R25" i="6"/>
  <c r="C44" i="11"/>
  <c r="D41" i="11" s="1"/>
  <c r="C44" i="69"/>
  <c r="D41" i="69" s="1"/>
  <c r="C38" i="15"/>
  <c r="C32" i="82"/>
  <c r="C60" i="83"/>
  <c r="J18" i="83"/>
  <c r="J26" i="83"/>
  <c r="F69" i="83"/>
  <c r="J29" i="83"/>
  <c r="AA7" i="34"/>
  <c r="C18" i="83"/>
  <c r="C15" i="83"/>
  <c r="C18" i="82"/>
  <c r="C15" i="82"/>
  <c r="C15" i="81"/>
  <c r="C18" i="81"/>
  <c r="C34" i="11"/>
  <c r="C38" i="11" s="1"/>
  <c r="R20" i="6"/>
  <c r="R7" i="1" s="1"/>
  <c r="C36" i="11"/>
  <c r="G36" i="36"/>
  <c r="R37" i="36"/>
  <c r="AB7" i="34"/>
  <c r="W7" i="21"/>
  <c r="AA7" i="21"/>
  <c r="R48" i="21" s="1"/>
  <c r="E48" i="21" s="1"/>
  <c r="E52" i="21" s="1"/>
  <c r="F52" i="21" s="1"/>
  <c r="R26" i="6"/>
  <c r="R23" i="6"/>
  <c r="R24" i="6"/>
  <c r="R21" i="6"/>
  <c r="R8" i="1" s="1"/>
  <c r="R22" i="6"/>
  <c r="R9" i="1" s="1"/>
  <c r="D30" i="6"/>
  <c r="D16" i="6"/>
  <c r="A7" i="51"/>
  <c r="B7" i="72" s="1"/>
  <c r="C4" i="52"/>
  <c r="B45" i="72" s="1"/>
  <c r="A10" i="51"/>
  <c r="B9" i="72" s="1"/>
  <c r="D27" i="6"/>
  <c r="D19" i="68"/>
  <c r="C10" i="68"/>
  <c r="B29" i="1" s="1"/>
  <c r="C8" i="68" s="1"/>
  <c r="C12" i="12"/>
  <c r="C15" i="12"/>
  <c r="C34"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14" i="12"/>
  <c r="C23" i="12"/>
  <c r="M21" i="83"/>
  <c r="F35" i="81"/>
  <c r="M21" i="81"/>
  <c r="F35" i="82"/>
  <c r="F35" i="83"/>
  <c r="M21" i="82"/>
  <c r="C35" i="11" l="1"/>
  <c r="C22" i="11"/>
  <c r="C31" i="11" s="1"/>
  <c r="C18" i="12"/>
  <c r="C19" i="82"/>
  <c r="C20" i="82" s="1"/>
  <c r="C26" i="82" s="1"/>
  <c r="C19" i="83"/>
  <c r="C20" i="83" s="1"/>
  <c r="C26" i="83" s="1"/>
  <c r="C19" i="81"/>
  <c r="J20" i="83"/>
  <c r="F63" i="83"/>
  <c r="C62" i="83" s="1"/>
  <c r="C34" i="83"/>
  <c r="F63" i="82"/>
  <c r="C62" i="82" s="1"/>
  <c r="C34" i="82"/>
  <c r="J20" i="82"/>
  <c r="J20" i="81"/>
  <c r="F63" i="81"/>
  <c r="C62" i="81" s="1"/>
  <c r="C34" i="81"/>
  <c r="C20" i="81"/>
  <c r="C26" i="81" s="1"/>
  <c r="D31" i="6"/>
  <c r="I6" i="6" s="1"/>
  <c r="G3" i="43" s="1"/>
  <c r="R49" i="21"/>
  <c r="C48" i="21"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M21" i="15"/>
  <c r="M21" i="67"/>
  <c r="F35" i="67"/>
  <c r="F35" i="15"/>
  <c r="B113" i="43" l="1"/>
  <c r="F101" i="43"/>
  <c r="E22" i="43"/>
  <c r="C101" i="43"/>
  <c r="N104" i="46"/>
  <c r="L101" i="43"/>
  <c r="D101" i="43"/>
  <c r="I101" i="43"/>
  <c r="G22" i="43"/>
  <c r="AH11" i="43"/>
  <c r="AH13" i="43" s="1"/>
  <c r="AD11" i="43"/>
  <c r="AD13" i="43" s="1"/>
  <c r="Z11" i="43"/>
  <c r="Z13" i="43" s="1"/>
  <c r="AI11" i="43"/>
  <c r="AI13" i="43" s="1"/>
  <c r="AE11" i="43"/>
  <c r="AE13" i="43" s="1"/>
  <c r="AA11" i="43"/>
  <c r="AA13" i="43" s="1"/>
  <c r="AJ11" i="43"/>
  <c r="AJ13" i="43" s="1"/>
  <c r="AF11" i="43"/>
  <c r="AF13" i="43" s="1"/>
  <c r="AB11" i="43"/>
  <c r="AB13" i="43" s="1"/>
  <c r="Z7" i="43"/>
  <c r="AG11" i="43"/>
  <c r="AG13" i="43" s="1"/>
  <c r="AC11" i="43"/>
  <c r="AC13" i="43" s="1"/>
  <c r="F22" i="43"/>
  <c r="K101" i="43"/>
  <c r="N101" i="43"/>
  <c r="G101" i="43"/>
  <c r="J101" i="43"/>
  <c r="H22" i="43"/>
  <c r="H101" i="43"/>
  <c r="M101" i="43"/>
  <c r="E101" i="43"/>
  <c r="Y11" i="43"/>
  <c r="Y13" i="43" s="1"/>
  <c r="C23" i="82"/>
  <c r="C29" i="82" s="1"/>
  <c r="J59" i="82" s="1"/>
  <c r="J60" i="82" s="1"/>
  <c r="Q48" i="82" s="1"/>
  <c r="C23" i="81"/>
  <c r="C29" i="81" s="1"/>
  <c r="C23" i="83"/>
  <c r="C29" i="83" s="1"/>
  <c r="J59" i="83" s="1"/>
  <c r="J60" i="83" s="1"/>
  <c r="Q48" i="83" s="1"/>
  <c r="I5" i="6"/>
  <c r="C49" i="21"/>
  <c r="F63" i="67"/>
  <c r="C62" i="67" s="1"/>
  <c r="C34" i="67"/>
  <c r="J20" i="67"/>
  <c r="C24" i="68"/>
  <c r="J20" i="15"/>
  <c r="F63" i="15"/>
  <c r="C62" i="15" s="1"/>
  <c r="C34" i="15"/>
  <c r="R16" i="1"/>
  <c r="C22" i="12"/>
  <c r="C30" i="12" s="1"/>
  <c r="C28" i="12" s="1"/>
  <c r="C33" i="68"/>
  <c r="I63" i="40"/>
  <c r="H65" i="40"/>
  <c r="C39" i="11"/>
  <c r="C43" i="11" s="1"/>
  <c r="C41" i="11" s="1"/>
  <c r="I70" i="39"/>
  <c r="M109" i="43" l="1"/>
  <c r="M102" i="43"/>
  <c r="M106" i="43"/>
  <c r="M103" i="43"/>
  <c r="M104" i="43"/>
  <c r="M107" i="43"/>
  <c r="M105" i="43"/>
  <c r="G105" i="43"/>
  <c r="G107" i="43"/>
  <c r="G104" i="43"/>
  <c r="G106" i="43"/>
  <c r="G102" i="43"/>
  <c r="G103" i="43"/>
  <c r="G109" i="43"/>
  <c r="K103" i="43"/>
  <c r="K105" i="43"/>
  <c r="K102" i="43"/>
  <c r="K109" i="43"/>
  <c r="K107" i="43"/>
  <c r="K106" i="43"/>
  <c r="K104" i="43"/>
  <c r="D109" i="43"/>
  <c r="D105" i="43"/>
  <c r="D106" i="43"/>
  <c r="D102" i="43"/>
  <c r="D103" i="43"/>
  <c r="D104" i="43"/>
  <c r="D107" i="43"/>
  <c r="C11" i="34"/>
  <c r="C11" i="86"/>
  <c r="E102" i="43"/>
  <c r="E106" i="43"/>
  <c r="E103" i="43"/>
  <c r="E104" i="43"/>
  <c r="E107" i="43"/>
  <c r="E105" i="43"/>
  <c r="E109" i="43"/>
  <c r="H102" i="43"/>
  <c r="H103" i="43"/>
  <c r="H104" i="43"/>
  <c r="H109" i="43"/>
  <c r="H107" i="43"/>
  <c r="H106" i="43"/>
  <c r="H105" i="43"/>
  <c r="J104" i="43"/>
  <c r="J107" i="43"/>
  <c r="J106" i="43"/>
  <c r="J102" i="43"/>
  <c r="J105" i="43"/>
  <c r="J109" i="43"/>
  <c r="J103" i="43"/>
  <c r="N102" i="43"/>
  <c r="N109" i="43"/>
  <c r="N105" i="43"/>
  <c r="N107" i="43"/>
  <c r="N104" i="43"/>
  <c r="N106" i="43"/>
  <c r="N103" i="43"/>
  <c r="I109" i="43"/>
  <c r="I104" i="43"/>
  <c r="I107" i="43"/>
  <c r="I105" i="43"/>
  <c r="I102" i="43"/>
  <c r="I106" i="43"/>
  <c r="I103" i="43"/>
  <c r="L109" i="43"/>
  <c r="L106" i="43"/>
  <c r="L107" i="43"/>
  <c r="L103" i="43"/>
  <c r="L102" i="43"/>
  <c r="L105" i="43"/>
  <c r="L104" i="43"/>
  <c r="C104" i="43"/>
  <c r="C106" i="43"/>
  <c r="C105" i="43"/>
  <c r="C109" i="43"/>
  <c r="C107" i="43"/>
  <c r="C102" i="43"/>
  <c r="C103" i="43"/>
  <c r="F104" i="43"/>
  <c r="F107" i="43"/>
  <c r="F106" i="43"/>
  <c r="F103" i="43"/>
  <c r="F109" i="43"/>
  <c r="F105" i="43"/>
  <c r="F102" i="43"/>
  <c r="D22" i="43"/>
  <c r="B115" i="43"/>
  <c r="D117" i="43"/>
  <c r="E117" i="43" s="1"/>
  <c r="F117" i="43" s="1"/>
  <c r="G117" i="43" s="1"/>
  <c r="H117" i="43" s="1"/>
  <c r="I115" i="43"/>
  <c r="J115" i="43" s="1"/>
  <c r="K115" i="43" s="1"/>
  <c r="L115" i="43" s="1"/>
  <c r="M115" i="43" s="1"/>
  <c r="D116" i="43"/>
  <c r="E116" i="43" s="1"/>
  <c r="F116" i="43" s="1"/>
  <c r="G116" i="43" s="1"/>
  <c r="H116" i="43" s="1"/>
  <c r="B118" i="43"/>
  <c r="C118" i="43" s="1"/>
  <c r="D115" i="43"/>
  <c r="E115" i="43" s="1"/>
  <c r="F115" i="43" s="1"/>
  <c r="G115" i="43" s="1"/>
  <c r="H115" i="43" s="1"/>
  <c r="G118" i="43"/>
  <c r="H118" i="43" s="1"/>
  <c r="B117" i="43"/>
  <c r="C117" i="43" s="1"/>
  <c r="I116" i="43"/>
  <c r="J116" i="43" s="1"/>
  <c r="K116" i="43" s="1"/>
  <c r="L116" i="43" s="1"/>
  <c r="M116" i="43" s="1"/>
  <c r="B116" i="43"/>
  <c r="C116" i="43" s="1"/>
  <c r="I118" i="43"/>
  <c r="J118" i="43" s="1"/>
  <c r="K118" i="43" s="1"/>
  <c r="L118" i="43" s="1"/>
  <c r="M118" i="43" s="1"/>
  <c r="I117" i="43"/>
  <c r="J117" i="43" s="1"/>
  <c r="K117" i="43" s="1"/>
  <c r="L117" i="43" s="1"/>
  <c r="M117" i="43" s="1"/>
  <c r="D118" i="43"/>
  <c r="E118" i="43" s="1"/>
  <c r="F118" i="43" s="1"/>
  <c r="J19" i="82"/>
  <c r="C36" i="82"/>
  <c r="C33" i="82"/>
  <c r="C31" i="82" s="1"/>
  <c r="Q49" i="82"/>
  <c r="C13" i="82"/>
  <c r="C56" i="82" s="1"/>
  <c r="C65" i="82" s="1"/>
  <c r="C57" i="82"/>
  <c r="C64" i="82" s="1"/>
  <c r="J14" i="82"/>
  <c r="J13" i="82" s="1"/>
  <c r="J23" i="82" s="1"/>
  <c r="C36" i="81"/>
  <c r="J59" i="81"/>
  <c r="J60" i="81" s="1"/>
  <c r="Q48" i="81" s="1"/>
  <c r="C57" i="81"/>
  <c r="C64" i="81" s="1"/>
  <c r="C13" i="81"/>
  <c r="Q70" i="81" s="1"/>
  <c r="J14" i="81"/>
  <c r="J13" i="81" s="1"/>
  <c r="J23" i="81" s="1"/>
  <c r="C33" i="81"/>
  <c r="C31" i="81" s="1"/>
  <c r="J19" i="81"/>
  <c r="Q49" i="81"/>
  <c r="C61" i="81"/>
  <c r="C59" i="81" s="1"/>
  <c r="C36" i="83"/>
  <c r="J14" i="83"/>
  <c r="Q49" i="83"/>
  <c r="C57" i="83"/>
  <c r="J19" i="83"/>
  <c r="J17" i="83" s="1"/>
  <c r="C13" i="83"/>
  <c r="C33" i="83"/>
  <c r="C27" i="12"/>
  <c r="C25" i="12" s="1"/>
  <c r="C32" i="12" s="1"/>
  <c r="B2" i="12" s="1"/>
  <c r="B3" i="12" s="1"/>
  <c r="C39" i="68"/>
  <c r="C43" i="68" s="1"/>
  <c r="C42" i="68"/>
  <c r="J63" i="40"/>
  <c r="I65" i="40"/>
  <c r="C46" i="11"/>
  <c r="C45" i="11" s="1"/>
  <c r="C49" i="11" s="1"/>
  <c r="C51" i="11" s="1"/>
  <c r="C52" i="11" s="1"/>
  <c r="B2" i="11" s="1"/>
  <c r="B3" i="11" s="1"/>
  <c r="J70" i="39"/>
  <c r="S3" i="43" l="1"/>
  <c r="T3" i="43" s="1"/>
  <c r="V3" i="43" s="1"/>
  <c r="S6" i="43"/>
  <c r="T6" i="43" s="1"/>
  <c r="V6" i="43" s="1"/>
  <c r="C23" i="43"/>
  <c r="C21" i="43" s="1"/>
  <c r="C29" i="43" s="1"/>
  <c r="E29" i="43" s="1"/>
  <c r="C26" i="43" s="1"/>
  <c r="S2" i="43"/>
  <c r="T2" i="43" s="1"/>
  <c r="V2" i="43" s="1"/>
  <c r="S7" i="43"/>
  <c r="T7" i="43" s="1"/>
  <c r="V7" i="43" s="1"/>
  <c r="S5" i="43"/>
  <c r="T5" i="43" s="1"/>
  <c r="V5" i="43" s="1"/>
  <c r="S4" i="43"/>
  <c r="T4" i="43" s="1"/>
  <c r="V4" i="43" s="1"/>
  <c r="J11" i="86"/>
  <c r="F11" i="86"/>
  <c r="H11" i="86"/>
  <c r="C115" i="43"/>
  <c r="D113" i="43"/>
  <c r="J22" i="43" s="1"/>
  <c r="C30" i="43"/>
  <c r="E30" i="43" s="1"/>
  <c r="C27" i="43" s="1"/>
  <c r="F11" i="34"/>
  <c r="H11" i="34"/>
  <c r="J11" i="34"/>
  <c r="Q70" i="82"/>
  <c r="C61" i="82"/>
  <c r="J22" i="81"/>
  <c r="J22" i="82"/>
  <c r="C75" i="82"/>
  <c r="C37" i="82"/>
  <c r="C30" i="82" s="1"/>
  <c r="C39" i="82" s="1"/>
  <c r="Q69" i="82" s="1"/>
  <c r="C37" i="81"/>
  <c r="C30" i="81" s="1"/>
  <c r="C39" i="81" s="1"/>
  <c r="Q69" i="81" s="1"/>
  <c r="Q68" i="81" s="1"/>
  <c r="C56" i="81"/>
  <c r="C65" i="81" s="1"/>
  <c r="C58" i="81" s="1"/>
  <c r="C67" i="81" s="1"/>
  <c r="C68" i="81" s="1"/>
  <c r="C71" i="81" s="1"/>
  <c r="C75" i="81"/>
  <c r="Q70" i="83"/>
  <c r="C56" i="83"/>
  <c r="C65" i="83" s="1"/>
  <c r="C75" i="83"/>
  <c r="C37" i="83"/>
  <c r="C61" i="83"/>
  <c r="C59" i="83" s="1"/>
  <c r="C64" i="83"/>
  <c r="J22" i="83"/>
  <c r="J13" i="83"/>
  <c r="J23" i="83" s="1"/>
  <c r="C41" i="68"/>
  <c r="C46" i="68"/>
  <c r="C45" i="68" s="1"/>
  <c r="K63" i="40"/>
  <c r="J65" i="40"/>
  <c r="K70" i="39"/>
  <c r="C56" i="11"/>
  <c r="C57" i="11" s="1"/>
  <c r="E6" i="76"/>
  <c r="L51" i="81"/>
  <c r="E2" i="76" l="1"/>
  <c r="AB11" i="34"/>
  <c r="T49" i="34" s="1"/>
  <c r="G49" i="34" s="1"/>
  <c r="U11" i="34"/>
  <c r="B2" i="43"/>
  <c r="C6" i="68" s="1"/>
  <c r="AA11" i="86"/>
  <c r="R49" i="86" s="1"/>
  <c r="S11" i="86"/>
  <c r="W11" i="34"/>
  <c r="AC11" i="34"/>
  <c r="V49" i="34" s="1"/>
  <c r="I49" i="34" s="1"/>
  <c r="S11" i="34"/>
  <c r="AA11" i="34"/>
  <c r="R49" i="34" s="1"/>
  <c r="AB11" i="86"/>
  <c r="T49" i="86" s="1"/>
  <c r="G49" i="86" s="1"/>
  <c r="U11" i="86"/>
  <c r="AC11" i="86"/>
  <c r="V49" i="86" s="1"/>
  <c r="I49" i="86" s="1"/>
  <c r="W11" i="86"/>
  <c r="Q68" i="82"/>
  <c r="C80" i="81"/>
  <c r="C79" i="81" s="1"/>
  <c r="C40" i="81"/>
  <c r="L57" i="82"/>
  <c r="L60" i="82" s="1"/>
  <c r="L46" i="82" s="1"/>
  <c r="C40" i="82"/>
  <c r="C80" i="82"/>
  <c r="C79" i="82" s="1"/>
  <c r="L57" i="81"/>
  <c r="L60" i="81" s="1"/>
  <c r="Q66" i="81" s="1"/>
  <c r="Q67" i="81"/>
  <c r="L57" i="83"/>
  <c r="L60" i="83" s="1"/>
  <c r="J16" i="83"/>
  <c r="J25" i="83" s="1"/>
  <c r="C58" i="83"/>
  <c r="C67" i="83" s="1"/>
  <c r="C68" i="83" s="1"/>
  <c r="C49" i="68"/>
  <c r="C51" i="68" s="1"/>
  <c r="L63" i="40"/>
  <c r="K65" i="40"/>
  <c r="L70" i="39"/>
  <c r="E2" i="70"/>
  <c r="C34" i="69"/>
  <c r="B6" i="76"/>
  <c r="L51" i="82"/>
  <c r="C17" i="67"/>
  <c r="C7" i="68" l="1"/>
  <c r="C5" i="68" s="1"/>
  <c r="B2" i="76"/>
  <c r="B3" i="76" s="1"/>
  <c r="E49" i="34"/>
  <c r="R50" i="34"/>
  <c r="I53" i="34"/>
  <c r="J53" i="34" s="1"/>
  <c r="E49" i="86"/>
  <c r="R50" i="86"/>
  <c r="I53" i="86"/>
  <c r="J53" i="86" s="1"/>
  <c r="G54" i="86"/>
  <c r="H54" i="86" s="1"/>
  <c r="G53" i="86"/>
  <c r="H53" i="86" s="1"/>
  <c r="B3" i="43"/>
  <c r="G53" i="34"/>
  <c r="H53" i="34" s="1"/>
  <c r="G54" i="34"/>
  <c r="H54" i="34" s="1"/>
  <c r="Q57" i="82"/>
  <c r="Q67" i="82"/>
  <c r="C43" i="81"/>
  <c r="C83" i="81"/>
  <c r="C82" i="81" s="1"/>
  <c r="C46" i="81"/>
  <c r="C43" i="82"/>
  <c r="C83" i="82"/>
  <c r="C82" i="82" s="1"/>
  <c r="Q66" i="82"/>
  <c r="L46" i="81"/>
  <c r="Q57" i="81"/>
  <c r="C71" i="83"/>
  <c r="L46" i="83"/>
  <c r="Q57" i="83"/>
  <c r="Q66" i="83"/>
  <c r="M63" i="40"/>
  <c r="L65" i="40"/>
  <c r="M70" i="39"/>
  <c r="C35" i="69"/>
  <c r="C38" i="69"/>
  <c r="D10" i="69"/>
  <c r="C23" i="68" l="1"/>
  <c r="C20" i="68"/>
  <c r="E54" i="86"/>
  <c r="F54" i="86" s="1"/>
  <c r="E53" i="86"/>
  <c r="F53" i="86" s="1"/>
  <c r="E54" i="34"/>
  <c r="F54" i="34" s="1"/>
  <c r="E53" i="34"/>
  <c r="F53" i="34" s="1"/>
  <c r="I54" i="86"/>
  <c r="J54" i="86" s="1"/>
  <c r="C50" i="86"/>
  <c r="C49" i="86"/>
  <c r="I54" i="34"/>
  <c r="J54" i="34" s="1"/>
  <c r="C50" i="34"/>
  <c r="C49" i="34"/>
  <c r="N63" i="40"/>
  <c r="M65" i="40"/>
  <c r="O70" i="39"/>
  <c r="N70" i="39"/>
  <c r="D19" i="69"/>
  <c r="C10" i="69"/>
  <c r="C8" i="69" s="1"/>
  <c r="C5" i="69" s="1"/>
  <c r="C28" i="68" l="1"/>
  <c r="C27" i="68" s="1"/>
  <c r="C25" i="68"/>
  <c r="C22" i="68" s="1"/>
  <c r="B2" i="86"/>
  <c r="B3" i="86" s="1"/>
  <c r="A2" i="85"/>
  <c r="A4" i="85" s="1"/>
  <c r="U9" i="1" s="1"/>
  <c r="O63" i="40"/>
  <c r="O65" i="40" s="1"/>
  <c r="N65" i="40"/>
  <c r="C23" i="69"/>
  <c r="C19" i="69"/>
  <c r="C24" i="69" s="1"/>
  <c r="D37" i="69"/>
  <c r="C37" i="69" s="1"/>
  <c r="C33" i="69" s="1"/>
  <c r="C14" i="67"/>
  <c r="C31" i="68" l="1"/>
  <c r="C52" i="68" s="1"/>
  <c r="C57" i="68" s="1"/>
  <c r="C56" i="68" s="1"/>
  <c r="F49" i="15"/>
  <c r="F49" i="82"/>
  <c r="B4" i="85"/>
  <c r="C4" i="85" s="1"/>
  <c r="D4" i="85" s="1"/>
  <c r="E4" i="85" s="1"/>
  <c r="F4" i="85" s="1"/>
  <c r="F7" i="40"/>
  <c r="H7" i="40"/>
  <c r="J7" i="40"/>
  <c r="C15" i="67"/>
  <c r="C18" i="67"/>
  <c r="C42" i="69"/>
  <c r="C39" i="69"/>
  <c r="C43" i="69" s="1"/>
  <c r="C20" i="69"/>
  <c r="C25" i="69" s="1"/>
  <c r="C22" i="69" s="1"/>
  <c r="F6" i="83"/>
  <c r="C6" i="83" l="1"/>
  <c r="C10" i="83"/>
  <c r="C53" i="82"/>
  <c r="C49" i="82"/>
  <c r="G4" i="85"/>
  <c r="H4" i="85" s="1"/>
  <c r="I4" i="85" s="1"/>
  <c r="J4" i="85" s="1"/>
  <c r="K4" i="85" s="1"/>
  <c r="L4" i="85" s="1"/>
  <c r="M4" i="85" s="1"/>
  <c r="N4" i="85" s="1"/>
  <c r="O4" i="85" s="1"/>
  <c r="Z8" i="1" s="1"/>
  <c r="Z7" i="1"/>
  <c r="C49" i="15"/>
  <c r="C53" i="15"/>
  <c r="W7" i="40"/>
  <c r="AC7" i="40"/>
  <c r="V42" i="40" s="1"/>
  <c r="I42" i="40" s="1"/>
  <c r="AB7" i="40"/>
  <c r="T42" i="40" s="1"/>
  <c r="G42" i="40" s="1"/>
  <c r="U7" i="40"/>
  <c r="AA7" i="40"/>
  <c r="R42" i="40" s="1"/>
  <c r="S7" i="40"/>
  <c r="C19" i="67"/>
  <c r="C46" i="69"/>
  <c r="C45" i="69" s="1"/>
  <c r="C41" i="69"/>
  <c r="C28" i="69"/>
  <c r="C27" i="69" s="1"/>
  <c r="C31" i="69" s="1"/>
  <c r="M6" i="67"/>
  <c r="M6" i="82"/>
  <c r="M6" i="15"/>
  <c r="M6" i="81"/>
  <c r="C48" i="82" l="1"/>
  <c r="C66" i="82" s="1"/>
  <c r="J6" i="67"/>
  <c r="J5" i="67" s="1"/>
  <c r="J10" i="81"/>
  <c r="J6" i="81"/>
  <c r="J6" i="15"/>
  <c r="J10" i="15"/>
  <c r="J6" i="82"/>
  <c r="J10" i="82"/>
  <c r="C60" i="82"/>
  <c r="C59" i="82" s="1"/>
  <c r="C5" i="83"/>
  <c r="C20" i="67"/>
  <c r="C23" i="67" s="1"/>
  <c r="C49" i="69"/>
  <c r="C51" i="69" s="1"/>
  <c r="I46" i="40"/>
  <c r="J46" i="40" s="1"/>
  <c r="E42" i="40"/>
  <c r="I47" i="40" s="1"/>
  <c r="J47" i="40" s="1"/>
  <c r="R43" i="40"/>
  <c r="G47" i="40"/>
  <c r="H47" i="40" s="1"/>
  <c r="G46" i="40"/>
  <c r="H46" i="40" s="1"/>
  <c r="J5" i="82" l="1"/>
  <c r="J24" i="82" s="1"/>
  <c r="J24" i="67"/>
  <c r="J18" i="67"/>
  <c r="C38" i="83"/>
  <c r="C32" i="83"/>
  <c r="C31" i="83" s="1"/>
  <c r="C58" i="82"/>
  <c r="C67" i="82" s="1"/>
  <c r="C68" i="82" s="1"/>
  <c r="J5" i="15"/>
  <c r="J5" i="81"/>
  <c r="C26" i="67"/>
  <c r="C29" i="67" s="1"/>
  <c r="J59" i="67" s="1"/>
  <c r="J60" i="67" s="1"/>
  <c r="C42" i="40"/>
  <c r="C43" i="40"/>
  <c r="E46" i="40"/>
  <c r="F46" i="40" s="1"/>
  <c r="E47" i="40"/>
  <c r="F47" i="40" s="1"/>
  <c r="C52" i="69"/>
  <c r="C30" i="83" l="1"/>
  <c r="C39" i="83" s="1"/>
  <c r="C80" i="83" s="1"/>
  <c r="C79" i="83" s="1"/>
  <c r="J18" i="82"/>
  <c r="J17" i="82" s="1"/>
  <c r="J16" i="82" s="1"/>
  <c r="J25" i="82" s="1"/>
  <c r="J24" i="15"/>
  <c r="J18" i="15"/>
  <c r="J18" i="81"/>
  <c r="J17" i="81" s="1"/>
  <c r="J24" i="81"/>
  <c r="C71" i="82"/>
  <c r="C46" i="82"/>
  <c r="Q48"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L51" i="83"/>
  <c r="Q67" i="83" l="1"/>
  <c r="Q69" i="83"/>
  <c r="Q68" i="83" s="1"/>
  <c r="C40" i="83"/>
  <c r="C83" i="83" s="1"/>
  <c r="C82" i="83" s="1"/>
  <c r="J16" i="81"/>
  <c r="J25" i="81" s="1"/>
  <c r="C64" i="67"/>
  <c r="C56" i="67"/>
  <c r="C65" i="67" s="1"/>
  <c r="J22" i="67"/>
  <c r="J16" i="67" s="1"/>
  <c r="J25" i="67" s="1"/>
  <c r="C75" i="67"/>
  <c r="C37" i="67"/>
  <c r="C30" i="67" s="1"/>
  <c r="C39" i="67" s="1"/>
  <c r="C48" i="67"/>
  <c r="C60" i="67" s="1"/>
  <c r="AE7" i="1"/>
  <c r="C14" i="15"/>
  <c r="L51" i="67"/>
  <c r="Q56" i="83" l="1"/>
  <c r="Q62" i="83" s="1"/>
  <c r="Q47" i="83"/>
  <c r="Q53" i="83" s="1"/>
  <c r="Q65" i="83"/>
  <c r="Q75" i="83" s="1"/>
  <c r="B2" i="83"/>
  <c r="B3" i="83" s="1"/>
  <c r="C43" i="83"/>
  <c r="C46" i="83"/>
  <c r="AG7" i="1"/>
  <c r="L57" i="67"/>
  <c r="L60" i="67" s="1"/>
  <c r="L46" i="67" s="1"/>
  <c r="C80" i="67"/>
  <c r="C79" i="67" s="1"/>
  <c r="Q69" i="67"/>
  <c r="Q68" i="67" s="1"/>
  <c r="Q67" i="67"/>
  <c r="C59" i="67"/>
  <c r="C66" i="67"/>
  <c r="T16" i="1"/>
  <c r="C18" i="15"/>
  <c r="C15" i="15"/>
  <c r="AO9" i="1"/>
  <c r="M27" i="81"/>
  <c r="B9" i="70" l="1"/>
  <c r="J26" i="81"/>
  <c r="J29" i="81" s="1"/>
  <c r="Q66" i="67"/>
  <c r="Q57" i="67"/>
  <c r="C58" i="67"/>
  <c r="C67" i="67" s="1"/>
  <c r="C19" i="15"/>
  <c r="Q47" i="81" l="1"/>
  <c r="Q53" i="81" s="1"/>
  <c r="Q65" i="81"/>
  <c r="Q75" i="81" s="1"/>
  <c r="Q56" i="81"/>
  <c r="Q62" i="81" s="1"/>
  <c r="B2" i="81"/>
  <c r="B3" i="81"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L51" i="15"/>
  <c r="AE8" i="1"/>
  <c r="AG8" i="1" l="1"/>
  <c r="C66" i="15"/>
  <c r="C60" i="15"/>
  <c r="C59" i="15" s="1"/>
  <c r="AG6" i="1"/>
  <c r="C80" i="15"/>
  <c r="C79" i="15" s="1"/>
  <c r="C65" i="15"/>
  <c r="Q68" i="15"/>
  <c r="L57" i="15"/>
  <c r="L60" i="15" s="1"/>
  <c r="Q67" i="15"/>
  <c r="F41" i="15"/>
  <c r="M27" i="15"/>
  <c r="F41" i="67"/>
  <c r="M27" i="82"/>
  <c r="M27" i="67"/>
  <c r="J26" i="82" l="1"/>
  <c r="J29" i="82" s="1"/>
  <c r="J26" i="15"/>
  <c r="J29" i="15" s="1"/>
  <c r="J26" i="67"/>
  <c r="J29" i="67" s="1"/>
  <c r="C58" i="15"/>
  <c r="C67" i="15" s="1"/>
  <c r="F69" i="15"/>
  <c r="C40" i="15"/>
  <c r="C43" i="15" s="1"/>
  <c r="L46" i="15"/>
  <c r="Q57" i="15"/>
  <c r="Q66" i="15"/>
  <c r="F69" i="67"/>
  <c r="C68" i="67" s="1"/>
  <c r="C71" i="67" s="1"/>
  <c r="C40" i="67"/>
  <c r="C83" i="67" s="1"/>
  <c r="C82" i="67" s="1"/>
  <c r="Q65" i="82" l="1"/>
  <c r="Q75" i="82" s="1"/>
  <c r="Q56" i="82"/>
  <c r="Q62" i="82" s="1"/>
  <c r="Q47" i="82"/>
  <c r="Q53" i="82" s="1"/>
  <c r="B2" i="82"/>
  <c r="B3" i="82"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E2" i="69"/>
  <c r="AO7" i="1"/>
  <c r="B8" i="70" l="1"/>
  <c r="B7" i="70"/>
  <c r="B6" i="70"/>
  <c r="C46" i="15"/>
  <c r="B2" i="69"/>
  <c r="B3" i="69" s="1"/>
  <c r="B3" i="67"/>
  <c r="D2" i="37"/>
  <c r="D2" i="34"/>
  <c r="E2" i="68"/>
  <c r="D2" i="21"/>
  <c r="D2" i="33"/>
  <c r="F20" i="31"/>
  <c r="D2" i="36"/>
  <c r="D2" i="35"/>
  <c r="B2" i="68" l="1"/>
  <c r="B20" i="31"/>
  <c r="B2" i="36"/>
  <c r="B3" i="36" s="1"/>
  <c r="B2" i="35"/>
  <c r="B3" i="35" s="1"/>
  <c r="B2" i="37"/>
  <c r="B3" i="37" s="1"/>
  <c r="B2" i="34"/>
  <c r="B2" i="21"/>
  <c r="B3" i="21" s="1"/>
  <c r="B2" i="70"/>
  <c r="B3" i="68"/>
  <c r="D19" i="9"/>
  <c r="D19" i="84"/>
  <c r="C19" i="9"/>
  <c r="C19" i="84"/>
  <c r="D20" i="9"/>
  <c r="C20" i="84"/>
  <c r="D102" i="84" l="1"/>
  <c r="D21" i="84"/>
  <c r="B3" i="70"/>
  <c r="C103" i="84"/>
  <c r="G19" i="84"/>
  <c r="C102" i="84"/>
  <c r="D22" i="84"/>
  <c r="C21" i="84"/>
  <c r="C21" i="9"/>
  <c r="C102" i="9"/>
  <c r="B3" i="34"/>
  <c r="G19" i="9"/>
  <c r="D102" i="9"/>
  <c r="D22" i="9"/>
  <c r="D21" i="9"/>
  <c r="D103" i="9"/>
  <c r="D20" i="84"/>
  <c r="C20" i="9"/>
  <c r="D103" i="84" l="1"/>
  <c r="G20" i="84"/>
  <c r="C32" i="84"/>
  <c r="G21" i="84"/>
  <c r="C103" i="9"/>
  <c r="G20" i="9"/>
  <c r="C32" i="9"/>
  <c r="G21" i="9"/>
  <c r="D34" i="9"/>
  <c r="C35" i="84" l="1"/>
  <c r="F118" i="84" s="1"/>
  <c r="H118" i="84"/>
  <c r="C34" i="84"/>
  <c r="D118" i="84" s="1"/>
  <c r="D119" i="84" s="1"/>
  <c r="H109" i="9"/>
  <c r="C104" i="84" l="1"/>
  <c r="H101" i="84"/>
  <c r="H119" i="84"/>
  <c r="I118" i="84"/>
  <c r="F119" i="84"/>
  <c r="G118" i="84"/>
  <c r="H110" i="9"/>
  <c r="D18" i="53" s="1"/>
  <c r="B35" i="72" s="1"/>
  <c r="D124" i="9"/>
  <c r="D16" i="53"/>
  <c r="B34" i="72" s="1"/>
  <c r="E118" i="84" l="1"/>
  <c r="C105" i="84"/>
  <c r="H102" i="84"/>
  <c r="H107" i="84"/>
  <c r="M48" i="84"/>
  <c r="D45" i="84"/>
  <c r="D10" i="52"/>
  <c r="H14" i="74"/>
  <c r="D17" i="53"/>
  <c r="B36" i="72" s="1"/>
  <c r="D125" i="9"/>
  <c r="D11" i="52" s="1"/>
  <c r="C78" i="84" l="1"/>
  <c r="C73" i="84" s="1"/>
  <c r="C93" i="84"/>
  <c r="C86" i="84" s="1"/>
  <c r="C72" i="84"/>
  <c r="C79" i="84" s="1"/>
  <c r="D55" i="84"/>
  <c r="M53" i="84" s="1"/>
  <c r="D52" i="84"/>
  <c r="C85" i="84"/>
  <c r="C95" i="84" s="1"/>
  <c r="C64" i="84"/>
  <c r="C63" i="84" s="1"/>
  <c r="C67" i="84" s="1"/>
  <c r="C68" i="84" s="1"/>
  <c r="D54" i="84" s="1"/>
  <c r="D53" i="84"/>
  <c r="D122" i="84"/>
  <c r="D123" i="84" s="1"/>
  <c r="M49" i="84"/>
  <c r="H108" i="84"/>
  <c r="B7" i="74"/>
  <c r="D7" i="74" s="1"/>
  <c r="L65" i="84" l="1"/>
  <c r="M65" i="84" s="1"/>
  <c r="L68" i="84"/>
  <c r="M68" i="84" s="1"/>
  <c r="L63" i="84"/>
  <c r="M63" i="84" s="1"/>
  <c r="L66" i="84"/>
  <c r="M66" i="84" s="1"/>
  <c r="L64" i="84"/>
  <c r="M64" i="84" s="1"/>
  <c r="L67" i="84"/>
  <c r="M67" i="84" s="1"/>
  <c r="C96" i="84"/>
  <c r="E96" i="84" s="1"/>
  <c r="E97" i="84" s="1"/>
  <c r="C80" i="84"/>
  <c r="E80" i="84" s="1"/>
  <c r="E81" i="84" s="1"/>
  <c r="C7" i="74"/>
  <c r="C97" i="84" l="1"/>
  <c r="D58" i="84" s="1"/>
  <c r="D56" i="84" s="1"/>
  <c r="M54" i="84" s="1"/>
  <c r="N57" i="84" s="1"/>
  <c r="N58" i="84" s="1"/>
  <c r="C81" i="84"/>
  <c r="M69" i="84"/>
  <c r="N69" i="84" s="1"/>
  <c r="J7" i="33"/>
  <c r="W7" i="33" s="1"/>
  <c r="F7" i="33"/>
  <c r="S7" i="33" s="1"/>
  <c r="H7" i="33"/>
  <c r="AB7" i="33" s="1"/>
  <c r="T48" i="33" s="1"/>
  <c r="G48" i="33" s="1"/>
  <c r="P57" i="84" l="1"/>
  <c r="N59" i="84"/>
  <c r="N60" i="84" s="1"/>
  <c r="G52" i="33"/>
  <c r="H52" i="33" s="1"/>
  <c r="AA7" i="33"/>
  <c r="R48" i="33" s="1"/>
  <c r="U7" i="33"/>
  <c r="AC7" i="33"/>
  <c r="V48" i="33" s="1"/>
  <c r="I48" i="33" s="1"/>
  <c r="N61" i="84" l="1"/>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c r="D19" i="53" l="1"/>
  <c r="B38" i="72" s="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l="1"/>
  <c r="M49" i="9" s="1"/>
  <c r="L68" i="9" s="1"/>
  <c r="M68" i="9" s="1"/>
  <c r="D45" i="9"/>
  <c r="D53" i="9" s="1"/>
  <c r="I4" i="52"/>
  <c r="D5" i="53"/>
  <c r="B20" i="72" s="1"/>
  <c r="H102" i="9"/>
  <c r="D7" i="53" s="1"/>
  <c r="B21" i="72" s="1"/>
  <c r="E118" i="9"/>
  <c r="E4" i="52" s="1"/>
  <c r="B48" i="72" s="1"/>
  <c r="D122" i="9"/>
  <c r="E14" i="74"/>
  <c r="B5" i="74"/>
  <c r="F14" i="74"/>
  <c r="D13" i="53" l="1"/>
  <c r="D14" i="53" s="1"/>
  <c r="B32" i="72" s="1"/>
  <c r="H108" i="9"/>
  <c r="D15" i="53" s="1"/>
  <c r="B31" i="72" s="1"/>
  <c r="L63" i="9"/>
  <c r="M63" i="9" s="1"/>
  <c r="L67" i="9"/>
  <c r="M67" i="9" s="1"/>
  <c r="L65" i="9"/>
  <c r="M65" i="9" s="1"/>
  <c r="L66" i="9"/>
  <c r="M66" i="9" s="1"/>
  <c r="L64" i="9"/>
  <c r="M64" i="9" s="1"/>
  <c r="C93" i="9"/>
  <c r="C86" i="9" s="1"/>
  <c r="D52" i="9"/>
  <c r="C78" i="9"/>
  <c r="C73" i="9" s="1"/>
  <c r="C85" i="9"/>
  <c r="C72" i="9"/>
  <c r="D55" i="9"/>
  <c r="M53" i="9" s="1"/>
  <c r="C64" i="9"/>
  <c r="C63" i="9" s="1"/>
  <c r="D6" i="53"/>
  <c r="B22" i="72" s="1"/>
  <c r="D5" i="74"/>
  <c r="C5" i="74"/>
  <c r="G14" i="74"/>
  <c r="B6" i="74" s="1"/>
  <c r="D123" i="9"/>
  <c r="D9" i="52" s="1"/>
  <c r="D8" i="52"/>
  <c r="M69" i="9" l="1"/>
  <c r="N69" i="9" s="1"/>
  <c r="B30" i="72"/>
  <c r="C95" i="9"/>
  <c r="C67" i="9"/>
  <c r="C68" i="9" s="1"/>
  <c r="D54" i="9" s="1"/>
  <c r="C79" i="9"/>
  <c r="D6" i="74"/>
  <c r="C6" i="74"/>
  <c r="C96" i="9" l="1"/>
  <c r="E96" i="9" s="1"/>
  <c r="E97" i="9" s="1"/>
  <c r="C80" i="9"/>
  <c r="E80" i="9" s="1"/>
  <c r="E81" i="9" s="1"/>
  <c r="C81" i="9" l="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sharedStrings.xml><?xml version="1.0" encoding="utf-8"?>
<sst xmlns="http://schemas.openxmlformats.org/spreadsheetml/2006/main" count="9790" uniqueCount="3352">
  <si>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</si>
  <si>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</si>
  <si>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</si>
  <si>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</si>
  <si>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</si>
  <si>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</si>
  <si>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</si>
  <si>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</si>
  <si>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</si>
  <si>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</si>
  <si>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</si>
  <si>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</si>
  <si>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</si>
  <si>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</si>
  <si>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</si>
  <si>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</si>
  <si>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</si>
  <si>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</si>
  <si>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</si>
  <si>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</si>
  <si>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</si>
  <si>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</si>
  <si>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</si>
  <si>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</si>
  <si>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</si>
  <si>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</si>
  <si>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</si>
  <si>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</si>
  <si>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</si>
  <si>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</si>
  <si>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</si>
  <si>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</si>
  <si>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</si>
  <si>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</si>
  <si>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</si>
  <si>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</si>
  <si>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</si>
  <si>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</si>
  <si>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</si>
  <si>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</si>
  <si>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</si>
  <si>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</si>
  <si>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</si>
  <si>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</si>
  <si>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</si>
  <si>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</si>
  <si>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</si>
  <si>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</si>
  <si>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</si>
  <si>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</si>
  <si>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</si>
  <si>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</si>
  <si>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</si>
  <si>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</si>
  <si>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</si>
  <si>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</si>
  <si>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</si>
  <si>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</si>
  <si>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</si>
  <si>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</si>
  <si>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</si>
  <si>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</si>
  <si>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</si>
  <si>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</si>
  <si>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</si>
  <si>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</si>
  <si>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</si>
  <si>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</si>
  <si>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</si>
  <si>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</si>
  <si>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</si>
  <si>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</si>
  <si>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</si>
  <si>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</si>
  <si>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</si>
  <si>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</si>
  <si>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</si>
  <si>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</si>
  <si>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</si>
  <si>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</si>
  <si>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</si>
  <si>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</si>
  <si>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</si>
  <si>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</si>
  <si>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</si>
  <si>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</si>
  <si>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</si>
  <si>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</si>
  <si>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</si>
  <si>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</si>
  <si>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</si>
  <si>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</si>
  <si>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</si>
  <si>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</si>
  <si>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</si>
  <si>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</si>
  <si>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</si>
  <si>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</si>
  <si>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</si>
  <si>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</si>
  <si>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</si>
  <si>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</si>
  <si>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</si>
  <si>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</si>
  <si>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</si>
  <si>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</si>
  <si>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</si>
  <si>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</si>
  <si>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</si>
  <si>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</si>
  <si>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</si>
  <si>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</si>
  <si>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</si>
  <si>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</si>
  <si>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</si>
  <si>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</si>
  <si>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</si>
  <si>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</si>
  <si>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</si>
  <si>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</si>
  <si>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</si>
  <si>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</si>
  <si>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</si>
  <si>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</si>
  <si>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</si>
  <si>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</si>
  <si>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</si>
  <si>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</si>
  <si>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</si>
  <si>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</si>
  <si>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</si>
  <si>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</si>
  <si>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</si>
  <si>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</si>
  <si>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</si>
  <si>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</si>
  <si>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</si>
  <si>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</si>
  <si>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</si>
  <si>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</si>
  <si>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</si>
  <si>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</si>
  <si>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</si>
  <si>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</si>
  <si>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</si>
  <si>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</si>
  <si>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</si>
  <si>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</si>
  <si>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</si>
  <si>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</si>
  <si>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</si>
  <si>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</si>
  <si>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</si>
  <si>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</si>
  <si>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</si>
  <si>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</si>
  <si>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</si>
  <si>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</si>
  <si>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</si>
  <si>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</si>
  <si>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</si>
  <si>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</si>
  <si>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</si>
  <si>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</si>
  <si>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</si>
  <si>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</si>
  <si>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</si>
  <si>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</si>
  <si>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</si>
  <si>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</si>
  <si>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</si>
  <si>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</si>
  <si>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</si>
  <si>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</si>
  <si>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</si>
  <si>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</si>
  <si>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</si>
  <si>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</si>
  <si>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</si>
  <si>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</si>
  <si>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</si>
  <si>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</si>
  <si>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</si>
  <si>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</si>
  <si>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</si>
  <si>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</si>
  <si>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</si>
  <si>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</si>
  <si>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</si>
  <si>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</si>
  <si>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</si>
  <si>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</si>
  <si>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</si>
  <si>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</si>
  <si>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</si>
  <si>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</si>
  <si>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</si>
  <si>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</si>
  <si>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</si>
  <si>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</si>
  <si>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</si>
  <si>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</si>
  <si>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</si>
  <si>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</si>
  <si>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</si>
  <si>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</si>
  <si>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</si>
  <si>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</si>
  <si>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</si>
  <si>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</si>
  <si>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</si>
  <si>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</si>
  <si>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</si>
  <si>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</si>
  <si>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</si>
  <si>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</si>
  <si>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</si>
  <si>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</si>
  <si>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</si>
  <si>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</si>
  <si>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</si>
  <si>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</si>
  <si>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</si>
  <si>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</si>
  <si>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</si>
  <si>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</si>
  <si>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</si>
  <si>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</si>
  <si>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</si>
  <si>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</si>
  <si>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</si>
  <si>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</si>
  <si>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</si>
  <si>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</si>
  <si>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</si>
  <si>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</si>
  <si>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</si>
  <si>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</si>
  <si>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</si>
  <si>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</si>
  <si>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</si>
  <si>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</si>
  <si>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</si>
  <si>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</si>
  <si>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</si>
  <si>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</si>
  <si>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</si>
  <si>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</si>
  <si>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</si>
  <si>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</si>
  <si>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</si>
  <si>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</si>
  <si>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</si>
  <si>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</si>
  <si>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</si>
  <si>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</si>
  <si>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</si>
  <si>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</si>
  <si>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</si>
  <si>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</si>
  <si>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</si>
  <si>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</si>
  <si>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</si>
  <si>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</si>
  <si>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</si>
  <si>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</si>
  <si>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</si>
  <si>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</si>
  <si>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</si>
  <si>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</si>
  <si>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</si>
  <si>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</si>
  <si>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</si>
  <si>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</si>
  <si>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</si>
  <si>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</si>
  <si>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</si>
  <si>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</si>
  <si>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</si>
  <si>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</si>
  <si>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</si>
  <si>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</si>
  <si>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</si>
  <si>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</si>
  <si>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</si>
  <si>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</si>
  <si>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</si>
  <si>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</si>
  <si>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</si>
  <si>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</si>
  <si>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</si>
  <si>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</si>
  <si>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</si>
  <si>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</si>
  <si>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</si>
  <si>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</si>
  <si>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</si>
  <si>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</si>
  <si>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</si>
  <si>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</si>
  <si>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</si>
  <si>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</si>
  <si>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</si>
  <si>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</si>
  <si>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</si>
  <si>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</si>
  <si>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</si>
  <si>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</si>
  <si>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</si>
  <si>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</si>
  <si>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</si>
  <si>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</si>
  <si>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</si>
  <si>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</si>
  <si>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</si>
  <si>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</si>
  <si>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</si>
  <si>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</si>
  <si>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</si>
  <si>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</si>
  <si>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</si>
  <si>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</si>
  <si>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</si>
  <si>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</si>
  <si>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</si>
  <si>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</si>
  <si>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</si>
  <si>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</si>
  <si>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</si>
  <si>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</si>
  <si>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</si>
  <si>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</si>
  <si>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</si>
  <si>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</si>
  <si>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</si>
  <si>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</si>
  <si>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</si>
  <si>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</si>
  <si>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</si>
  <si>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</si>
  <si>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</si>
  <si>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</si>
  <si>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</si>
  <si>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</si>
  <si>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</si>
  <si>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</si>
  <si>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</si>
  <si>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</si>
  <si>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</si>
  <si>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</si>
  <si>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</si>
  <si>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</si>
  <si>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</si>
  <si>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</si>
  <si>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</si>
  <si>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</si>
  <si>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</si>
  <si>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</si>
  <si>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</si>
  <si>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</si>
  <si>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</si>
  <si>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</si>
  <si>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</si>
  <si>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</si>
  <si>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</si>
  <si>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</si>
  <si>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</si>
  <si>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</si>
  <si>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</si>
  <si>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</si>
  <si>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</si>
  <si>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</si>
  <si>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</si>
  <si>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</si>
  <si>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</si>
  <si>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</si>
  <si>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</si>
  <si>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</si>
  <si>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</si>
  <si>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</si>
  <si>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</si>
  <si>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</si>
  <si>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</si>
  <si>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</si>
  <si>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</si>
  <si>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</si>
  <si>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</si>
  <si>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</si>
  <si>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</si>
  <si>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</si>
  <si>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</si>
  <si>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</si>
  <si>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</si>
  <si>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</si>
  <si>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</si>
  <si>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</si>
  <si>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</si>
  <si>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</si>
  <si>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</si>
  <si>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</si>
  <si>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</si>
  <si>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</si>
  <si>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</si>
  <si>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</si>
  <si>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</si>
  <si>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</si>
  <si>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</si>
  <si>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</si>
  <si>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</si>
  <si>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</si>
  <si>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</si>
  <si>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</si>
  <si>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</si>
  <si>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</si>
  <si>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</si>
  <si>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</si>
  <si>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</si>
  <si>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</si>
  <si>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</si>
  <si>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</si>
  <si>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</si>
  <si>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</si>
  <si>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</si>
  <si>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</si>
  <si>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</si>
  <si>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</si>
  <si>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</si>
  <si>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</si>
  <si>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</si>
  <si>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</si>
  <si>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</si>
  <si>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</si>
  <si>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</si>
  <si>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</si>
  <si>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</si>
  <si>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</si>
  <si>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</si>
  <si>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</si>
  <si>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</si>
  <si>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</si>
  <si>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</si>
  <si>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</si>
  <si>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</si>
  <si>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</si>
  <si>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</si>
  <si>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</si>
  <si>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</si>
  <si>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</si>
  <si>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</si>
  <si>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</si>
  <si>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</si>
  <si>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</si>
  <si>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</si>
  <si>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</si>
  <si>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</si>
  <si>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</si>
  <si>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</si>
  <si>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</si>
  <si>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</si>
  <si>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</si>
  <si>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</si>
  <si>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</si>
  <si>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</si>
  <si>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</si>
  <si>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</si>
  <si>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</si>
  <si>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</si>
  <si>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</si>
  <si>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</si>
  <si>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</si>
  <si>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</si>
  <si>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</si>
  <si>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</si>
  <si>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</si>
  <si>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</si>
  <si>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</si>
  <si>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</si>
  <si>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</si>
  <si>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</si>
  <si>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</si>
  <si>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</si>
  <si>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</si>
  <si>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</si>
  <si>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</si>
  <si>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</si>
  <si>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</si>
  <si>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</si>
  <si>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</si>
  <si>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</si>
  <si>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</si>
  <si>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</si>
  <si>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</si>
  <si>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</si>
  <si>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</si>
  <si>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</si>
  <si>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</si>
  <si>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</si>
  <si>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</si>
  <si>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</si>
  <si>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</si>
  <si>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</si>
  <si>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</si>
  <si>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</si>
  <si>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</si>
  <si>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</si>
  <si>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</si>
  <si>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</si>
  <si>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</si>
  <si>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</si>
  <si>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</si>
  <si>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</si>
  <si>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</si>
  <si>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</si>
  <si>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</si>
  <si>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</si>
  <si>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</si>
  <si>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</si>
  <si>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</si>
  <si>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</si>
  <si>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</si>
  <si>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</si>
  <si>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</si>
  <si>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</si>
  <si>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</si>
  <si>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</si>
  <si>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</si>
  <si>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</si>
  <si>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</si>
  <si>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</si>
  <si>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</si>
  <si>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</si>
  <si>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</si>
  <si>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</si>
  <si>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</si>
  <si>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</si>
  <si>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</si>
  <si>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</si>
  <si>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</si>
  <si>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</si>
  <si>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</si>
  <si>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</si>
  <si>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</si>
  <si>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</si>
  <si>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</si>
  <si>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</si>
  <si>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</si>
  <si>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</si>
  <si>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</si>
  <si>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</si>
  <si>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</si>
  <si>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</si>
  <si>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</si>
  <si>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</si>
  <si>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</si>
  <si>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</si>
  <si>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</si>
  <si>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</si>
  <si>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</si>
  <si>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</si>
  <si>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</si>
  <si>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</si>
  <si>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</si>
  <si>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</si>
  <si>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</si>
  <si>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</si>
  <si>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</si>
  <si>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</si>
  <si>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</si>
  <si>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</si>
  <si>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</si>
  <si>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</si>
  <si>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</si>
  <si>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</si>
  <si>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</si>
  <si>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</si>
  <si>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</si>
  <si>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</si>
  <si>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</si>
  <si>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</si>
  <si>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</si>
  <si>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</si>
  <si>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</si>
  <si>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</si>
  <si>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</si>
  <si>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</si>
  <si>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</si>
  <si>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</si>
  <si>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</si>
  <si>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</si>
  <si>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</si>
  <si>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</si>
  <si>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</si>
  <si>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</si>
  <si>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</si>
  <si>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</si>
  <si>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</si>
  <si>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</si>
  <si>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</si>
  <si>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</si>
  <si>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</si>
  <si>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</si>
  <si>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</si>
  <si>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</si>
  <si>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</si>
  <si>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</si>
  <si>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</si>
  <si>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</si>
  <si>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</si>
  <si>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</si>
  <si>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</si>
  <si>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</si>
  <si>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</si>
  <si>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</si>
  <si>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</si>
  <si>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</si>
  <si>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</si>
  <si>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</si>
  <si>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</si>
  <si>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</si>
  <si>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</si>
  <si>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</si>
  <si>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</si>
  <si>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</si>
  <si>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</si>
  <si>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</si>
  <si>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</si>
  <si>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</si>
  <si>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</si>
  <si>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</si>
  <si>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</si>
  <si>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</si>
  <si>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</si>
  <si>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</si>
  <si>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</si>
  <si>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</si>
  <si>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</si>
  <si>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</si>
  <si>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</si>
  <si>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</si>
  <si>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</si>
  <si>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</si>
  <si>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</si>
  <si>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</si>
  <si>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</si>
  <si>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</si>
  <si>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</si>
  <si>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</si>
  <si>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</si>
  <si>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</si>
  <si>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</si>
  <si>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</si>
  <si>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</si>
  <si>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</si>
  <si>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</si>
  <si>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</si>
  <si>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</si>
  <si>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</si>
  <si>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</si>
  <si>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</si>
  <si>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</si>
  <si>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</si>
  <si>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</si>
  <si>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</si>
  <si>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</si>
  <si>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</si>
  <si>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</si>
  <si>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</si>
  <si>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</si>
  <si>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</si>
  <si>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</si>
  <si>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</si>
  <si>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</si>
  <si>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</si>
  <si>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</si>
  <si>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</si>
  <si>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</si>
  <si>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</si>
  <si>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</si>
  <si>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</si>
  <si>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</si>
  <si>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</si>
  <si>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</si>
  <si>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</si>
  <si>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</si>
  <si>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</si>
  <si>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</si>
  <si>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</si>
  <si>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</si>
  <si>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</si>
  <si>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</si>
  <si>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</si>
  <si>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</si>
  <si>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</si>
  <si>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</si>
  <si>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</si>
  <si>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</si>
  <si>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</si>
  <si>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</si>
  <si>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</si>
  <si>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</si>
  <si>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</si>
  <si>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</si>
  <si>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</si>
  <si>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</si>
  <si>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</si>
  <si>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</si>
  <si>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</si>
  <si>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</si>
  <si>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</si>
  <si>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</si>
  <si>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</si>
  <si>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</si>
  <si>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</si>
  <si>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</si>
  <si>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</si>
  <si>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</si>
  <si>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</si>
  <si>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</si>
  <si>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</si>
  <si>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</si>
  <si>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</si>
  <si>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</si>
  <si>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</si>
  <si>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</si>
  <si>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</si>
  <si>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</si>
  <si>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</si>
  <si>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</si>
  <si>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</si>
  <si>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</si>
  <si>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</si>
  <si>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</si>
  <si>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</si>
  <si>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</si>
  <si>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</si>
  <si>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</si>
  <si>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</si>
  <si>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</si>
  <si>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</si>
  <si>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</si>
  <si>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</si>
  <si>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</si>
  <si>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</si>
  <si>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</si>
  <si>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</si>
  <si>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</si>
  <si>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</si>
  <si>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</si>
  <si>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</si>
  <si>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</si>
  <si>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</si>
  <si>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</si>
  <si>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</si>
  <si>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</si>
  <si>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</si>
  <si>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</si>
  <si>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</si>
  <si>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</si>
  <si>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</si>
  <si>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</si>
  <si>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</si>
  <si>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</si>
  <si>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</si>
  <si>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</si>
  <si>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</si>
  <si>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</si>
  <si>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</si>
  <si>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</si>
  <si>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</si>
  <si>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</si>
  <si>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</si>
  <si>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</si>
  <si>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</si>
  <si>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</si>
  <si>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</si>
  <si>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</si>
  <si>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</si>
  <si>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</si>
  <si>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</si>
  <si>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</si>
  <si>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</si>
  <si>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</si>
  <si>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</si>
  <si>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</si>
  <si>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</si>
  <si>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</si>
  <si>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</si>
  <si>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</si>
  <si>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</si>
  <si>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</si>
  <si>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</si>
  <si>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</si>
  <si>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</si>
  <si>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</si>
  <si>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</si>
  <si>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</si>
  <si>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</si>
  <si>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</si>
  <si>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</si>
  <si>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</si>
  <si>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</si>
  <si>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</si>
  <si>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</si>
  <si>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</si>
  <si>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</si>
  <si>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</si>
  <si>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</si>
  <si>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</si>
  <si>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</si>
  <si>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</si>
  <si>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</si>
  <si>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</si>
  <si>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</si>
  <si>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</si>
  <si>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</si>
  <si>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</si>
  <si>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</si>
  <si>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</si>
  <si>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</si>
  <si>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</si>
  <si>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</si>
  <si>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</si>
  <si>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</si>
  <si>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</si>
  <si>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</si>
  <si>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</si>
  <si>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</si>
  <si>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</si>
  <si>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</si>
  <si>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</si>
  <si>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</si>
  <si>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</si>
  <si>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</si>
  <si>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</si>
  <si>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</si>
  <si>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</si>
  <si>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</si>
  <si>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</si>
  <si>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</si>
  <si>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</si>
  <si>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</si>
  <si>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</si>
  <si>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</si>
  <si>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</si>
  <si>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</si>
  <si>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</si>
  <si>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</si>
  <si>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</si>
  <si>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</si>
  <si>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</si>
  <si>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</si>
  <si>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</si>
  <si>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</si>
  <si>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</si>
  <si>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</si>
  <si>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</si>
  <si>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</si>
  <si>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</si>
  <si>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</si>
  <si>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</si>
  <si>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</si>
  <si>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</si>
  <si>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</si>
  <si>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</si>
  <si>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</si>
  <si>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</si>
  <si>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</si>
  <si>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</si>
  <si>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</si>
  <si>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</si>
  <si>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</si>
  <si>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</si>
  <si>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</si>
  <si>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</si>
  <si>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</si>
  <si>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</si>
  <si>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</si>
  <si>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</si>
  <si>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</si>
  <si>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</si>
  <si>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</si>
  <si>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</si>
  <si>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</si>
  <si>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</si>
  <si>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</si>
  <si>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</si>
  <si>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</si>
  <si>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</si>
  <si>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</si>
  <si>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</si>
  <si>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</si>
  <si>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</si>
  <si>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</si>
  <si>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</si>
  <si>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</si>
  <si>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</si>
  <si>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</si>
  <si>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</si>
  <si>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</si>
  <si>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</si>
  <si>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</si>
  <si>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</si>
  <si>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</si>
  <si>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</si>
  <si>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</si>
  <si>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</si>
  <si>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</si>
  <si>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</si>
  <si>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</si>
  <si>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</si>
  <si>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</si>
  <si>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</si>
  <si>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</si>
  <si>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</si>
  <si>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</si>
  <si>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</si>
  <si>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</si>
  <si>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</si>
  <si>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</si>
  <si>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</si>
  <si>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</si>
  <si>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</si>
  <si>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</si>
  <si>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</si>
  <si>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</si>
  <si>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</si>
  <si>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</si>
  <si>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</si>
  <si>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</si>
  <si>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</si>
  <si>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</si>
  <si>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</si>
  <si>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</si>
  <si>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</si>
  <si>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</si>
  <si>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</si>
  <si>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</si>
  <si>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</si>
  <si>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</si>
  <si>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</si>
  <si>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</si>
  <si>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</si>
  <si>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</si>
  <si>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</si>
  <si>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</si>
  <si>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</si>
  <si>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</si>
  <si>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</si>
  <si>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</si>
  <si>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</si>
  <si>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</si>
  <si>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</si>
  <si>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</si>
  <si>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</si>
  <si>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</si>
  <si>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</si>
  <si>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</si>
  <si>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</si>
  <si>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</si>
  <si>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</si>
  <si>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</si>
  <si>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</si>
  <si>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</si>
  <si>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</si>
  <si>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</si>
  <si>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</si>
  <si>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</si>
  <si>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</si>
  <si>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</si>
  <si>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</si>
  <si>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</si>
  <si>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</si>
  <si>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</si>
  <si>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</si>
  <si>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</si>
  <si>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</si>
  <si>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</si>
  <si>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</si>
  <si>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</si>
  <si>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</si>
  <si>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</si>
  <si>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</si>
  <si>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</si>
  <si>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</si>
  <si>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</si>
  <si>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</si>
  <si>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</si>
  <si>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</si>
  <si>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</si>
  <si>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</si>
  <si>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</si>
  <si>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</si>
  <si>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</si>
  <si>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</si>
  <si>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</si>
  <si>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</si>
  <si>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</si>
  <si>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</si>
  <si>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</si>
  <si>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</si>
  <si>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</si>
  <si>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</si>
  <si>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</si>
  <si>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</si>
  <si>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</si>
  <si>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</si>
  <si>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</si>
  <si>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</si>
  <si>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</si>
  <si>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</si>
  <si>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</si>
  <si>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</si>
  <si>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</si>
  <si>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</si>
  <si>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</si>
  <si>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</si>
  <si>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</si>
  <si>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</si>
  <si>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</si>
  <si>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</si>
  <si>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</si>
  <si>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</si>
  <si>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</si>
  <si>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</si>
  <si>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</si>
  <si>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</si>
  <si>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</si>
  <si>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</si>
  <si>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</si>
  <si>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</si>
  <si>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</si>
  <si>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</si>
  <si>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</si>
  <si>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</si>
  <si>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</si>
  <si>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</si>
  <si>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</si>
  <si>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</si>
  <si>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</si>
  <si>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</si>
  <si>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</si>
  <si>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</si>
  <si>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</si>
  <si>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</si>
  <si>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</si>
  <si>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</si>
  <si>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</si>
  <si>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</si>
  <si>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</si>
  <si>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</si>
  <si>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</si>
  <si>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</si>
  <si>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</si>
  <si>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</si>
  <si>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</si>
  <si>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</si>
  <si>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</si>
  <si>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</si>
  <si>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</si>
  <si>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</si>
  <si>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</si>
  <si>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</si>
  <si>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</si>
  <si>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</si>
  <si>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</si>
  <si>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</si>
  <si>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</si>
  <si>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</si>
  <si>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</si>
  <si>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</si>
  <si>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</si>
  <si>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</si>
  <si>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</si>
  <si>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</si>
  <si>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</si>
  <si>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</si>
  <si>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</si>
  <si>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</si>
  <si>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</si>
  <si>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</si>
  <si>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</si>
  <si>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</si>
  <si>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</si>
  <si>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</si>
  <si>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</si>
  <si>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</si>
  <si>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</si>
  <si>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</si>
  <si>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</si>
  <si>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</si>
  <si>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</si>
  <si>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</si>
  <si>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</si>
  <si>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</si>
  <si>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</si>
  <si>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</si>
  <si>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</si>
  <si>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</si>
  <si>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</si>
  <si>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</si>
  <si>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</si>
  <si>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</si>
  <si>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</si>
  <si>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</si>
  <si>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</si>
  <si>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</si>
  <si>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</si>
  <si>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</si>
  <si>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</si>
  <si>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</si>
  <si>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</si>
  <si>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</si>
  <si>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</si>
  <si>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</si>
  <si>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</si>
  <si>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</si>
  <si>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</si>
  <si>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</si>
  <si>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</si>
  <si>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</si>
  <si>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</si>
  <si>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</si>
  <si>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</si>
  <si>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</si>
  <si>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</si>
  <si>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</si>
  <si>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</si>
  <si>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</si>
  <si>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</si>
  <si>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</si>
  <si>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</si>
  <si>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</si>
  <si>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</si>
  <si>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</si>
  <si>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</si>
  <si>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</si>
  <si>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</si>
  <si>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</si>
  <si>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</si>
  <si>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</si>
  <si>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</si>
  <si>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</si>
  <si>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</si>
  <si>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</si>
  <si>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</si>
  <si>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</si>
  <si>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</si>
  <si>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</si>
  <si>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</si>
  <si>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</si>
  <si>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</si>
  <si>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</si>
  <si>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</si>
  <si>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</si>
  <si>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</si>
  <si>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</si>
  <si>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</si>
  <si>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</si>
  <si>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</si>
  <si>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</si>
  <si>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</si>
  <si>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</si>
  <si>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</si>
  <si>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</si>
  <si>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</si>
  <si>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</si>
  <si>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</si>
  <si>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</si>
  <si>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</si>
  <si>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</si>
  <si>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</si>
  <si>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</si>
  <si>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</si>
  <si>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</si>
  <si>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</si>
  <si>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</si>
  <si>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</si>
  <si>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</si>
  <si>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</si>
  <si>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</si>
  <si>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</si>
  <si>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</si>
  <si>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</si>
  <si>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</si>
  <si>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</si>
  <si>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</si>
  <si>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</si>
  <si>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</si>
  <si>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</si>
  <si>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</si>
  <si>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</si>
  <si>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</si>
  <si>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</si>
  <si>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</si>
  <si>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</si>
  <si>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</si>
  <si>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</si>
  <si>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</si>
  <si>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</si>
  <si>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</si>
  <si>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</si>
  <si>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</si>
  <si>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</si>
  <si>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</si>
  <si>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</si>
  <si>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</si>
  <si>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</si>
  <si>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</si>
  <si>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</si>
  <si>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</si>
  <si>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</si>
  <si>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</si>
  <si>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</si>
  <si>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</si>
  <si>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</si>
  <si>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</si>
  <si>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</si>
  <si>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</si>
  <si>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</si>
  <si>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</si>
  <si>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</si>
  <si>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</si>
  <si>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</si>
  <si>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</si>
  <si>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</si>
  <si>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</si>
  <si>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</si>
  <si>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</si>
  <si>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</si>
  <si>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</si>
  <si>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</si>
  <si>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</si>
  <si>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</si>
  <si>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</si>
  <si>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</si>
  <si>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</si>
  <si>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</si>
  <si>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</si>
  <si>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</si>
  <si>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</si>
  <si>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</si>
  <si>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</si>
  <si>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</si>
  <si>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</si>
  <si>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</si>
  <si>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</si>
  <si>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</si>
  <si>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</si>
  <si>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</si>
  <si>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</si>
  <si>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</si>
  <si>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</si>
  <si>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</si>
  <si>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</si>
  <si>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</si>
  <si>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</si>
  <si>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</si>
  <si>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</si>
  <si>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</si>
  <si>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</si>
  <si>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</si>
  <si>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</si>
  <si>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</si>
  <si>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</si>
  <si>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</si>
  <si>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</si>
  <si>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</si>
  <si>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</si>
  <si>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</si>
  <si>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</si>
  <si>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</si>
  <si>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</si>
  <si>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</si>
  <si>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</si>
  <si>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</si>
  <si>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</si>
  <si>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</si>
  <si>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</si>
  <si>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</si>
  <si>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</si>
  <si>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</si>
  <si>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</si>
  <si>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</si>
  <si>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</si>
  <si>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</si>
  <si>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</si>
  <si>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</si>
  <si>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</si>
  <si>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</si>
  <si>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</si>
  <si>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</si>
  <si>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</si>
  <si>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</si>
  <si>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</si>
  <si>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</si>
  <si>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</si>
  <si>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</si>
  <si>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</si>
  <si>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</si>
  <si>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</si>
  <si>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</si>
  <si>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</si>
  <si>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</si>
  <si>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</si>
  <si>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</si>
  <si>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</si>
  <si>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</si>
  <si>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</si>
  <si>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</si>
  <si>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</si>
  <si>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</si>
  <si>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</si>
  <si>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</si>
  <si>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</si>
  <si>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</si>
  <si>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</si>
  <si>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</si>
  <si>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</si>
  <si>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</si>
  <si>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</si>
  <si>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</si>
  <si>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</si>
  <si>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</si>
  <si>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</si>
  <si>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</si>
  <si>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</si>
  <si>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</si>
  <si>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</si>
  <si>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</si>
  <si>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</si>
  <si>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</si>
  <si>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</si>
  <si>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</si>
  <si>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</si>
  <si>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</si>
  <si>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</si>
  <si>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</si>
  <si>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</si>
  <si>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</si>
  <si>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</si>
  <si>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</si>
  <si>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</si>
  <si>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</si>
  <si>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</si>
  <si>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</si>
  <si>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</si>
  <si>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</si>
  <si>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</si>
  <si>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</si>
  <si>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</si>
  <si>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</si>
  <si>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</si>
  <si>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</si>
  <si>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</si>
  <si>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</si>
  <si>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</si>
  <si>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</si>
  <si>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</si>
  <si>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</si>
  <si>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</si>
  <si>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</si>
  <si>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</si>
  <si>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</si>
  <si>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</si>
  <si>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</si>
  <si>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</si>
  <si>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</si>
  <si>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</si>
  <si>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</si>
  <si>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</si>
  <si>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</si>
  <si>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</si>
  <si>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</si>
  <si>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</si>
  <si>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</si>
  <si>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</si>
  <si>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</si>
  <si>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</si>
  <si>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</si>
  <si>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</si>
  <si>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</si>
  <si>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</si>
  <si>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</si>
  <si>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</si>
  <si>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</si>
  <si>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</si>
  <si>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</si>
  <si>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</si>
  <si>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</si>
  <si>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</si>
  <si>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</si>
  <si>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</si>
  <si>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</si>
  <si>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</si>
  <si>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</si>
  <si>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</si>
  <si>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</si>
  <si>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</si>
  <si>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</si>
  <si>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</si>
  <si>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</si>
  <si>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</si>
  <si>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</si>
  <si>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</si>
  <si>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</si>
  <si>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</si>
  <si>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</si>
  <si>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</si>
  <si>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</si>
  <si>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</si>
  <si>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</si>
  <si>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</si>
  <si>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</si>
  <si>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</si>
  <si>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</si>
  <si>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</si>
  <si>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</si>
  <si>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</si>
  <si>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</si>
  <si>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</si>
  <si>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</si>
  <si>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</si>
  <si>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</si>
  <si>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</si>
  <si>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</si>
  <si>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</si>
  <si>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</si>
  <si>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</si>
  <si>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</si>
  <si>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</si>
  <si>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</si>
  <si>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</si>
  <si>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</si>
  <si>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</si>
  <si>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</si>
  <si>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</si>
  <si>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</si>
  <si>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</si>
  <si>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</si>
  <si>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</si>
  <si>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</si>
  <si>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</si>
  <si>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</si>
  <si>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</si>
  <si>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</si>
  <si>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</si>
  <si>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</si>
  <si>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</si>
  <si>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</si>
  <si>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</si>
  <si>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</si>
  <si>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</si>
  <si>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</si>
  <si>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</si>
  <si>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</si>
  <si>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</si>
  <si>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</si>
  <si>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</si>
  <si>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</si>
  <si>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</si>
  <si>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</si>
  <si>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</si>
  <si>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</si>
  <si>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</si>
  <si>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</si>
  <si>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</si>
  <si>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</si>
  <si>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</si>
  <si>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</si>
  <si>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</si>
  <si>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</si>
  <si>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</si>
  <si>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</si>
  <si>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</si>
  <si>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</si>
  <si>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</si>
  <si>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</si>
  <si>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</si>
  <si>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</si>
  <si>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</si>
  <si>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</si>
  <si>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</si>
  <si>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</si>
  <si>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</si>
  <si>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</si>
  <si>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</si>
  <si>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</si>
  <si>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</si>
  <si>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</si>
  <si>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</si>
  <si>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</si>
  <si>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</si>
  <si>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</si>
  <si>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</si>
  <si>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</si>
  <si>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</si>
  <si>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</si>
  <si>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</si>
  <si>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</si>
  <si>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</si>
  <si>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</si>
  <si>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</si>
  <si>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</si>
  <si>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</si>
  <si>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</si>
  <si>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</si>
  <si>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</si>
  <si>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</si>
  <si>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</si>
  <si>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</si>
  <si>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</si>
  <si>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</si>
  <si>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</si>
  <si>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</si>
  <si>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</si>
  <si>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</si>
  <si>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</si>
  <si>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</si>
  <si>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</si>
  <si>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</si>
  <si>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</si>
  <si>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</si>
  <si>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</si>
  <si>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</si>
  <si>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</si>
  <si>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</si>
  <si>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</si>
  <si>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</si>
  <si>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</si>
  <si>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</si>
  <si>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</si>
  <si>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</si>
  <si>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</si>
  <si>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</si>
  <si>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</si>
  <si>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</si>
  <si>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</si>
  <si>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</si>
  <si>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</si>
  <si>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</si>
  <si>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</si>
  <si>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</si>
  <si>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</si>
  <si>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</si>
  <si>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</si>
  <si>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</si>
  <si>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</si>
  <si>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</si>
  <si>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</si>
  <si>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</si>
  <si>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</si>
  <si>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</si>
  <si>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</si>
  <si>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</si>
  <si>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</si>
  <si>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</si>
  <si>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</si>
  <si>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</si>
  <si>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</si>
  <si>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</si>
  <si>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</si>
  <si>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</si>
  <si>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</si>
  <si>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</si>
  <si>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</si>
  <si>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</si>
  <si>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</si>
  <si>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</si>
  <si>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</si>
  <si>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</si>
  <si>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</si>
  <si>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</si>
  <si>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</si>
  <si>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</si>
  <si>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</si>
  <si>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</si>
  <si>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</si>
  <si>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</si>
  <si>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</si>
  <si>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</si>
  <si>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</si>
  <si>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</si>
  <si>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</si>
  <si>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</si>
  <si>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</si>
  <si>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</si>
  <si>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</si>
  <si>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</si>
  <si>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</si>
  <si>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</si>
  <si>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</si>
  <si>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</si>
  <si>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</si>
  <si>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</si>
  <si>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</si>
  <si>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</si>
  <si>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</si>
  <si>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</si>
  <si>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</si>
  <si>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</si>
  <si>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</si>
  <si>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</si>
  <si>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</si>
  <si>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</si>
  <si>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</si>
  <si>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</si>
  <si>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</si>
  <si>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</si>
  <si>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</si>
  <si>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</si>
  <si>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</si>
  <si>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</si>
  <si>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</si>
  <si>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</si>
  <si>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</si>
  <si>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</si>
  <si>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</si>
  <si>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</si>
  <si>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</si>
  <si>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</si>
  <si>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</si>
  <si>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</si>
  <si>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</si>
  <si>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</si>
  <si>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</si>
  <si>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</si>
  <si>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</si>
  <si>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</si>
  <si>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</si>
  <si>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</si>
  <si>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</si>
  <si>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</si>
  <si>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</si>
  <si>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</si>
  <si>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</si>
  <si>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</si>
  <si>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</si>
  <si>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</si>
  <si>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</si>
  <si>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</si>
  <si>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</si>
  <si>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</si>
  <si>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</si>
  <si>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</si>
  <si>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</si>
  <si>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</si>
  <si>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</si>
  <si>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</si>
  <si>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</si>
  <si>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</si>
  <si>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</si>
  <si>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</si>
  <si>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</si>
  <si>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</si>
  <si>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</si>
  <si>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</si>
  <si>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</si>
  <si>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</si>
  <si>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</si>
  <si>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</si>
  <si>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</si>
  <si>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</si>
  <si>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</si>
  <si>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</si>
  <si>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</si>
  <si>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</si>
  <si>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</si>
  <si>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</si>
  <si>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</si>
  <si>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</si>
  <si>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</si>
  <si>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</si>
  <si>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</si>
  <si>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</si>
  <si>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</si>
  <si>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</si>
  <si>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</si>
  <si>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</si>
  <si>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</si>
  <si>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</si>
  <si>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</si>
  <si>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</si>
  <si>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</si>
  <si>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</si>
  <si>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</si>
  <si>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</si>
  <si>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</si>
  <si>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</si>
  <si>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</si>
  <si>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</si>
  <si>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</si>
  <si>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</si>
  <si>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</si>
  <si>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</si>
  <si>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</si>
  <si>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</si>
  <si>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</si>
  <si>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</si>
  <si>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</si>
  <si>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</si>
  <si>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</si>
  <si>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</si>
  <si>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</si>
  <si>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</si>
  <si>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</si>
  <si>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</si>
  <si>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</si>
  <si>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</si>
  <si>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</si>
  <si>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</si>
  <si>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</si>
  <si>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</si>
  <si>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</si>
  <si>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</si>
  <si>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</si>
  <si>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</si>
  <si>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</si>
  <si>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</si>
  <si>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</si>
  <si>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</si>
  <si>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</si>
  <si>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</si>
  <si>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</si>
  <si>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</si>
  <si>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</si>
  <si>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</si>
  <si>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</si>
  <si>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</si>
  <si>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</si>
  <si>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</si>
  <si>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</si>
  <si>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</si>
  <si>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</si>
  <si>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</si>
  <si>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</si>
  <si>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</si>
  <si>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</si>
  <si>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</si>
  <si>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</si>
  <si>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</si>
  <si>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</si>
  <si>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</si>
  <si>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</si>
  <si>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</si>
  <si>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</si>
  <si>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</si>
  <si>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</si>
  <si>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</si>
  <si>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</si>
  <si>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</si>
  <si>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</si>
  <si>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</si>
  <si>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</si>
  <si>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</si>
  <si>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</si>
  <si>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</si>
  <si>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</si>
  <si>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</si>
  <si>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</si>
  <si>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</si>
  <si>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</si>
  <si>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</si>
  <si>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</si>
  <si>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</si>
  <si>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</si>
  <si>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</si>
  <si>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</si>
  <si>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</si>
  <si>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</si>
  <si>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</si>
  <si>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</si>
  <si>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</si>
  <si>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</si>
  <si>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</si>
  <si>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</si>
  <si>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</si>
  <si>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</si>
  <si>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</si>
  <si>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</si>
  <si>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</si>
  <si>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</si>
  <si>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</si>
  <si>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</si>
  <si>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</si>
  <si>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</si>
  <si>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</si>
  <si>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</si>
  <si>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</si>
  <si>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</si>
  <si>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</si>
  <si>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</si>
  <si>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</si>
  <si>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</si>
  <si>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</si>
  <si>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</si>
  <si>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</si>
  <si>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</si>
  <si>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</si>
  <si>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</si>
  <si>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</si>
  <si>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</si>
  <si>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</si>
  <si>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</si>
  <si>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</si>
  <si>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</si>
  <si>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</si>
  <si>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</si>
  <si>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</si>
  <si>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</si>
  <si>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</si>
  <si>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</si>
  <si>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</si>
  <si>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</si>
  <si>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</si>
  <si>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</si>
  <si>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</si>
  <si>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</si>
  <si>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</si>
  <si>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</si>
  <si>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</si>
  <si>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</si>
  <si>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</si>
  <si>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</si>
  <si>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</si>
  <si>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</si>
  <si>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</si>
  <si>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</si>
  <si>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</si>
  <si>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</si>
  <si>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</si>
  <si>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</si>
  <si>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</si>
  <si>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</si>
  <si>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</si>
  <si>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</si>
  <si>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</si>
  <si>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</si>
  <si>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</si>
  <si>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</si>
  <si>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</si>
  <si>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</si>
  <si>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</si>
  <si>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</si>
  <si>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</si>
  <si>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</si>
  <si>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</si>
  <si>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</si>
  <si>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</si>
  <si>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</si>
  <si>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</si>
  <si>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</si>
  <si>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</si>
  <si>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</si>
  <si>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</si>
  <si>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</si>
  <si>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</si>
  <si>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</si>
  <si>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</si>
  <si>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</si>
  <si>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</si>
  <si>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</si>
  <si>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</si>
  <si>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</si>
  <si>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</si>
  <si>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</si>
  <si>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</si>
  <si>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</si>
  <si>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</si>
  <si>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</si>
  <si>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</si>
  <si>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</si>
  <si>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</si>
  <si>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</si>
  <si>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</si>
  <si>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</si>
  <si>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</si>
  <si>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</si>
  <si>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</si>
  <si>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</si>
  <si>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</si>
  <si>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</si>
  <si>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</si>
  <si>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</si>
  <si>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</si>
  <si>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</si>
  <si>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</si>
  <si>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</si>
  <si>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</si>
  <si>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</si>
  <si>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</si>
  <si>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</si>
  <si>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</si>
  <si>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</si>
  <si>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</si>
  <si>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</si>
  <si>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</si>
  <si>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</si>
  <si>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</si>
  <si>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</si>
  <si>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</si>
  <si>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</si>
  <si>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</si>
  <si>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</si>
  <si>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</si>
  <si>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</si>
  <si>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</si>
  <si>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</si>
  <si>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</si>
  <si>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</si>
  <si>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</si>
  <si>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</si>
  <si>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</si>
  <si>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</si>
  <si>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</si>
  <si>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</si>
  <si>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</si>
  <si>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</si>
  <si>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</si>
  <si>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</si>
  <si>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</si>
  <si>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</si>
  <si>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</si>
  <si>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</si>
  <si>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</si>
  <si>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</si>
  <si>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</si>
  <si>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</si>
  <si>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</si>
  <si>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</si>
  <si>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</si>
  <si>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</si>
  <si>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</si>
  <si>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</si>
  <si>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</si>
  <si>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</si>
  <si>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</si>
  <si>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</si>
  <si>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</si>
  <si>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</si>
  <si>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</si>
  <si>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</si>
  <si>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</si>
  <si>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</si>
  <si>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</si>
  <si>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</si>
  <si>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</si>
  <si>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</si>
  <si>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</si>
  <si>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</si>
  <si>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</si>
  <si>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</si>
  <si>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</si>
  <si>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</si>
  <si>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</si>
  <si>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</si>
  <si>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</si>
  <si>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</si>
  <si>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</si>
  <si>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</si>
  <si>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</si>
  <si>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</si>
  <si>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</si>
  <si>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</si>
  <si>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</si>
  <si>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</si>
  <si>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</si>
  <si>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</si>
  <si>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</si>
  <si>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</si>
  <si>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</si>
  <si>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</si>
  <si>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</si>
  <si>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</si>
  <si>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</si>
  <si>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</si>
  <si>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</si>
  <si>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</si>
  <si>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</si>
  <si>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</si>
  <si>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</si>
  <si>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</si>
  <si>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</si>
  <si>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</si>
  <si>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</si>
  <si>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</si>
  <si>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</si>
  <si>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</si>
  <si>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</si>
  <si>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</si>
  <si>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</si>
  <si>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</si>
  <si>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</si>
  <si>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</si>
  <si>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</si>
  <si>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</si>
  <si>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</si>
  <si>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</si>
  <si>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</si>
  <si>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</si>
  <si>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</si>
  <si>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</si>
  <si>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</si>
  <si>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</si>
  <si>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</si>
  <si>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</si>
  <si>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</si>
  <si>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</si>
  <si>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</si>
  <si>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</si>
  <si>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</si>
  <si>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</si>
  <si>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</si>
  <si>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</si>
  <si>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</si>
  <si>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</si>
  <si>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</si>
  <si>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</si>
  <si>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</si>
  <si>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</si>
  <si>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</si>
  <si>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</si>
  <si>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</si>
  <si>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</si>
  <si>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</si>
  <si>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</si>
  <si>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</si>
  <si>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</si>
  <si>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</si>
  <si>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</si>
  <si>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</si>
  <si>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</si>
  <si>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</si>
  <si>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</si>
  <si>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</si>
  <si>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</si>
  <si>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</si>
  <si>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</si>
  <si>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</si>
  <si>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</si>
  <si>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</si>
  <si>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</si>
  <si>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</si>
  <si>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</si>
  <si>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</si>
  <si>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</si>
  <si>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</si>
  <si>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</si>
  <si>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</si>
  <si>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</si>
  <si>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</si>
  <si>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</si>
  <si>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</si>
  <si>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</si>
  <si>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</si>
  <si>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</si>
  <si>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</si>
  <si>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</si>
  <si>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</si>
  <si>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</si>
  <si>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</si>
  <si>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</si>
  <si>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</si>
  <si>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</si>
  <si>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</si>
  <si>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</si>
  <si>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</si>
  <si>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</si>
  <si>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</si>
  <si>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</si>
  <si>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</si>
  <si>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</si>
  <si>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</si>
  <si>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</si>
  <si>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</si>
  <si>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</si>
  <si>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</si>
  <si>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</si>
  <si>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</si>
  <si>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</si>
  <si>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</si>
  <si>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</si>
  <si>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</si>
  <si>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</si>
  <si>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</si>
  <si>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</si>
  <si>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</si>
  <si>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</si>
  <si>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</si>
  <si>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</si>
  <si>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</si>
  <si>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</si>
  <si>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</si>
  <si>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</si>
  <si>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</si>
  <si>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</si>
  <si>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</si>
  <si>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</si>
  <si>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</si>
  <si>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</si>
  <si>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</si>
  <si>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</si>
  <si>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</si>
  <si>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</si>
  <si>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</si>
  <si>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</si>
  <si>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</si>
  <si>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</si>
  <si>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</si>
  <si>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</si>
  <si>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</si>
  <si>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</si>
  <si>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</si>
  <si>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</si>
  <si>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</si>
  <si>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</si>
  <si>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</si>
  <si>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</si>
  <si>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</si>
  <si>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</si>
  <si>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</si>
  <si>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</si>
  <si>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</si>
  <si>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</si>
  <si>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</si>
  <si>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</si>
  <si>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</si>
  <si>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</si>
  <si>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</si>
  <si>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</si>
  <si>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</si>
  <si>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</si>
  <si>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</si>
  <si>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</si>
  <si>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</si>
  <si>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</si>
  <si>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</si>
  <si>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</si>
  <si>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</si>
  <si>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</si>
  <si>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</si>
  <si>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</si>
  <si>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</si>
  <si>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</si>
  <si>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</si>
  <si>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</si>
  <si>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</si>
  <si>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</si>
  <si>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</si>
  <si>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</si>
  <si>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</si>
  <si>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</si>
  <si>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</si>
  <si>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</si>
  <si>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</si>
  <si>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</si>
  <si>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</si>
  <si>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</si>
  <si>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</si>
  <si>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</si>
  <si>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</si>
  <si>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</si>
  <si>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</si>
  <si>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</si>
  <si>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</si>
  <si>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</si>
  <si>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</si>
  <si>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</si>
  <si>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</si>
  <si>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</si>
  <si>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</si>
  <si>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</si>
  <si>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</si>
  <si>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</si>
  <si>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</si>
  <si>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</si>
  <si>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</si>
  <si>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</si>
  <si>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</si>
  <si>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</si>
  <si>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</si>
  <si>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</si>
  <si>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</si>
  <si>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</si>
  <si>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</si>
  <si>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</si>
  <si>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</si>
  <si>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</si>
  <si>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</si>
  <si>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</si>
  <si>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</si>
  <si>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</si>
  <si>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</si>
  <si>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</si>
  <si>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</si>
  <si>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</si>
  <si>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</si>
  <si>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</si>
  <si>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</si>
  <si>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</si>
  <si>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</si>
  <si>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</si>
  <si>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</si>
  <si>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</si>
  <si>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</si>
  <si>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</si>
  <si>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</si>
  <si>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</si>
  <si>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</si>
  <si>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</si>
  <si>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</si>
  <si>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</si>
  <si>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</si>
  <si>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</si>
  <si>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</si>
  <si>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</si>
  <si>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</si>
  <si>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</si>
  <si>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</si>
  <si>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</si>
  <si>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</si>
  <si>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</si>
  <si>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</si>
  <si>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</si>
  <si>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</si>
  <si>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</si>
  <si>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</si>
  <si>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</si>
  <si>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</si>
  <si>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</si>
  <si>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</si>
  <si>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</si>
  <si>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</si>
  <si>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</si>
  <si>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</si>
  <si>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</si>
  <si>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</si>
  <si>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</si>
  <si>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</si>
  <si>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</si>
  <si>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</si>
  <si>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</si>
  <si>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</si>
  <si>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</si>
  <si>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</si>
  <si>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</si>
  <si>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</si>
  <si>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</si>
  <si>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</si>
  <si>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</si>
  <si>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</si>
  <si>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</si>
  <si>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</si>
  <si>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</si>
  <si>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</si>
  <si>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</si>
  <si>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</si>
  <si>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</si>
  <si>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</si>
  <si>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</si>
  <si>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</si>
  <si>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</si>
  <si>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</si>
  <si>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</si>
  <si>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</si>
  <si>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</si>
  <si>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</si>
  <si>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</si>
  <si>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</si>
  <si>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</si>
  <si>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</si>
  <si>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</si>
  <si>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</si>
  <si>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</si>
  <si>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</si>
  <si>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</si>
  <si>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</si>
  <si>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</si>
  <si>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</si>
  <si>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</si>
  <si>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</si>
  <si>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</si>
  <si>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</si>
  <si>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</si>
  <si>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</si>
  <si>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</si>
  <si>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</si>
  <si>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</si>
  <si>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</si>
  <si>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</si>
  <si>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</si>
  <si>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</si>
  <si>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</si>
  <si>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</si>
  <si>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</si>
  <si>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</si>
  <si>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</si>
  <si>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</si>
  <si>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</si>
  <si>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</si>
  <si>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</si>
  <si>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</si>
  <si>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</si>
  <si>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</si>
  <si>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</si>
  <si>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</si>
  <si>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</si>
  <si>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</si>
  <si>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</si>
  <si>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</si>
  <si>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</si>
  <si>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</si>
  <si>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</si>
  <si>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</si>
  <si>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</si>
  <si>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</si>
  <si>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</si>
  <si>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</si>
  <si>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</si>
  <si>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</si>
  <si>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</si>
  <si>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</si>
  <si>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</si>
  <si>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</si>
  <si>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</si>
  <si>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</si>
  <si>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</si>
  <si>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</si>
  <si>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</si>
  <si>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</si>
  <si>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</si>
  <si>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</si>
  <si>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</si>
  <si>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</si>
  <si>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</si>
  <si>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</si>
  <si>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</si>
  <si>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</si>
  <si>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</si>
  <si>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</si>
  <si>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</si>
  <si>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</si>
  <si>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</si>
  <si>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</si>
  <si>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</si>
  <si>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</si>
  <si>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</si>
  <si>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</si>
  <si>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</si>
  <si>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</si>
  <si>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</si>
  <si>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</si>
  <si>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</si>
  <si>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</si>
  <si>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</si>
  <si>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</si>
  <si>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</si>
  <si>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</si>
  <si>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</si>
  <si>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</si>
  <si>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</si>
  <si>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</si>
  <si>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</si>
  <si>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</si>
  <si>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</si>
  <si>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</si>
  <si>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</si>
  <si>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</si>
  <si>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</si>
  <si>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</si>
  <si>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</si>
  <si>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</si>
  <si>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</si>
  <si>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</si>
  <si>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</si>
  <si>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</si>
  <si>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</si>
  <si>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</si>
  <si>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</si>
  <si>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</si>
  <si>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</si>
  <si>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</si>
  <si>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</si>
  <si>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</si>
  <si>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</si>
  <si>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</si>
  <si>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</si>
  <si>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</si>
  <si>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</si>
  <si>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</si>
  <si>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</si>
  <si>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</si>
  <si>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</si>
  <si>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</si>
  <si>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</si>
  <si>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</si>
  <si>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</si>
  <si>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</si>
  <si>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</si>
  <si>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</si>
  <si>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</si>
  <si>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</si>
  <si>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</si>
  <si>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</si>
  <si>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</si>
  <si>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</si>
  <si>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</si>
  <si>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</si>
  <si>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</si>
  <si>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</si>
  <si>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</si>
  <si>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</si>
  <si>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</si>
  <si>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</si>
  <si>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</si>
  <si>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</si>
  <si>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</si>
  <si>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</si>
  <si>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</si>
  <si>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</si>
  <si>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</si>
  <si>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</si>
  <si>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</si>
  <si>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</si>
  <si>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</si>
  <si>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</si>
  <si>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</si>
  <si>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</si>
  <si>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</si>
  <si>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</si>
  <si>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</si>
  <si>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</si>
  <si>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</si>
  <si>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</si>
  <si>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</si>
  <si>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</si>
  <si>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</si>
  <si>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</si>
  <si>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</si>
  <si>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</si>
  <si>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</si>
  <si>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</si>
  <si>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</si>
  <si>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</si>
  <si>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</si>
  <si>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</si>
  <si>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</si>
  <si>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</si>
  <si>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</si>
  <si>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</si>
  <si>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</si>
  <si>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</si>
  <si>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</si>
  <si>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</si>
  <si>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</si>
  <si>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</si>
  <si>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</si>
  <si>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</si>
  <si>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</si>
  <si>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</si>
  <si>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</si>
  <si>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</si>
  <si>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</si>
  <si>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</si>
  <si>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</si>
  <si>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</si>
  <si>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</si>
  <si>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</si>
  <si>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</si>
  <si>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</si>
  <si>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</si>
  <si>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</si>
  <si>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</si>
  <si>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</si>
  <si>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</si>
  <si>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</si>
  <si>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</si>
  <si>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</si>
  <si>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</si>
  <si>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</si>
  <si>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</si>
  <si>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</si>
  <si>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</si>
  <si>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</si>
  <si>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</si>
  <si>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</si>
  <si>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</si>
  <si>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</si>
  <si>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</si>
  <si>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</si>
  <si>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</si>
  <si>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</si>
  <si>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</si>
  <si>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</si>
  <si>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</si>
  <si>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</si>
  <si>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</si>
  <si>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</si>
  <si>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</si>
  <si>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</si>
  <si>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</si>
  <si>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</si>
  <si>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</si>
  <si>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</si>
  <si>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</si>
  <si>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</si>
  <si>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</si>
  <si>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</si>
  <si>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</si>
  <si>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</si>
  <si>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</si>
  <si>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</si>
  <si>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</si>
  <si>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</si>
  <si>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</si>
  <si>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</si>
  <si>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</si>
  <si>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</si>
  <si>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</si>
  <si>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</si>
  <si>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</si>
  <si>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</si>
  <si>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</si>
  <si>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</si>
  <si>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</si>
  <si>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</si>
  <si>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</si>
  <si>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</si>
  <si>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</si>
  <si>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</si>
  <si>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</si>
  <si>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</si>
  <si>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</si>
  <si>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</si>
  <si>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</si>
  <si>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</si>
  <si>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</si>
  <si>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</si>
  <si>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</si>
  <si>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</si>
  <si>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</si>
  <si>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</si>
  <si>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</si>
  <si>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</si>
  <si>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</si>
  <si>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</si>
  <si>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</si>
  <si>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</si>
  <si>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</si>
  <si>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</si>
  <si>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</si>
  <si>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</si>
  <si>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</si>
  <si>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</si>
  <si>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</si>
  <si>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</si>
  <si>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</si>
  <si>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</si>
  <si>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</si>
  <si>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</si>
  <si>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</si>
  <si>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</si>
  <si>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</si>
  <si>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</si>
  <si>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</si>
  <si>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</si>
  <si>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</si>
  <si>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</si>
  <si>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</si>
  <si>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</si>
  <si>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</si>
  <si>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</si>
  <si>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</si>
  <si>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</si>
  <si>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</si>
  <si>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</si>
  <si>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</si>
  <si>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</si>
  <si>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</si>
  <si>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</si>
  <si>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</si>
  <si>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</si>
  <si>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</si>
  <si>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</si>
  <si>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</si>
  <si>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</si>
  <si>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</si>
  <si>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</si>
  <si>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</si>
  <si>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</si>
  <si>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</si>
  <si>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</si>
  <si>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</si>
  <si>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</si>
  <si>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</si>
  <si>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</si>
  <si>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</si>
  <si>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</si>
  <si>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</si>
  <si>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</si>
  <si>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</si>
  <si>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</si>
  <si>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</si>
  <si>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</si>
  <si>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</si>
  <si>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</si>
  <si>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</si>
  <si>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</si>
  <si>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</si>
  <si>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</si>
  <si>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</si>
  <si>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</si>
  <si>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</si>
  <si>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</si>
  <si>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</si>
  <si>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</si>
  <si>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</si>
  <si>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</si>
  <si>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</si>
  <si>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</si>
  <si>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</si>
  <si>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</si>
  <si>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</si>
  <si>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</si>
  <si>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</si>
  <si>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</si>
  <si>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</si>
  <si>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</si>
  <si>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</si>
  <si>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</si>
  <si>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</si>
  <si>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</si>
  <si>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</si>
  <si>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</si>
  <si>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</si>
  <si>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</si>
  <si>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</si>
  <si>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</si>
  <si>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</si>
  <si>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</si>
  <si>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</si>
  <si>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</si>
  <si>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</si>
  <si>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</si>
  <si>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</si>
  <si>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</si>
  <si>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</si>
  <si>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</si>
  <si>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</si>
  <si>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</si>
  <si>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</si>
  <si>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</si>
  <si>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</si>
  <si>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</si>
  <si>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</si>
  <si>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</si>
  <si>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</si>
  <si>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</si>
  <si>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</si>
  <si>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</si>
  <si>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</si>
  <si>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</si>
  <si>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</si>
  <si>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</si>
  <si>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</si>
  <si>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</si>
  <si>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</si>
  <si>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</si>
  <si>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</si>
  <si>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</si>
  <si>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</si>
  <si>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</si>
  <si>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</si>
  <si>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</si>
  <si>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</si>
  <si>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</si>
  <si>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</si>
  <si>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</si>
  <si>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</si>
  <si>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</si>
  <si>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</si>
  <si>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</si>
  <si>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</si>
  <si>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</si>
  <si>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</si>
  <si>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</si>
  <si>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</si>
  <si>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</si>
  <si>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</si>
  <si>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</si>
  <si>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</si>
  <si>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</si>
  <si>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</si>
  <si>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</si>
  <si>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</si>
  <si>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</si>
  <si>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</si>
  <si>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</si>
  <si>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</si>
  <si>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</si>
  <si>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</si>
  <si>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</si>
  <si>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</si>
  <si>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</si>
  <si>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</si>
  <si>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</si>
  <si>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</si>
  <si>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</si>
  <si>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</si>
  <si>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</si>
  <si>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</si>
  <si>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</si>
  <si>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</si>
  <si>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</si>
  <si>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</si>
  <si>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</si>
  <si>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</si>
  <si>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</si>
  <si>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</si>
  <si>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</si>
  <si>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</si>
  <si>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</si>
  <si>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</si>
  <si>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</si>
  <si>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</si>
  <si>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</si>
  <si>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</si>
  <si>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</si>
  <si>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</si>
  <si>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</si>
  <si>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</si>
  <si>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</si>
  <si>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</si>
  <si>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</si>
  <si>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</si>
  <si>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</si>
  <si>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</si>
  <si>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</si>
  <si>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</si>
  <si>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</si>
  <si>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</si>
  <si>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</si>
  <si>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</si>
  <si>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</si>
  <si>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</si>
  <si>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</si>
  <si>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</si>
  <si>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</si>
  <si>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</si>
  <si>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</si>
  <si>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</si>
  <si>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</si>
  <si>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</si>
  <si>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</si>
  <si>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</si>
  <si>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</si>
  <si>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</si>
  <si>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</si>
  <si>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</si>
  <si>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</si>
  <si>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</si>
  <si>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</si>
  <si>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</si>
  <si>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</si>
  <si>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</si>
  <si>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</si>
  <si>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</si>
  <si>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</si>
  <si>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</si>
  <si>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</si>
  <si>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</si>
  <si>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</si>
  <si>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</si>
  <si>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</si>
  <si>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</si>
  <si>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</si>
  <si>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</si>
  <si>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</si>
  <si>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</si>
  <si>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</si>
  <si>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</si>
  <si>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</si>
  <si>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</si>
  <si>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</si>
  <si>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</si>
  <si>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</si>
  <si>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</si>
  <si>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</si>
  <si>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</si>
  <si>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</si>
  <si>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</si>
  <si>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</si>
  <si>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</si>
  <si>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</si>
  <si>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</si>
  <si>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</si>
  <si>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</si>
  <si>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</si>
  <si>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</si>
  <si>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</si>
  <si>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</si>
  <si>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</si>
  <si>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</si>
  <si>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</si>
  <si>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</si>
  <si>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</si>
  <si>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</si>
  <si>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</si>
  <si>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</si>
  <si>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</si>
  <si>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</si>
  <si>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</si>
  <si>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</si>
  <si>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</si>
  <si>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</si>
  <si>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</si>
  <si>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</si>
  <si>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</si>
  <si>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</si>
  <si>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</si>
  <si>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</si>
  <si>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</si>
  <si>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</si>
  <si>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</si>
  <si>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</si>
  <si>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</si>
  <si>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</si>
  <si>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</si>
  <si>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</si>
  <si>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</si>
  <si>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</si>
  <si>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</si>
  <si>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</si>
  <si>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</si>
  <si>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</si>
  <si>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</si>
  <si>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</si>
  <si>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</si>
  <si>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</si>
  <si>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</si>
  <si>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</si>
  <si>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</si>
  <si>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</si>
  <si>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</si>
  <si>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</si>
  <si>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</si>
  <si>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</si>
  <si>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</si>
  <si>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</si>
  <si>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</si>
  <si>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</si>
  <si>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</si>
  <si>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</si>
  <si>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</si>
  <si>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</si>
  <si>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</si>
  <si>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</si>
  <si>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</si>
  <si>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</si>
  <si>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</si>
  <si>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</si>
  <si>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</si>
  <si>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</si>
  <si>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</si>
  <si>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</si>
  <si>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</si>
  <si>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</si>
  <si>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</si>
  <si>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</si>
  <si>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</si>
  <si>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</si>
  <si>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</si>
  <si>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</si>
  <si>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</si>
  <si>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</si>
  <si>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</si>
  <si>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</si>
  <si>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</si>
  <si>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</si>
  <si>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</si>
  <si>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</si>
  <si>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</si>
  <si>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</si>
  <si>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</si>
  <si>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</si>
  <si>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</si>
  <si>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</si>
  <si>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</si>
  <si>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</si>
  <si>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</si>
  <si>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</si>
  <si>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</si>
  <si>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</si>
  <si>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</si>
  <si>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</si>
  <si>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</si>
  <si>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</si>
  <si>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</si>
  <si>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</si>
  <si>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</si>
  <si>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</si>
  <si>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</si>
  <si>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</si>
  <si>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</si>
  <si>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</si>
  <si>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</si>
  <si>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</si>
  <si>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</si>
  <si>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</si>
  <si>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</si>
  <si>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</si>
  <si>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</si>
  <si>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</si>
  <si>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</si>
  <si>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</si>
  <si>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</si>
  <si>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</si>
  <si>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</si>
  <si>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</si>
  <si>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</si>
  <si>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</si>
  <si>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</si>
  <si>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</si>
  <si>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</si>
  <si>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</si>
  <si>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</si>
  <si>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</si>
  <si>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</si>
  <si>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</si>
  <si>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</si>
  <si>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</si>
  <si>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</si>
  <si>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</si>
  <si>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</si>
  <si>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</si>
  <si>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</si>
  <si>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</si>
  <si>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</si>
  <si>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</si>
  <si>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</si>
  <si>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</si>
  <si>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</si>
  <si>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</si>
  <si>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</si>
  <si>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</si>
  <si>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</si>
  <si>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</si>
  <si>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</si>
  <si>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</si>
  <si>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</si>
  <si>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</si>
  <si>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</si>
  <si>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</si>
  <si>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</si>
  <si>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</si>
  <si>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</si>
  <si>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</si>
  <si>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</si>
  <si>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</si>
  <si>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</si>
  <si>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</si>
  <si>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</si>
  <si>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</si>
  <si>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</si>
  <si>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</si>
  <si>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</si>
  <si>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</si>
  <si>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</si>
  <si>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</si>
  <si>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</si>
  <si>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</si>
  <si>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</si>
  <si>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</si>
  <si>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</si>
  <si>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</si>
  <si>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</si>
  <si>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</si>
  <si>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</si>
  <si>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</si>
  <si>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</si>
  <si>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</si>
  <si>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</si>
  <si>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</si>
  <si>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</si>
  <si>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</si>
  <si>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</si>
  <si>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</si>
  <si>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</si>
  <si>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</si>
  <si>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</si>
  <si>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</si>
  <si>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</si>
  <si>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</si>
  <si>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</si>
  <si>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</si>
  <si>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</si>
  <si>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</si>
  <si>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</si>
  <si>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</si>
  <si>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</si>
  <si>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</si>
  <si>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</si>
  <si>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</si>
  <si>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</si>
  <si>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</si>
  <si>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</si>
  <si>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</si>
  <si>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</si>
  <si>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</si>
  <si>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</si>
  <si>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</si>
  <si>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</si>
  <si>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</si>
  <si>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</si>
  <si>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</si>
  <si>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</si>
  <si>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</si>
  <si>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</si>
  <si>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</si>
  <si>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</si>
  <si>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</si>
  <si>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</si>
  <si>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</si>
  <si>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</si>
  <si>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</si>
  <si>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</si>
  <si>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</si>
  <si>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</si>
  <si>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</si>
  <si>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</si>
  <si>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</si>
  <si>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</si>
  <si>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</si>
  <si>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</si>
  <si>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</si>
  <si>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</si>
  <si>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</si>
  <si>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吴薇</t>
  </si>
  <si>
    <t>梁津</t>
  </si>
  <si>
    <t>核定资产</t>
  </si>
  <si>
    <t>房地产抵押价值</t>
  </si>
  <si>
    <t>房地产市场价值</t>
  </si>
  <si>
    <t>北京市</t>
  </si>
  <si>
    <r>
      <rPr>
        <sz val="12"/>
        <color theme="9" tint="-0.249977111117893"/>
        <rFont val="宋体"/>
        <family val="3"/>
        <charset val="134"/>
      </rPr>
      <t>朝阳区酒仙桥北路</t>
    </r>
    <r>
      <rPr>
        <sz val="12"/>
        <color theme="9" tint="-0.249977111117893"/>
        <rFont val="Arial"/>
        <family val="2"/>
      </rPr>
      <t>7</t>
    </r>
    <r>
      <rPr>
        <sz val="12"/>
        <color theme="9" tint="-0.249977111117893"/>
        <rFont val="宋体"/>
        <family val="3"/>
        <charset val="134"/>
      </rPr>
      <t>号北侧</t>
    </r>
    <phoneticPr fontId="6" type="noConversion"/>
  </si>
  <si>
    <t>企业</t>
  </si>
  <si>
    <t>北京京城机电控股有限责任公司</t>
    <phoneticPr fontId="6" type="noConversion"/>
  </si>
  <si>
    <t>出让</t>
  </si>
  <si>
    <t>工业</t>
    <phoneticPr fontId="6" type="noConversion"/>
  </si>
  <si>
    <t>否</t>
  </si>
  <si>
    <t>原件</t>
  </si>
  <si>
    <t>办公项目</t>
  </si>
  <si>
    <t>无</t>
  </si>
  <si>
    <t>现房</t>
  </si>
  <si>
    <t>正常</t>
    <phoneticPr fontId="6" type="noConversion"/>
  </si>
  <si>
    <t>通路</t>
  </si>
  <si>
    <t>通电</t>
  </si>
  <si>
    <t>通讯</t>
  </si>
  <si>
    <t>通上水</t>
  </si>
  <si>
    <t>通下水</t>
  </si>
  <si>
    <t>地上</t>
  </si>
  <si>
    <t>办公楼</t>
  </si>
  <si>
    <t>幢号</t>
    <phoneticPr fontId="143" type="noConversion"/>
  </si>
  <si>
    <t>结构</t>
    <phoneticPr fontId="143" type="noConversion"/>
  </si>
  <si>
    <t>建筑面积</t>
    <phoneticPr fontId="143" type="noConversion"/>
  </si>
  <si>
    <t>建成年代</t>
    <phoneticPr fontId="143" type="noConversion"/>
  </si>
  <si>
    <t>层数</t>
    <phoneticPr fontId="143" type="noConversion"/>
  </si>
  <si>
    <t>混合</t>
  </si>
  <si>
    <t>混合</t>
    <phoneticPr fontId="143" type="noConversion"/>
  </si>
  <si>
    <t>经济耐用年限</t>
    <phoneticPr fontId="143" type="noConversion"/>
  </si>
  <si>
    <t>成新率</t>
    <phoneticPr fontId="143" type="noConversion"/>
  </si>
  <si>
    <t>北京机电院高技术股份有限公司</t>
    <phoneticPr fontId="6" type="noConversion"/>
  </si>
  <si>
    <t>工业35.11年</t>
    <phoneticPr fontId="6" type="noConversion"/>
  </si>
  <si>
    <t>地下室</t>
    <phoneticPr fontId="143" type="noConversion"/>
  </si>
  <si>
    <t>地下室</t>
    <phoneticPr fontId="143" type="noConversion"/>
  </si>
  <si>
    <t>钢混</t>
  </si>
  <si>
    <t>附属用房</t>
    <phoneticPr fontId="143" type="noConversion"/>
  </si>
  <si>
    <t>附属用房</t>
    <phoneticPr fontId="143" type="noConversion"/>
  </si>
  <si>
    <t>地下室</t>
    <phoneticPr fontId="143" type="noConversion"/>
  </si>
  <si>
    <t>地下室</t>
    <phoneticPr fontId="143" type="noConversion"/>
  </si>
  <si>
    <t>附属用房1</t>
    <phoneticPr fontId="143" type="noConversion"/>
  </si>
  <si>
    <t>附属用房2</t>
    <phoneticPr fontId="143" type="noConversion"/>
  </si>
  <si>
    <t>序号</t>
  </si>
  <si>
    <t>楼号</t>
  </si>
  <si>
    <t>房屋建筑物地点</t>
  </si>
  <si>
    <t>租户名称</t>
  </si>
  <si>
    <t>租期（年）</t>
  </si>
  <si>
    <t>租期起始</t>
  </si>
  <si>
    <t>租期结束</t>
  </si>
  <si>
    <t>租赁面积</t>
  </si>
  <si>
    <t>年租金</t>
  </si>
  <si>
    <t>单价</t>
  </si>
  <si>
    <t>（万元）</t>
  </si>
  <si>
    <t>（元/天/㎡）</t>
  </si>
  <si>
    <t>热处理区域</t>
  </si>
  <si>
    <t>北京裕泽咨询服务有限公司</t>
  </si>
  <si>
    <t>培训中心独立楼房</t>
  </si>
  <si>
    <t>北京锦绣星空广告有限公司</t>
  </si>
  <si>
    <t>南恒温车间厂房</t>
  </si>
  <si>
    <t>北京盈州明珠健身俱乐部有限公司</t>
  </si>
  <si>
    <t>中试厂房6000米西一层</t>
  </si>
  <si>
    <t>北京东方君盛科技有限公司</t>
  </si>
  <si>
    <t xml:space="preserve"> 9年1.5个月 </t>
  </si>
  <si>
    <t>6000米中试车间地下室东半部</t>
  </si>
  <si>
    <t>北京瑞通嘉业汽车销售服务有限公司</t>
  </si>
  <si>
    <t>六千米中试厂房地下一层</t>
  </si>
  <si>
    <t>北京东方君盛科技有限公司（地下）</t>
  </si>
  <si>
    <t>食品所部分房屋（地上561.2平米，地下239.6平米）</t>
  </si>
  <si>
    <t>北京安美利企业策划有限公司（北京宏景聚力餐饮服务有限公司）</t>
  </si>
  <si>
    <t>5.9/2.2</t>
  </si>
  <si>
    <t>原食品楼一层</t>
  </si>
  <si>
    <t>北京安美利企业策划有限公司</t>
  </si>
  <si>
    <t>工人体育场北路4号73号楼部分</t>
  </si>
  <si>
    <t>北京东方红炉餐饮管理有限公司</t>
  </si>
  <si>
    <t>工人体育场北路4号70号楼一层</t>
  </si>
  <si>
    <t>北京德神传动广告有限公司</t>
  </si>
  <si>
    <t>73号楼一层102室</t>
  </si>
  <si>
    <t>北京宝塔良庭贸易有限公司</t>
  </si>
  <si>
    <t>73号楼一层101室、二层201室、三层301室</t>
  </si>
  <si>
    <t>北京建木餐饮文化有限责任公司</t>
  </si>
  <si>
    <t>原电器车间一、二层西侧房屋</t>
  </si>
  <si>
    <t>北京狮子山下餐饮有限公司</t>
  </si>
  <si>
    <t>77号楼101室、201室</t>
  </si>
  <si>
    <t>广州悦跑信息科技有限公司</t>
  </si>
  <si>
    <t>中跨厂房二层南半部</t>
  </si>
  <si>
    <t>北京冯氏兄弟摄影有限责任公司</t>
  </si>
  <si>
    <t>中跨厂房二层北半部</t>
  </si>
  <si>
    <t>北京市朝阳区东方视线职业培训学校</t>
  </si>
  <si>
    <t>北车间厂房和中跨厂房一层</t>
  </si>
  <si>
    <t>北京乾坤餐饮管理有限公司（英华信诚）</t>
  </si>
  <si>
    <t>北车间厂房和中跨厂房一层　</t>
  </si>
  <si>
    <t>北京乾坤餐饮管理有限公司（英华信成）</t>
  </si>
  <si>
    <t>西部大件车间、原汇达办公室、模具热处理及食品食堂房屋共四部分</t>
  </si>
  <si>
    <t>78号楼4层部分面积</t>
  </si>
  <si>
    <t>北京市机电研究院</t>
  </si>
  <si>
    <t>1.3万中试车间北一层房屋</t>
  </si>
  <si>
    <t>北京龙玺国际影视文化传播有限公司</t>
  </si>
  <si>
    <t>一万三中跨部分</t>
  </si>
  <si>
    <t>北京雅迪传媒有限公司</t>
  </si>
  <si>
    <t>79号楼一层部分</t>
  </si>
  <si>
    <t>新英体育咨询（北京）有限公司</t>
  </si>
  <si>
    <t>北京新英世播传媒技术有限公司</t>
  </si>
  <si>
    <t>北京新英体育传媒有限公司</t>
  </si>
  <si>
    <t>80号楼二层东北角</t>
  </si>
  <si>
    <t>浙江唐德影视股份有限公司</t>
  </si>
  <si>
    <t>80号楼东侧四层</t>
  </si>
  <si>
    <t>北京惠邦天地技术有限公司</t>
  </si>
  <si>
    <t>一万三北跨东侧</t>
  </si>
  <si>
    <t>北京杰希广告有限公司</t>
  </si>
  <si>
    <t>80号楼408室</t>
  </si>
  <si>
    <t>无锡锦绣莲荷传媒有限公司</t>
  </si>
  <si>
    <t>80号楼4层409室</t>
  </si>
  <si>
    <t>旅加（北京）文化传播有限公司</t>
  </si>
  <si>
    <t>80号楼4层406室</t>
  </si>
  <si>
    <t>艾拉丁网络科技（北京）有限公司</t>
  </si>
  <si>
    <t>工人体育场北路4号80号楼4层407室</t>
  </si>
  <si>
    <t>北京千骊影视传媒有限公司</t>
  </si>
  <si>
    <t>80号楼三层</t>
  </si>
  <si>
    <t>北京科聚思网络科技有限公司</t>
  </si>
  <si>
    <t>工人体育场北路4号80号楼4层410室</t>
  </si>
  <si>
    <t>北京诸葛云游科技有限公司</t>
  </si>
  <si>
    <t>81号楼一层部分面积</t>
  </si>
  <si>
    <t>北京爱尚场服装有限公司</t>
  </si>
  <si>
    <t>81号楼4层401室</t>
  </si>
  <si>
    <t>北京优客创新科技有限公司</t>
  </si>
  <si>
    <t>81号楼二层面积201-222室</t>
  </si>
  <si>
    <t>中国法国工商会</t>
  </si>
  <si>
    <t>81号楼108室</t>
  </si>
  <si>
    <t>北京英佩特医疗器械有限公司</t>
  </si>
  <si>
    <t>3年4个月14天</t>
  </si>
  <si>
    <t>81号楼223,224室</t>
  </si>
  <si>
    <t>法国法中之家旅行社北京办事处</t>
  </si>
  <si>
    <t>81号楼103室</t>
  </si>
  <si>
    <t>北京可百餐饮管理有限公司</t>
  </si>
  <si>
    <t>81号楼227,228室</t>
  </si>
  <si>
    <t>法国巴黎大区工商会北京代表处</t>
  </si>
  <si>
    <t>81号楼102，104室</t>
  </si>
  <si>
    <t>北京史考特房地产经纪有限公司</t>
  </si>
  <si>
    <t>81号楼101室</t>
  </si>
  <si>
    <t>史考特咨询服务（北京）有限公司</t>
  </si>
  <si>
    <t>81号楼232室</t>
  </si>
  <si>
    <t>安美地（北京）科技有限公司</t>
  </si>
  <si>
    <t>81号楼107室</t>
  </si>
  <si>
    <t>安美地（张家口）山地发展有限公司</t>
  </si>
  <si>
    <t>81号楼231室</t>
  </si>
  <si>
    <t>北京理则仁知识产权代理有限公司</t>
  </si>
  <si>
    <t>81号楼229及230室</t>
  </si>
  <si>
    <t>北京理利仁知识产权代理有限公司</t>
  </si>
  <si>
    <t>81号楼225,226</t>
  </si>
  <si>
    <t>北京泰莱梅德教育咨询有限公司</t>
  </si>
  <si>
    <t>81号楼234，235室</t>
  </si>
  <si>
    <t>利雅法盛Nicolas Carre</t>
  </si>
  <si>
    <t>81号楼233室</t>
  </si>
  <si>
    <t>Corporate Advisory Limited</t>
  </si>
  <si>
    <t>81号楼105,106室</t>
  </si>
  <si>
    <t>巴商（北京）咨询有限公司</t>
  </si>
  <si>
    <t>中试及综合楼首层</t>
  </si>
  <si>
    <t>中创国际投资担保（北京）有限公司</t>
  </si>
  <si>
    <t>81号楼地下室</t>
  </si>
  <si>
    <t>中试厂房及食堂’建筑中食堂部分第三层</t>
  </si>
  <si>
    <t>北京乾元君诚艺术品有限公司</t>
  </si>
  <si>
    <t xml:space="preserve"> 8年10个月 </t>
  </si>
  <si>
    <t>凯富一层裙楼及大堂西南角玻璃房屋</t>
  </si>
  <si>
    <t>中国银行股份有限公司北京商务区支行</t>
  </si>
  <si>
    <t>87号楼三层</t>
  </si>
  <si>
    <t>中融民信资本管理有限公司</t>
  </si>
  <si>
    <t>大厦大堂中部以及首层西北角办公室</t>
  </si>
  <si>
    <t>凯富大厦二层</t>
  </si>
  <si>
    <t>北京凯富国际休闲俱乐部（北京京华年代国际休闲俱乐部）</t>
  </si>
  <si>
    <t>首层西侧玻璃厅</t>
  </si>
  <si>
    <t>北京耕耘乐地毯工艺品商店</t>
  </si>
  <si>
    <t>87号楼一层101室</t>
  </si>
  <si>
    <t>北京全时叁陆伍连锁便利店有限公司</t>
  </si>
  <si>
    <t>四五六层</t>
  </si>
  <si>
    <t>北京经济和信息化委员会</t>
  </si>
  <si>
    <t>凯富九、十、十一层，一层大堂西侧（50平米）</t>
  </si>
  <si>
    <t>北京凯富酒店有限公司</t>
  </si>
  <si>
    <t>大堂首层西侧部分场地</t>
  </si>
  <si>
    <t>3年11个月</t>
  </si>
  <si>
    <t>凯富8层801B</t>
  </si>
  <si>
    <t>深圳瑞银信信息技术有限公司</t>
  </si>
  <si>
    <t xml:space="preserve"> 1年4个月 </t>
  </si>
  <si>
    <t>2016.12.30</t>
  </si>
  <si>
    <t>2018.4.29</t>
  </si>
  <si>
    <t>地下一层、二层部分面积</t>
  </si>
  <si>
    <t>87号楼七层701室</t>
  </si>
  <si>
    <t>87号楼七层702室</t>
  </si>
  <si>
    <t>北京瑞烟合创信息技术有限公司</t>
  </si>
  <si>
    <t>87号楼802室</t>
  </si>
  <si>
    <t>英富曼会展（北京）有限公司</t>
  </si>
  <si>
    <t>凯富十二.</t>
  </si>
  <si>
    <t>北京凯富温泉健身俱乐部有限公司</t>
  </si>
  <si>
    <t>凯富十三、十四</t>
  </si>
  <si>
    <t>凯富地下二层D201</t>
  </si>
  <si>
    <t>巨牛（北京）投资有限公司</t>
  </si>
  <si>
    <t>是</t>
  </si>
  <si>
    <t>凯富大厦</t>
    <phoneticPr fontId="3" type="noConversion"/>
  </si>
  <si>
    <t>办公</t>
    <phoneticPr fontId="3" type="noConversion"/>
  </si>
  <si>
    <t>其他</t>
    <phoneticPr fontId="3" type="noConversion"/>
  </si>
  <si>
    <t>凯富办公地下</t>
    <phoneticPr fontId="143" type="noConversion"/>
  </si>
  <si>
    <t>办公地下</t>
    <phoneticPr fontId="143" type="noConversion"/>
  </si>
  <si>
    <t>成新度</t>
  </si>
  <si>
    <t>总租赁面积</t>
    <phoneticPr fontId="143" type="noConversion"/>
  </si>
  <si>
    <t>最长租赁期</t>
    <phoneticPr fontId="143" type="noConversion"/>
  </si>
  <si>
    <t>剩余租赁期</t>
    <phoneticPr fontId="143" type="noConversion"/>
  </si>
  <si>
    <t>平均租金</t>
    <phoneticPr fontId="143" type="noConversion"/>
  </si>
  <si>
    <t>一年总租金</t>
    <phoneticPr fontId="143" type="noConversion"/>
  </si>
  <si>
    <t>一年总租金</t>
    <phoneticPr fontId="143" type="noConversion"/>
  </si>
  <si>
    <t>第一部分</t>
    <phoneticPr fontId="143" type="noConversion"/>
  </si>
  <si>
    <t>最长租赁期</t>
    <phoneticPr fontId="143" type="noConversion"/>
  </si>
  <si>
    <t>租赁面积</t>
    <phoneticPr fontId="143" type="noConversion"/>
  </si>
  <si>
    <t>平均租金</t>
    <phoneticPr fontId="143" type="noConversion"/>
  </si>
  <si>
    <t>第二部分</t>
    <phoneticPr fontId="143" type="noConversion"/>
  </si>
  <si>
    <t>最长租赁期</t>
    <phoneticPr fontId="143" type="noConversion"/>
  </si>
  <si>
    <t>剩余租赁期</t>
    <phoneticPr fontId="143" type="noConversion"/>
  </si>
  <si>
    <t>一年总租金</t>
    <phoneticPr fontId="143" type="noConversion"/>
  </si>
  <si>
    <t>租赁面积</t>
    <phoneticPr fontId="143" type="noConversion"/>
  </si>
  <si>
    <t>平均租金</t>
    <phoneticPr fontId="143" type="noConversion"/>
  </si>
  <si>
    <t>剩余租赁期</t>
    <phoneticPr fontId="143" type="noConversion"/>
  </si>
  <si>
    <t>办公短租约</t>
  </si>
  <si>
    <t>办公短租约</t>
    <phoneticPr fontId="7" type="noConversion"/>
  </si>
  <si>
    <t>办公长租约</t>
  </si>
  <si>
    <t>办公长租约</t>
    <phoneticPr fontId="7" type="noConversion"/>
  </si>
  <si>
    <t>办公未出租</t>
  </si>
  <si>
    <t>未出租</t>
    <phoneticPr fontId="143" type="noConversion"/>
  </si>
  <si>
    <t>办公未出租</t>
    <phoneticPr fontId="7" type="noConversion"/>
  </si>
  <si>
    <t>比较法-凯富</t>
  </si>
  <si>
    <t>比较法-凯富</t>
    <phoneticPr fontId="16" type="noConversion"/>
  </si>
  <si>
    <t>收益法-凯富</t>
  </si>
  <si>
    <t>收益法-凯富</t>
    <phoneticPr fontId="16" type="noConversion"/>
  </si>
  <si>
    <t>成本法-办公</t>
    <phoneticPr fontId="16" type="noConversion"/>
  </si>
  <si>
    <t>收益法（办公汇总）</t>
  </si>
  <si>
    <t>收益法（办公汇总）</t>
    <phoneticPr fontId="16" type="noConversion"/>
  </si>
  <si>
    <t>收益法-办公短租</t>
  </si>
  <si>
    <t>收益法-办公短租</t>
    <phoneticPr fontId="16" type="noConversion"/>
  </si>
  <si>
    <t>收益法-办公长租</t>
  </si>
  <si>
    <t>收益法-办公长租</t>
    <phoneticPr fontId="16" type="noConversion"/>
  </si>
  <si>
    <t>收益法-办公未租</t>
  </si>
  <si>
    <t>收益法-办公未租</t>
    <phoneticPr fontId="16" type="noConversion"/>
  </si>
  <si>
    <t>钢</t>
  </si>
  <si>
    <t>生产用房</t>
  </si>
  <si>
    <t>凯富大厦</t>
  </si>
  <si>
    <t>估价对象位于三里屯，周边办公楼项目较多，入驻率较高，办公集聚程度较好。</t>
    <phoneticPr fontId="25" type="noConversion"/>
  </si>
  <si>
    <t>估价对象周边有113路、115路、117路等多条公交线路，有地铁团结湖站，路网较密集，停车便捷程度较好，综合评价交通便捷度较好。</t>
    <phoneticPr fontId="41" type="noConversion"/>
  </si>
  <si>
    <t>估价对象所在区域有银行（中国银行长虹桥支行）、医院（武警北京总队医院）、超市（京客隆三里屯店）、学校（北京市朝阳区白家庄小学）、餐饮（石塘嘴）等公共配套设施，公共配套设施齐备情况较好。</t>
    <phoneticPr fontId="41" type="noConversion"/>
  </si>
  <si>
    <t>估价对象所在区域有团结湖公园，自然情况较好；有农业展览馆、北京联合大学机电学院等人文设施，人文情况较好；综合评价自然及人文环境较好。</t>
    <phoneticPr fontId="41" type="noConversion"/>
  </si>
  <si>
    <t>工业</t>
    <phoneticPr fontId="32" type="noConversion"/>
  </si>
  <si>
    <t>办公</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</si>
  <si>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</si>
  <si>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</si>
  <si>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</si>
  <si>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</si>
  <si>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</si>
  <si>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</si>
  <si>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办公楼</t>
    <phoneticPr fontId="32" type="noConversion"/>
  </si>
  <si>
    <t>钢</t>
    <phoneticPr fontId="32" type="noConversion"/>
  </si>
  <si>
    <t>钢混</t>
    <phoneticPr fontId="32" type="noConversion"/>
  </si>
  <si>
    <t>混合</t>
    <phoneticPr fontId="32" type="noConversion"/>
  </si>
  <si>
    <t>精装</t>
  </si>
  <si>
    <t>精装</t>
    <phoneticPr fontId="32" type="noConversion"/>
  </si>
  <si>
    <t>普装</t>
    <phoneticPr fontId="32" type="noConversion"/>
  </si>
  <si>
    <t>简装</t>
    <phoneticPr fontId="32" type="noConversion"/>
  </si>
  <si>
    <t>毛坯</t>
    <phoneticPr fontId="32" type="noConversion"/>
  </si>
  <si>
    <t>专业</t>
  </si>
  <si>
    <t>专业</t>
    <phoneticPr fontId="32" type="noConversion"/>
  </si>
  <si>
    <t>普通</t>
    <phoneticPr fontId="32" type="noConversion"/>
  </si>
  <si>
    <t>七通</t>
  </si>
  <si>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</si>
  <si>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</si>
  <si>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</si>
  <si>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</si>
  <si>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</si>
  <si>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</si>
  <si>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标准层高</t>
  </si>
  <si>
    <t>标准层高</t>
    <phoneticPr fontId="32" type="noConversion"/>
  </si>
  <si>
    <t>超高层高</t>
    <phoneticPr fontId="32" type="noConversion"/>
  </si>
  <si>
    <t>售价</t>
  </si>
  <si>
    <t>甲级</t>
  </si>
  <si>
    <t>甲级</t>
    <phoneticPr fontId="32" type="noConversion"/>
  </si>
  <si>
    <t>乙级</t>
    <phoneticPr fontId="32" type="noConversion"/>
  </si>
  <si>
    <t>丙级</t>
    <phoneticPr fontId="32" type="noConversion"/>
  </si>
  <si>
    <t>无等级</t>
  </si>
  <si>
    <t>无等级</t>
    <phoneticPr fontId="32" type="noConversion"/>
  </si>
  <si>
    <t>三里屯SOHO写字楼</t>
    <phoneticPr fontId="3" type="noConversion"/>
  </si>
  <si>
    <t>世茂·工三写字楼</t>
    <phoneticPr fontId="3" type="noConversion"/>
  </si>
  <si>
    <t>盈科中心</t>
    <phoneticPr fontId="3" type="noConversion"/>
  </si>
  <si>
    <t>正常</t>
  </si>
  <si>
    <t>30-40（含）</t>
  </si>
  <si>
    <t>较好</t>
  </si>
  <si>
    <t>租金</t>
  </si>
  <si>
    <t>三里屯SOHO写字楼</t>
    <phoneticPr fontId="3" type="noConversion"/>
  </si>
  <si>
    <t>瑞辰国际中心</t>
    <phoneticPr fontId="3" type="noConversion"/>
  </si>
  <si>
    <t>市场租金</t>
    <phoneticPr fontId="143" type="noConversion"/>
  </si>
  <si>
    <t>增长率</t>
    <phoneticPr fontId="143" type="noConversion"/>
  </si>
  <si>
    <t>押一</t>
  </si>
  <si>
    <t>需扣减承租人权益</t>
  </si>
  <si>
    <t>工业用地</t>
  </si>
  <si>
    <t>估价对象容积率</t>
  </si>
  <si>
    <t>五通一平</t>
  </si>
  <si>
    <t>缺少</t>
  </si>
  <si>
    <t>燃气</t>
  </si>
  <si>
    <t>通热</t>
  </si>
  <si>
    <t>地价指数</t>
  </si>
  <si>
    <t>容积率修正</t>
  </si>
  <si>
    <t>估价对象位于三里屯，园区建设成熟度一般，产业集聚程度较差</t>
    <phoneticPr fontId="41" type="noConversion"/>
  </si>
  <si>
    <t>估价对象所在区域基础设施水平达“七通”。</t>
    <phoneticPr fontId="25" type="noConversion"/>
  </si>
  <si>
    <t>该园区内是否有污染型企业，绿化情况较好，卫生条件较好，整体环境状况较好。</t>
    <phoneticPr fontId="41" type="noConversion"/>
  </si>
  <si>
    <t>较差</t>
  </si>
  <si>
    <t>好</t>
  </si>
  <si>
    <t>宗地形状较规则，但对宗地利用影响较小</t>
    <phoneticPr fontId="79" type="noConversion"/>
  </si>
  <si>
    <t>未包含在土地购买价格中</t>
  </si>
  <si>
    <t>已包含在土地取得成本中</t>
  </si>
  <si>
    <t>全部缴纳</t>
  </si>
  <si>
    <t>成本法-办公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</si>
</sst>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rgb="FF00B050"/>
        <bgColor indexed="64"/>
      </patternFill>
    </fill>
    <fill>
      <patternFill patternType="solid">
        <fgColor rgb="FF00B0F0"/>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dotted">
        <color indexed="64"/>
      </right>
      <top/>
      <bottom style="dotted">
        <color indexed="64"/>
      </bottom>
      <diagonal/>
    </border>
    <border>
      <left/>
      <right/>
      <top/>
      <bottom style="dotted">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54" xfId="0" applyFont="1" applyFill="1" applyBorder="1" applyAlignment="1" applyProtection="1">
      <alignment vertical="center"/>
      <protection locked="0"/>
    </xf>
    <xf numFmtId="0" fontId="191" fillId="7" borderId="151" xfId="0" applyFont="1" applyFill="1" applyBorder="1" applyAlignment="1" applyProtection="1">
      <alignment vertical="center"/>
      <protection locked="0"/>
    </xf>
    <xf numFmtId="0" fontId="191" fillId="0" borderId="1" xfId="0" applyFont="1" applyBorder="1" applyAlignment="1" applyProtection="1">
      <alignment horizontal="left" vertical="center"/>
      <protection locked="0"/>
    </xf>
    <xf numFmtId="0" fontId="99" fillId="0" borderId="0" xfId="0" applyFont="1">
      <alignment vertical="center"/>
    </xf>
    <xf numFmtId="0" fontId="0" fillId="5" borderId="0" xfId="0" applyFill="1">
      <alignment vertical="center"/>
    </xf>
    <xf numFmtId="0" fontId="99" fillId="5" borderId="0" xfId="0" applyFont="1" applyFill="1">
      <alignment vertical="center"/>
    </xf>
    <xf numFmtId="0" fontId="99" fillId="0" borderId="0" xfId="0" applyFont="1" applyFill="1">
      <alignment vertical="center"/>
    </xf>
    <xf numFmtId="0" fontId="0" fillId="0" borderId="0" xfId="0" applyFill="1">
      <alignment vertical="center"/>
    </xf>
    <xf numFmtId="0" fontId="0" fillId="16" borderId="0" xfId="0" applyFill="1">
      <alignment vertical="center"/>
    </xf>
    <xf numFmtId="0" fontId="99" fillId="16" borderId="0" xfId="0" applyFont="1" applyFill="1">
      <alignment vertical="center"/>
    </xf>
    <xf numFmtId="0" fontId="101" fillId="0" borderId="0" xfId="0" applyFont="1">
      <alignment vertical="center"/>
    </xf>
    <xf numFmtId="0" fontId="0" fillId="9" borderId="0" xfId="0" applyFill="1">
      <alignment vertical="center"/>
    </xf>
    <xf numFmtId="0" fontId="99" fillId="9" borderId="0" xfId="0" applyFont="1" applyFill="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99" fillId="0" borderId="0" xfId="10" applyFill="1">
      <alignment vertical="center"/>
    </xf>
    <xf numFmtId="0" fontId="255" fillId="0" borderId="156" xfId="10" applyFont="1" applyFill="1" applyBorder="1" applyAlignment="1">
      <alignment horizontal="center" vertical="center"/>
    </xf>
    <xf numFmtId="0" fontId="255" fillId="0" borderId="156" xfId="10" applyFont="1" applyFill="1" applyBorder="1" applyAlignment="1">
      <alignment horizontal="right" vertical="center"/>
    </xf>
    <xf numFmtId="0" fontId="255" fillId="0" borderId="157" xfId="10" applyFont="1" applyFill="1" applyBorder="1" applyAlignment="1">
      <alignment horizontal="right" vertical="center"/>
    </xf>
    <xf numFmtId="0" fontId="255" fillId="0" borderId="31" xfId="10" applyFont="1" applyFill="1" applyBorder="1" applyAlignment="1">
      <alignment horizontal="center" vertical="center"/>
    </xf>
    <xf numFmtId="0" fontId="255" fillId="0" borderId="19" xfId="10" applyFont="1" applyFill="1" applyBorder="1" applyAlignment="1">
      <alignment horizontal="center" vertical="center"/>
    </xf>
    <xf numFmtId="0" fontId="255" fillId="0" borderId="43" xfId="10" applyFont="1" applyFill="1" applyBorder="1" applyAlignment="1">
      <alignment horizontal="center" vertical="center"/>
    </xf>
    <xf numFmtId="0" fontId="255" fillId="0" borderId="47" xfId="10" applyFont="1" applyFill="1" applyBorder="1" applyAlignment="1">
      <alignment horizontal="center" vertical="center"/>
    </xf>
    <xf numFmtId="0" fontId="255" fillId="0" borderId="27" xfId="10" applyFont="1" applyFill="1" applyBorder="1" applyAlignment="1">
      <alignment horizontal="center" vertical="center"/>
    </xf>
    <xf numFmtId="0" fontId="255" fillId="0" borderId="81" xfId="10" applyFont="1" applyFill="1" applyBorder="1" applyAlignment="1">
      <alignment horizontal="center" vertical="center"/>
    </xf>
    <xf numFmtId="0" fontId="255" fillId="0" borderId="81" xfId="10" applyFont="1" applyFill="1" applyBorder="1" applyAlignment="1">
      <alignment horizontal="center" vertical="center"/>
    </xf>
    <xf numFmtId="0" fontId="256" fillId="8" borderId="0" xfId="0" applyFont="1" applyFill="1">
      <alignment vertical="center"/>
    </xf>
    <xf numFmtId="0" fontId="0" fillId="8" borderId="0" xfId="0" applyFill="1">
      <alignment vertical="center"/>
    </xf>
    <xf numFmtId="0" fontId="99" fillId="8" borderId="0" xfId="0" applyFont="1" applyFill="1">
      <alignment vertical="center"/>
    </xf>
    <xf numFmtId="0" fontId="255" fillId="8" borderId="156" xfId="10" applyFont="1" applyFill="1" applyBorder="1" applyAlignment="1">
      <alignment horizontal="center" vertical="center"/>
    </xf>
    <xf numFmtId="0" fontId="255" fillId="8" borderId="156" xfId="10" applyFont="1" applyFill="1" applyBorder="1" applyAlignment="1">
      <alignment horizontal="left" vertical="center"/>
    </xf>
    <xf numFmtId="0" fontId="255" fillId="8" borderId="156" xfId="10" applyFont="1" applyFill="1" applyBorder="1" applyAlignment="1">
      <alignment horizontal="right" vertical="center"/>
    </xf>
    <xf numFmtId="192" fontId="255" fillId="8" borderId="156" xfId="10" applyNumberFormat="1" applyFont="1" applyFill="1" applyBorder="1" applyAlignment="1">
      <alignment horizontal="right" vertical="center"/>
    </xf>
    <xf numFmtId="0" fontId="255" fillId="9" borderId="156" xfId="10" applyFont="1" applyFill="1" applyBorder="1" applyAlignment="1">
      <alignment horizontal="center" vertical="center"/>
    </xf>
    <xf numFmtId="0" fontId="255" fillId="9" borderId="156" xfId="10" applyFont="1" applyFill="1" applyBorder="1" applyAlignment="1">
      <alignment horizontal="left" vertical="center"/>
    </xf>
    <xf numFmtId="0" fontId="255" fillId="9" borderId="156" xfId="10" applyFont="1" applyFill="1" applyBorder="1" applyAlignment="1">
      <alignment horizontal="right" vertical="center"/>
    </xf>
    <xf numFmtId="192" fontId="255" fillId="9" borderId="156" xfId="10" applyNumberFormat="1" applyFont="1" applyFill="1" applyBorder="1" applyAlignment="1">
      <alignment horizontal="right" vertical="center"/>
    </xf>
    <xf numFmtId="0" fontId="255" fillId="20" borderId="156" xfId="10" applyFont="1" applyFill="1" applyBorder="1" applyAlignment="1">
      <alignment horizontal="center" vertical="center"/>
    </xf>
    <xf numFmtId="0" fontId="255" fillId="20" borderId="156" xfId="10" applyFont="1" applyFill="1" applyBorder="1" applyAlignment="1">
      <alignment horizontal="left" vertical="center"/>
    </xf>
    <xf numFmtId="0" fontId="255" fillId="20" borderId="156" xfId="10" applyFont="1" applyFill="1" applyBorder="1" applyAlignment="1">
      <alignment horizontal="right" vertical="center"/>
    </xf>
    <xf numFmtId="192" fontId="255" fillId="20" borderId="156" xfId="10" applyNumberFormat="1" applyFont="1" applyFill="1" applyBorder="1" applyAlignment="1">
      <alignment horizontal="right" vertical="center"/>
    </xf>
    <xf numFmtId="0" fontId="255" fillId="21" borderId="156" xfId="10" applyFont="1" applyFill="1" applyBorder="1" applyAlignment="1">
      <alignment horizontal="center" vertical="center"/>
    </xf>
    <xf numFmtId="0" fontId="255" fillId="21" borderId="156" xfId="10" applyFont="1" applyFill="1" applyBorder="1" applyAlignment="1">
      <alignment horizontal="left" vertical="center"/>
    </xf>
    <xf numFmtId="0" fontId="255" fillId="21" borderId="156" xfId="10" applyFont="1" applyFill="1" applyBorder="1" applyAlignment="1">
      <alignment horizontal="right" vertical="center"/>
    </xf>
    <xf numFmtId="192" fontId="255" fillId="21" borderId="156" xfId="10" applyNumberFormat="1" applyFont="1" applyFill="1" applyBorder="1" applyAlignment="1">
      <alignment horizontal="right" vertical="center"/>
    </xf>
    <xf numFmtId="0" fontId="255" fillId="5" borderId="156" xfId="10" applyFont="1" applyFill="1" applyBorder="1" applyAlignment="1">
      <alignment horizontal="center" vertical="center"/>
    </xf>
    <xf numFmtId="0" fontId="255" fillId="5" borderId="156" xfId="10" applyFont="1" applyFill="1" applyBorder="1" applyAlignment="1">
      <alignment horizontal="left" vertical="center"/>
    </xf>
    <xf numFmtId="0" fontId="255" fillId="5" borderId="156" xfId="10" applyFont="1" applyFill="1" applyBorder="1" applyAlignment="1">
      <alignment horizontal="right" vertical="center"/>
    </xf>
    <xf numFmtId="192" fontId="255" fillId="5" borderId="156" xfId="10" applyNumberFormat="1" applyFont="1" applyFill="1" applyBorder="1" applyAlignment="1">
      <alignment horizontal="right" vertical="center"/>
    </xf>
    <xf numFmtId="0" fontId="255" fillId="16" borderId="156" xfId="10" applyFont="1" applyFill="1" applyBorder="1" applyAlignment="1">
      <alignment horizontal="center" vertical="center"/>
    </xf>
    <xf numFmtId="0" fontId="255" fillId="16" borderId="156" xfId="10" applyFont="1" applyFill="1" applyBorder="1" applyAlignment="1">
      <alignment horizontal="left" vertical="center"/>
    </xf>
    <xf numFmtId="0" fontId="255" fillId="16" borderId="156" xfId="10" applyFont="1" applyFill="1" applyBorder="1" applyAlignment="1">
      <alignment horizontal="right" vertical="center"/>
    </xf>
    <xf numFmtId="192" fontId="255" fillId="16" borderId="156" xfId="10" applyNumberFormat="1" applyFont="1" applyFill="1" applyBorder="1" applyAlignment="1">
      <alignment horizontal="right" vertical="center"/>
    </xf>
    <xf numFmtId="0" fontId="255" fillId="19" borderId="156" xfId="10" applyFont="1" applyFill="1" applyBorder="1" applyAlignment="1">
      <alignment horizontal="center" vertical="center"/>
    </xf>
    <xf numFmtId="0" fontId="255" fillId="19" borderId="156" xfId="10" applyFont="1" applyFill="1" applyBorder="1" applyAlignment="1">
      <alignment horizontal="left" vertical="center"/>
    </xf>
    <xf numFmtId="0" fontId="255" fillId="19" borderId="156" xfId="10" applyFont="1" applyFill="1" applyBorder="1" applyAlignment="1">
      <alignment horizontal="right" vertical="center"/>
    </xf>
    <xf numFmtId="192" fontId="255" fillId="19" borderId="156" xfId="10" applyNumberFormat="1" applyFont="1" applyFill="1" applyBorder="1" applyAlignment="1">
      <alignment horizontal="right" vertical="center"/>
    </xf>
    <xf numFmtId="0" fontId="255" fillId="18" borderId="156" xfId="10" applyFont="1" applyFill="1" applyBorder="1" applyAlignment="1">
      <alignment horizontal="center" vertical="center"/>
    </xf>
    <xf numFmtId="0" fontId="255" fillId="18" borderId="156" xfId="10" applyFont="1" applyFill="1" applyBorder="1" applyAlignment="1">
      <alignment horizontal="left" vertical="center"/>
    </xf>
    <xf numFmtId="0" fontId="255" fillId="18" borderId="156" xfId="10" applyFont="1" applyFill="1" applyBorder="1" applyAlignment="1">
      <alignment horizontal="right" vertical="center"/>
    </xf>
    <xf numFmtId="192" fontId="255" fillId="18" borderId="156" xfId="10" applyNumberFormat="1" applyFont="1" applyFill="1" applyBorder="1" applyAlignment="1">
      <alignment horizontal="right" vertical="center"/>
    </xf>
    <xf numFmtId="0" fontId="255" fillId="17" borderId="156" xfId="10" applyFont="1" applyFill="1" applyBorder="1" applyAlignment="1">
      <alignment horizontal="center" vertical="center"/>
    </xf>
    <xf numFmtId="0" fontId="255" fillId="17" borderId="156" xfId="10" applyFont="1" applyFill="1" applyBorder="1" applyAlignment="1">
      <alignment horizontal="left" vertical="center"/>
    </xf>
    <xf numFmtId="0" fontId="255" fillId="17" borderId="156" xfId="10" applyFont="1" applyFill="1" applyBorder="1" applyAlignment="1">
      <alignment horizontal="right" vertical="center"/>
    </xf>
    <xf numFmtId="192" fontId="255" fillId="17" borderId="156" xfId="10" applyNumberFormat="1" applyFont="1" applyFill="1" applyBorder="1" applyAlignment="1">
      <alignment horizontal="right" vertical="center"/>
    </xf>
    <xf numFmtId="0" fontId="255" fillId="22" borderId="156" xfId="10" applyFont="1" applyFill="1" applyBorder="1" applyAlignment="1">
      <alignment horizontal="center" vertical="center"/>
    </xf>
    <xf numFmtId="0" fontId="255" fillId="22" borderId="156" xfId="10" applyFont="1" applyFill="1" applyBorder="1" applyAlignment="1">
      <alignment horizontal="left" vertical="center"/>
    </xf>
    <xf numFmtId="0" fontId="255" fillId="22" borderId="156" xfId="10" applyFont="1" applyFill="1" applyBorder="1" applyAlignment="1">
      <alignment horizontal="right" vertical="center"/>
    </xf>
    <xf numFmtId="192" fontId="255" fillId="22" borderId="156" xfId="10" applyNumberFormat="1" applyFont="1" applyFill="1" applyBorder="1" applyAlignment="1">
      <alignment horizontal="right" vertical="center"/>
    </xf>
    <xf numFmtId="0" fontId="99" fillId="22" borderId="0" xfId="10" applyFill="1">
      <alignment vertical="center"/>
    </xf>
    <xf numFmtId="0" fontId="0" fillId="22" borderId="0" xfId="0" applyFill="1">
      <alignment vertical="center"/>
    </xf>
    <xf numFmtId="0" fontId="99" fillId="22" borderId="0" xfId="0" applyFont="1" applyFill="1">
      <alignment vertical="center"/>
    </xf>
    <xf numFmtId="0" fontId="99" fillId="0" borderId="1" xfId="0" applyFont="1" applyFill="1" applyBorder="1">
      <alignment vertical="center"/>
    </xf>
    <xf numFmtId="0" fontId="0" fillId="0" borderId="1" xfId="0" applyFill="1" applyBorder="1">
      <alignment vertical="center"/>
    </xf>
    <xf numFmtId="0" fontId="256" fillId="0" borderId="1" xfId="0" applyFont="1" applyFill="1" applyBorder="1">
      <alignment vertical="center"/>
    </xf>
    <xf numFmtId="0" fontId="101" fillId="0" borderId="1" xfId="0" applyFont="1" applyFill="1" applyBorder="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55" fillId="0" borderId="156" xfId="10" applyFont="1" applyFill="1" applyBorder="1" applyAlignment="1">
      <alignment horizontal="left" vertical="center"/>
    </xf>
    <xf numFmtId="192" fontId="255" fillId="0" borderId="156" xfId="10" applyNumberFormat="1" applyFont="1" applyFill="1" applyBorder="1" applyAlignment="1">
      <alignment horizontal="right" vertical="center"/>
    </xf>
    <xf numFmtId="0" fontId="255" fillId="5" borderId="157" xfId="10" applyFont="1" applyFill="1" applyBorder="1" applyAlignment="1">
      <alignment horizontal="right" vertical="center"/>
    </xf>
    <xf numFmtId="14" fontId="0" fillId="0" borderId="0" xfId="0" applyNumberFormat="1">
      <alignment vertical="center"/>
    </xf>
    <xf numFmtId="0" fontId="255" fillId="9" borderId="157" xfId="10" applyFont="1" applyFill="1" applyBorder="1" applyAlignment="1">
      <alignment horizontal="right" vertical="center"/>
    </xf>
    <xf numFmtId="31" fontId="0" fillId="0" borderId="0" xfId="0" applyNumberFormat="1">
      <alignment vertical="center"/>
    </xf>
    <xf numFmtId="0" fontId="99" fillId="0" borderId="0" xfId="0" applyFont="1" applyFill="1" applyBorder="1">
      <alignment vertical="center"/>
    </xf>
    <xf numFmtId="177" fontId="137" fillId="0" borderId="1" xfId="1" applyNumberFormat="1" applyFont="1" applyFill="1" applyBorder="1" applyAlignment="1" applyProtection="1">
      <alignment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54" fillId="5" borderId="78"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9" fontId="0" fillId="0" borderId="0" xfId="0" applyNumberFormat="1">
      <alignment vertical="center"/>
    </xf>
    <xf numFmtId="0" fontId="226" fillId="0" borderId="8" xfId="0" applyNumberFormat="1" applyFont="1" applyFill="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179" fontId="225"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27" xfId="10" applyFont="1" applyFill="1" applyBorder="1" applyAlignment="1">
      <alignment horizontal="center" vertical="center"/>
    </xf>
    <xf numFmtId="0" fontId="255" fillId="0" borderId="81" xfId="10" applyFont="1" applyFill="1" applyBorder="1" applyAlignment="1">
      <alignment horizontal="center" vertical="center"/>
    </xf>
    <xf numFmtId="179" fontId="50" fillId="9" borderId="1" xfId="0" applyNumberFormat="1" applyFont="1" applyFill="1" applyBorder="1" applyAlignment="1" applyProtection="1">
      <alignment horizontal="center" vertical="center" wrapText="1"/>
      <protection locked="0"/>
    </xf>
    <xf numFmtId="177" fontId="50" fillId="9" borderId="1" xfId="1" applyNumberFormat="1" applyFont="1" applyFill="1" applyBorder="1" applyAlignment="1" applyProtection="1">
      <alignment horizontal="center" vertical="center"/>
      <protection locked="0"/>
    </xf>
    <xf numFmtId="10" fontId="50" fillId="9" borderId="1" xfId="1" applyNumberFormat="1" applyFont="1" applyFill="1" applyBorder="1" applyAlignment="1" applyProtection="1">
      <alignment horizontal="center" vertical="center"/>
      <protection locked="0"/>
    </xf>
    <xf numFmtId="176" fontId="47" fillId="9" borderId="24" xfId="1" applyNumberFormat="1" applyFont="1" applyFill="1" applyBorder="1" applyAlignment="1" applyProtection="1">
      <alignment horizontal="center" vertical="center"/>
      <protection locked="0"/>
    </xf>
    <xf numFmtId="181" fontId="55" fillId="9" borderId="61" xfId="0" applyNumberFormat="1" applyFont="1" applyFill="1" applyBorder="1" applyAlignment="1" applyProtection="1">
      <alignment horizontal="center" vertical="center"/>
      <protection locked="0"/>
    </xf>
    <xf numFmtId="0" fontId="47" fillId="9" borderId="28" xfId="0" applyFont="1" applyFill="1" applyBorder="1" applyAlignment="1" applyProtection="1">
      <alignment horizontal="center" vertical="center" wrapText="1"/>
    </xf>
    <xf numFmtId="0" fontId="47" fillId="9" borderId="62" xfId="0" applyFont="1" applyFill="1" applyBorder="1" applyAlignment="1" applyProtection="1">
      <alignment horizontal="center" vertical="center" wrapText="1"/>
    </xf>
    <xf numFmtId="0" fontId="47" fillId="9" borderId="13" xfId="0" applyFont="1" applyFill="1" applyBorder="1" applyAlignment="1" applyProtection="1">
      <alignment horizontal="center" vertical="center"/>
      <protection locked="0"/>
    </xf>
    <xf numFmtId="0" fontId="47" fillId="9" borderId="1"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北京市朝阳区酒仙桥北路7号北侧房地产市场价值预评估</v>
      </c>
    </row>
    <row r="3" spans="1:2" s="1597" customFormat="1">
      <c r="A3" s="1595" t="s">
        <v>1222</v>
      </c>
      <c r="B3" s="1596" t="str">
        <f>'预评函-封皮'!B40</f>
        <v>北京京城机电控股有限责任公司</v>
      </c>
    </row>
    <row r="4" spans="1:2" s="1597" customFormat="1">
      <c r="A4" s="1595" t="s">
        <v>1223</v>
      </c>
      <c r="B4" s="1596" t="str">
        <f ca="1">'预评函-封皮'!B46</f>
        <v>吴薇（注册号：1419970001)、梁津（注册号：1119970066)</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受贵公司委托，我公司对北京市朝阳区酒仙桥北路7号北侧房地产市场价值进行了预评估。</v>
      </c>
    </row>
    <row r="7" spans="1:2" s="1597" customFormat="1">
      <c r="A7" s="1595" t="s">
        <v>1265</v>
      </c>
      <c r="B7" s="1596" t="str">
        <f>'预评函-1'!A7</f>
        <v>估价对象为北京市朝阳区酒仙桥北路7号北侧房地产，为北京机电院高技术股份有限公司所有。根据《国有土地使用证》[]，估价对象（分摊）出让国有建设用地使用权面积为38167.26平方米。根据《房屋所有权证》[]、《测绘报告》[]，估价对象建筑面积为25430.71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酒仙桥北路7号北侧房地产,属北京机电院高技术股份有限公司开发建设的办公项目，该项目尚在开发建设中。根据《国有土地使用证》[]，估价对象（分摊）出让国有建设用地使用权面积为38167.26平方米。根据《房屋所有权证》[]、《测绘报告》[]，估价对象规划建筑面积为25430.71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为估价委托人了解估价对象房地产市场价值提供参考依据。</v>
      </c>
    </row>
    <row r="12" spans="1:2" s="1597" customFormat="1">
      <c r="A12" s="1595" t="s">
        <v>1227</v>
      </c>
      <c r="B12" s="1596" t="str">
        <f>'预评函-1'!A15</f>
        <v>2017年11月8日（评估专业人员实地查勘之日）</v>
      </c>
    </row>
    <row r="13" spans="1:2" s="1597" customFormat="1">
      <c r="A13" s="1595" t="s">
        <v>1228</v>
      </c>
      <c r="B13" s="1596" t="str">
        <f>'预评函-1'!A18</f>
        <v>本次估价的“房地产价值”是指在正常市场情况下，在价值时点2017年11月8日，估价对象规划用途为工业，土地取得方式为出让，出让国有建设用地使用权剩余土地使用年限为工业35.11年，假定未设立法定优先受偿款下的房地产市场价值。</v>
      </c>
    </row>
    <row r="14" spans="1:2" s="1597" customFormat="1">
      <c r="A14" s="1595" t="s">
        <v>1229</v>
      </c>
      <c r="B14" s="1596" t="str">
        <f>'预评函-1'!A19</f>
        <v>其中，“出让国有建设用地使用权价值”是指估价对象用途为工业，实际开发程度为宗地红线外“七通”（即通路、通电、通讯、通上水、通下水、、）、红线内场地平整条件下，剩余土地使用年限为工业35.11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v>
      </c>
    </row>
    <row r="16" spans="1:2" s="1597" customFormat="1">
      <c r="A16" s="1595" t="s">
        <v>1231</v>
      </c>
      <c r="B16" s="1596" t="str">
        <f>'预评函-1'!A21</f>
        <v>——</v>
      </c>
    </row>
    <row r="17" spans="1:2" s="1597" customFormat="1">
      <c r="A17" s="1595" t="s">
        <v>1232</v>
      </c>
      <c r="B17" s="1596" t="str">
        <f>'预评函-1'!A22</f>
        <v>——</v>
      </c>
    </row>
    <row r="18" spans="1:2" s="1591" customFormat="1" ht="15" thickBot="1">
      <c r="A18" s="1598" t="s">
        <v>1233</v>
      </c>
      <c r="B18" s="1599" t="str">
        <f>'预评函-1'!A24</f>
        <v>本次评估采用的主估价方法为比较法和收益法。</v>
      </c>
    </row>
    <row r="19" spans="1:2" s="1594" customFormat="1" ht="15" thickTop="1">
      <c r="A19" s="1592" t="s">
        <v>1234</v>
      </c>
      <c r="B19" s="15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7" customFormat="1">
      <c r="A20" s="1595" t="s">
        <v>1235</v>
      </c>
      <c r="B20" s="1596" t="e">
        <f ca="1">'预评函-2'!D5</f>
        <v>#N/A</v>
      </c>
    </row>
    <row r="21" spans="1:2" s="1597" customFormat="1">
      <c r="A21" s="1595" t="s">
        <v>1236</v>
      </c>
      <c r="B21" s="1596" t="e">
        <f ca="1">'预评函-2'!D7</f>
        <v>#N/A</v>
      </c>
    </row>
    <row r="22" spans="1:2" s="1597" customFormat="1">
      <c r="A22" s="1595" t="s">
        <v>1237</v>
      </c>
      <c r="B22" s="1596" t="e">
        <f ca="1">'预评函-2'!D6</f>
        <v>#N/A</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t="e">
        <f ca="1">'预评函-2'!D13</f>
        <v>#N/A</v>
      </c>
    </row>
    <row r="31" spans="1:2" s="1597" customFormat="1">
      <c r="A31" s="1595" t="s">
        <v>1275</v>
      </c>
      <c r="B31" s="1596" t="e">
        <f ca="1">'预评函-2'!D15</f>
        <v>#N/A</v>
      </c>
    </row>
    <row r="32" spans="1:2" s="1597" customFormat="1">
      <c r="A32" s="1595" t="s">
        <v>1242</v>
      </c>
      <c r="B32" s="1596" t="e">
        <f ca="1">'预评函-2'!D14</f>
        <v>#N/A</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北京市朝阳区酒仙桥北路7号北侧房地产</v>
      </c>
    </row>
    <row r="42" spans="1:2" s="1597" customFormat="1">
      <c r="A42" s="1595" t="s">
        <v>1289</v>
      </c>
      <c r="B42" s="1596" t="str">
        <f>'预评函-3'!B2</f>
        <v>建筑面积</v>
      </c>
    </row>
    <row r="43" spans="1:2" s="1597" customFormat="1">
      <c r="A43" s="1595" t="s">
        <v>1290</v>
      </c>
      <c r="B43" s="1596">
        <f>'预评函-3'!B4</f>
        <v>25430.71</v>
      </c>
    </row>
    <row r="44" spans="1:2" s="1597" customFormat="1">
      <c r="A44" s="1595" t="s">
        <v>1274</v>
      </c>
      <c r="B44" s="1596" t="str">
        <f>'预评函-3'!C2</f>
        <v>(分摊)土地面积</v>
      </c>
    </row>
    <row r="45" spans="1:2" s="1597" customFormat="1">
      <c r="A45" s="1595" t="s">
        <v>1246</v>
      </c>
      <c r="B45" s="1596">
        <f>'预评函-3'!C4</f>
        <v>38167.26</v>
      </c>
    </row>
    <row r="46" spans="1:2" s="1597" customFormat="1">
      <c r="A46" s="1595" t="s">
        <v>1272</v>
      </c>
      <c r="B46" s="1596" t="str">
        <f>'预评函-3'!D2</f>
        <v>出让国有建设用地使用权价值</v>
      </c>
    </row>
    <row r="47" spans="1:2" s="1597" customFormat="1">
      <c r="A47" s="1595" t="s">
        <v>1247</v>
      </c>
      <c r="B47" s="1596" t="e">
        <f ca="1">'预评函-3'!D4</f>
        <v>#N/A</v>
      </c>
    </row>
    <row r="48" spans="1:2" s="1597" customFormat="1">
      <c r="A48" s="1595" t="s">
        <v>1248</v>
      </c>
      <c r="B48" s="1596" t="e">
        <f ca="1">'预评函-3'!E4</f>
        <v>#N/A</v>
      </c>
    </row>
    <row r="49" spans="1:2" s="1597" customFormat="1">
      <c r="A49" s="1595" t="s">
        <v>1249</v>
      </c>
      <c r="B49" s="1596" t="e">
        <f ca="1">'预评函-3'!D5</f>
        <v>#N/A</v>
      </c>
    </row>
    <row r="50" spans="1:2" s="1597" customFormat="1">
      <c r="A50" s="1595" t="s">
        <v>1273</v>
      </c>
      <c r="B50" s="1596" t="str">
        <f>'预评函-3'!F2</f>
        <v>在建建筑物价值</v>
      </c>
    </row>
    <row r="51" spans="1:2" s="1597" customFormat="1">
      <c r="A51" s="1595" t="s">
        <v>1250</v>
      </c>
      <c r="B51" s="1596" t="e">
        <f ca="1">'预评函-3'!F4</f>
        <v>#N/A</v>
      </c>
    </row>
    <row r="52" spans="1:2" s="1597" customFormat="1">
      <c r="A52" s="1595" t="s">
        <v>1251</v>
      </c>
      <c r="B52" s="1596" t="e">
        <f ca="1">'预评函-3'!G4</f>
        <v>#N/A</v>
      </c>
    </row>
    <row r="53" spans="1:2" s="1597" customFormat="1">
      <c r="A53" s="1595" t="s">
        <v>1279</v>
      </c>
      <c r="B53" s="1596" t="e">
        <f ca="1">'预评函-3'!F5</f>
        <v>#N/A</v>
      </c>
    </row>
    <row r="54" spans="1:2" s="1597" customFormat="1">
      <c r="A54" s="1595" t="s">
        <v>1297</v>
      </c>
      <c r="B54" s="1596" t="str">
        <f>'预评函-3'!A8</f>
        <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
      </c>
    </row>
    <row r="58" spans="1:2" s="1594" customFormat="1" ht="15" thickTop="1">
      <c r="A58" s="1592" t="s">
        <v>1252</v>
      </c>
      <c r="B58" s="1593" t="str">
        <f>'预评函-4'!A12</f>
        <v>2.本次评估设定估价对象房地产权属无争议，未被查封或者以其他形式限制其房地产权利，未设定抵押权等他项权利，不涉及第三方权利义务。</v>
      </c>
    </row>
    <row r="59" spans="1:2" s="1597" customFormat="1">
      <c r="A59" s="1595" t="s">
        <v>1253</v>
      </c>
      <c r="B59" s="1596" t="str">
        <f>'预评函-4'!A13</f>
        <v>——</v>
      </c>
    </row>
    <row r="60" spans="1:2" s="1597" customFormat="1">
      <c r="A60" s="1595" t="s">
        <v>1254</v>
      </c>
      <c r="B60" s="1596" t="str">
        <f>'预评函-4'!A14</f>
        <v>——</v>
      </c>
    </row>
    <row r="61" spans="1:2" s="1597" customFormat="1">
      <c r="A61" s="1595" t="s">
        <v>1255</v>
      </c>
      <c r="B61" s="1596" t="str">
        <f>'预评函-4'!A15</f>
        <v>——</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v>
      </c>
    </row>
    <row r="65" spans="1:2" s="1597" customFormat="1">
      <c r="A65" s="1595" t="s">
        <v>1258</v>
      </c>
      <c r="B65" s="159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吴薇</v>
      </c>
    </row>
    <row r="71" spans="1:2">
      <c r="A71" s="1595" t="s">
        <v>1262</v>
      </c>
      <c r="B71" s="1596">
        <f ca="1">'预评函-4'!B4</f>
        <v>1419970001</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B23" sqref="B23"/>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1692</v>
      </c>
      <c r="C1" s="2013" t="s">
        <v>759</v>
      </c>
      <c r="D1" s="2014" t="s">
        <v>1693</v>
      </c>
      <c r="E1" s="2014" t="s">
        <v>1694</v>
      </c>
      <c r="F1" s="2014" t="s">
        <v>1695</v>
      </c>
      <c r="G1" s="2014" t="s">
        <v>1696</v>
      </c>
      <c r="H1" s="2014" t="s">
        <v>1697</v>
      </c>
      <c r="I1" s="2014" t="s">
        <v>1698</v>
      </c>
      <c r="J1" s="2014" t="s">
        <v>1699</v>
      </c>
      <c r="K1" s="2014" t="s">
        <v>1700</v>
      </c>
      <c r="L1" s="2014" t="s">
        <v>1701</v>
      </c>
      <c r="M1" s="2014" t="s">
        <v>1702</v>
      </c>
      <c r="N1" s="2014" t="s">
        <v>1703</v>
      </c>
      <c r="O1" s="2014" t="s">
        <v>1704</v>
      </c>
      <c r="P1" s="2015" t="s">
        <v>753</v>
      </c>
      <c r="Q1" s="2015" t="s">
        <v>1144</v>
      </c>
      <c r="R1" s="2014" t="s">
        <v>1138</v>
      </c>
      <c r="S1" s="2014" t="s">
        <v>1705</v>
      </c>
      <c r="T1" s="2016" t="s">
        <v>1706</v>
      </c>
      <c r="U1" s="2014" t="s">
        <v>1707</v>
      </c>
      <c r="V1" s="2014" t="s">
        <v>1708</v>
      </c>
      <c r="W1" s="2014" t="s">
        <v>755</v>
      </c>
    </row>
    <row r="2" spans="1:23">
      <c r="A2" s="2018" t="s">
        <v>22</v>
      </c>
      <c r="B2" s="2018" t="s">
        <v>1709</v>
      </c>
      <c r="C2" s="2019" t="s">
        <v>760</v>
      </c>
      <c r="D2" s="2020" t="s">
        <v>1710</v>
      </c>
      <c r="E2" s="2020" t="s">
        <v>1711</v>
      </c>
      <c r="F2" s="2020" t="s">
        <v>1712</v>
      </c>
      <c r="G2" s="2020">
        <v>40</v>
      </c>
      <c r="H2" s="2020" t="s">
        <v>1712</v>
      </c>
      <c r="I2" s="2020" t="s">
        <v>1713</v>
      </c>
      <c r="J2" s="2020" t="s">
        <v>1714</v>
      </c>
      <c r="K2" s="2020" t="s">
        <v>1715</v>
      </c>
      <c r="L2" s="2020" t="s">
        <v>1715</v>
      </c>
      <c r="M2" s="2020" t="s">
        <v>1715</v>
      </c>
      <c r="N2" s="2020" t="s">
        <v>1715</v>
      </c>
      <c r="O2" s="2020" t="s">
        <v>1715</v>
      </c>
      <c r="P2" s="2020" t="s">
        <v>1715</v>
      </c>
      <c r="Q2" s="2020" t="s">
        <v>1715</v>
      </c>
      <c r="R2" s="2020" t="s">
        <v>1140</v>
      </c>
      <c r="S2" s="2020" t="s">
        <v>1715</v>
      </c>
      <c r="T2" s="2020" t="s">
        <v>1716</v>
      </c>
      <c r="U2" s="2020" t="s">
        <v>1715</v>
      </c>
      <c r="V2" s="2020" t="s">
        <v>1717</v>
      </c>
      <c r="W2" s="2020" t="s">
        <v>1715</v>
      </c>
    </row>
    <row r="3" spans="1:23">
      <c r="A3" s="2018" t="s">
        <v>1718</v>
      </c>
      <c r="B3" s="2021" t="s">
        <v>1145</v>
      </c>
      <c r="C3" s="2022" t="s">
        <v>761</v>
      </c>
      <c r="D3" s="2020" t="s">
        <v>1719</v>
      </c>
      <c r="E3" s="2020" t="s">
        <v>16</v>
      </c>
      <c r="F3" s="2020" t="s">
        <v>1720</v>
      </c>
      <c r="G3" s="2020">
        <v>50</v>
      </c>
      <c r="H3" s="2020" t="s">
        <v>1720</v>
      </c>
      <c r="I3" s="2020" t="s">
        <v>1721</v>
      </c>
      <c r="J3" s="2020" t="s">
        <v>1722</v>
      </c>
      <c r="K3" s="2020" t="s">
        <v>1723</v>
      </c>
      <c r="L3" s="2020" t="s">
        <v>1723</v>
      </c>
      <c r="M3" s="2020" t="s">
        <v>1723</v>
      </c>
      <c r="N3" s="2020" t="s">
        <v>1723</v>
      </c>
      <c r="O3" s="2020" t="s">
        <v>1723</v>
      </c>
      <c r="P3" s="2020" t="s">
        <v>1723</v>
      </c>
      <c r="Q3" s="2020" t="s">
        <v>1723</v>
      </c>
      <c r="R3" s="2020" t="s">
        <v>1139</v>
      </c>
      <c r="S3" s="2020" t="s">
        <v>1723</v>
      </c>
      <c r="T3" s="2020" t="s">
        <v>1724</v>
      </c>
      <c r="U3" s="2020" t="s">
        <v>1723</v>
      </c>
      <c r="V3" s="2020" t="s">
        <v>1725</v>
      </c>
      <c r="W3" s="2020" t="s">
        <v>1723</v>
      </c>
    </row>
    <row r="4" spans="1:23">
      <c r="A4" s="2018" t="s">
        <v>1726</v>
      </c>
      <c r="B4" s="2018" t="s">
        <v>1727</v>
      </c>
      <c r="C4" s="2019" t="s">
        <v>762</v>
      </c>
      <c r="D4" s="2020" t="s">
        <v>868</v>
      </c>
      <c r="E4" s="2020" t="s">
        <v>1728</v>
      </c>
      <c r="F4" s="2020" t="s">
        <v>1729</v>
      </c>
      <c r="G4" s="2020">
        <v>70</v>
      </c>
      <c r="H4" s="2020" t="s">
        <v>1729</v>
      </c>
      <c r="I4" s="2020" t="s">
        <v>1730</v>
      </c>
      <c r="K4" s="2020" t="s">
        <v>1731</v>
      </c>
      <c r="L4" s="2020" t="s">
        <v>1731</v>
      </c>
      <c r="M4" s="2020" t="s">
        <v>1731</v>
      </c>
      <c r="N4" s="2020" t="s">
        <v>1731</v>
      </c>
      <c r="O4" s="2020" t="s">
        <v>1731</v>
      </c>
      <c r="P4" s="2020" t="s">
        <v>1731</v>
      </c>
      <c r="Q4" s="2020" t="s">
        <v>1731</v>
      </c>
      <c r="R4" s="2020" t="s">
        <v>1141</v>
      </c>
      <c r="S4" s="2020" t="s">
        <v>1731</v>
      </c>
      <c r="T4" s="2020" t="s">
        <v>1732</v>
      </c>
      <c r="U4" s="2020" t="s">
        <v>1731</v>
      </c>
      <c r="W4" s="2020" t="s">
        <v>1731</v>
      </c>
    </row>
    <row r="5" spans="1:23">
      <c r="A5" s="2018" t="s">
        <v>1733</v>
      </c>
      <c r="B5" s="2018" t="s">
        <v>1734</v>
      </c>
      <c r="C5" s="2019" t="s">
        <v>763</v>
      </c>
      <c r="F5" s="2020" t="s">
        <v>1735</v>
      </c>
      <c r="H5" s="2020" t="s">
        <v>1736</v>
      </c>
      <c r="I5" s="2020" t="s">
        <v>1737</v>
      </c>
      <c r="K5" s="2020" t="s">
        <v>1738</v>
      </c>
      <c r="L5" s="2020" t="s">
        <v>1738</v>
      </c>
      <c r="M5" s="2020" t="s">
        <v>1738</v>
      </c>
      <c r="N5" s="2020" t="s">
        <v>1738</v>
      </c>
      <c r="O5" s="2020" t="s">
        <v>1738</v>
      </c>
      <c r="P5" s="2020" t="s">
        <v>1738</v>
      </c>
      <c r="Q5" s="2020" t="s">
        <v>1738</v>
      </c>
      <c r="R5" s="2020" t="s">
        <v>1142</v>
      </c>
      <c r="S5" s="2020" t="s">
        <v>1738</v>
      </c>
      <c r="T5" s="2020" t="s">
        <v>1739</v>
      </c>
      <c r="U5" s="2020" t="s">
        <v>1738</v>
      </c>
      <c r="W5" s="2020" t="s">
        <v>1738</v>
      </c>
    </row>
    <row r="6" spans="1:23">
      <c r="A6" s="2018" t="s">
        <v>1740</v>
      </c>
      <c r="B6" s="2021" t="s">
        <v>1146</v>
      </c>
      <c r="C6" s="2024" t="s">
        <v>30</v>
      </c>
      <c r="F6" s="2020" t="s">
        <v>1736</v>
      </c>
      <c r="H6" s="2020" t="s">
        <v>1741</v>
      </c>
      <c r="I6" s="2020" t="s">
        <v>1742</v>
      </c>
      <c r="K6" s="2020" t="s">
        <v>1743</v>
      </c>
      <c r="L6" s="2020" t="s">
        <v>1743</v>
      </c>
      <c r="M6" s="2020" t="s">
        <v>1743</v>
      </c>
      <c r="N6" s="2020" t="s">
        <v>1743</v>
      </c>
      <c r="O6" s="2020" t="s">
        <v>1743</v>
      </c>
      <c r="P6" s="2020" t="s">
        <v>1743</v>
      </c>
      <c r="Q6" s="2020" t="s">
        <v>1743</v>
      </c>
      <c r="R6" s="2020" t="s">
        <v>1143</v>
      </c>
      <c r="S6" s="2020" t="s">
        <v>1743</v>
      </c>
      <c r="T6" s="2020"/>
      <c r="U6" s="2020" t="s">
        <v>1743</v>
      </c>
      <c r="W6" s="2020" t="s">
        <v>1743</v>
      </c>
    </row>
    <row r="7" spans="1:23">
      <c r="A7" s="2018" t="s">
        <v>1744</v>
      </c>
      <c r="B7" s="2021" t="s">
        <v>1147</v>
      </c>
      <c r="C7" s="2019" t="s">
        <v>31</v>
      </c>
      <c r="F7" s="2020" t="s">
        <v>1745</v>
      </c>
      <c r="H7" s="2020" t="s">
        <v>1746</v>
      </c>
      <c r="I7" s="2020" t="s">
        <v>1747</v>
      </c>
    </row>
    <row r="8" spans="1:23">
      <c r="A8" s="2018" t="s">
        <v>1748</v>
      </c>
      <c r="B8" s="2018" t="s">
        <v>1749</v>
      </c>
      <c r="C8" s="2019" t="s">
        <v>764</v>
      </c>
      <c r="F8" s="2020" t="s">
        <v>1750</v>
      </c>
      <c r="H8" s="2020"/>
      <c r="I8" s="2020" t="s">
        <v>1751</v>
      </c>
    </row>
    <row r="9" spans="1:23">
      <c r="A9" s="2018" t="s">
        <v>1752</v>
      </c>
      <c r="B9" s="2018" t="s">
        <v>1753</v>
      </c>
      <c r="C9" s="2019" t="s">
        <v>765</v>
      </c>
      <c r="F9" s="2020" t="s">
        <v>1754</v>
      </c>
      <c r="H9" s="2020"/>
    </row>
    <row r="10" spans="1:23">
      <c r="A10" s="2018" t="s">
        <v>1755</v>
      </c>
      <c r="B10" s="2018" t="s">
        <v>1756</v>
      </c>
      <c r="C10" s="2019" t="s">
        <v>766</v>
      </c>
      <c r="F10" s="2020" t="s">
        <v>16</v>
      </c>
    </row>
    <row r="11" spans="1:23">
      <c r="A11" s="2018" t="s">
        <v>1757</v>
      </c>
      <c r="B11" s="2018" t="s">
        <v>1758</v>
      </c>
      <c r="C11" s="2019" t="s">
        <v>767</v>
      </c>
    </row>
    <row r="12" spans="1:23">
      <c r="A12" s="2018" t="s">
        <v>1759</v>
      </c>
      <c r="B12" s="2018" t="s">
        <v>1760</v>
      </c>
      <c r="C12" s="2019" t="s">
        <v>768</v>
      </c>
    </row>
    <row r="13" spans="1:23">
      <c r="A13" s="2018" t="s">
        <v>1761</v>
      </c>
      <c r="B13" s="2018" t="s">
        <v>1762</v>
      </c>
      <c r="C13" s="2019" t="s">
        <v>769</v>
      </c>
    </row>
    <row r="14" spans="1:23">
      <c r="A14" s="2018" t="s">
        <v>1763</v>
      </c>
      <c r="B14" s="2018" t="s">
        <v>1764</v>
      </c>
      <c r="C14" s="2020" t="s">
        <v>16</v>
      </c>
    </row>
    <row r="15" spans="1:23">
      <c r="A15" s="2018" t="s">
        <v>1765</v>
      </c>
      <c r="B15" s="2018" t="s">
        <v>1766</v>
      </c>
      <c r="C15" s="2019"/>
    </row>
    <row r="16" spans="1:23">
      <c r="A16" s="2018" t="s">
        <v>1767</v>
      </c>
      <c r="B16" s="2018" t="s">
        <v>756</v>
      </c>
      <c r="C16" s="2019"/>
    </row>
    <row r="17" spans="1:3">
      <c r="A17" s="2018" t="s">
        <v>1768</v>
      </c>
      <c r="B17" s="2018" t="s">
        <v>3265</v>
      </c>
      <c r="C17" s="2019"/>
    </row>
    <row r="18" spans="1:3">
      <c r="A18" s="2018" t="s">
        <v>1769</v>
      </c>
      <c r="B18" s="2018" t="s">
        <v>3267</v>
      </c>
      <c r="C18" s="2019"/>
    </row>
    <row r="19" spans="1:3">
      <c r="A19" s="2018" t="s">
        <v>1770</v>
      </c>
      <c r="B19" s="2018" t="s">
        <v>3268</v>
      </c>
      <c r="C19" s="2019"/>
    </row>
    <row r="20" spans="1:3">
      <c r="A20" s="2018" t="s">
        <v>1771</v>
      </c>
      <c r="B20" s="2018" t="s">
        <v>3270</v>
      </c>
      <c r="C20" s="2019"/>
    </row>
    <row r="21" spans="1:3">
      <c r="A21" s="2018" t="s">
        <v>1772</v>
      </c>
      <c r="B21" s="2018" t="s">
        <v>3272</v>
      </c>
      <c r="C21" s="2019"/>
    </row>
    <row r="22" spans="1:3">
      <c r="A22" s="2018" t="s">
        <v>1773</v>
      </c>
      <c r="B22" s="2018" t="s">
        <v>3274</v>
      </c>
      <c r="C22" s="2019"/>
    </row>
    <row r="23" spans="1:3">
      <c r="A23" s="2018" t="s">
        <v>1774</v>
      </c>
      <c r="B23" s="2018" t="s">
        <v>3276</v>
      </c>
      <c r="C23" s="2019"/>
    </row>
    <row r="24" spans="1:3">
      <c r="A24" s="2018" t="s">
        <v>1775</v>
      </c>
      <c r="B24" s="2018" t="s">
        <v>757</v>
      </c>
      <c r="C24" s="2019"/>
    </row>
    <row r="25" spans="1:3">
      <c r="A25" s="2018" t="s">
        <v>1776</v>
      </c>
      <c r="B25" s="2018" t="s">
        <v>757</v>
      </c>
      <c r="C25" s="2019"/>
    </row>
    <row r="26" spans="1:3">
      <c r="A26" s="2018" t="s">
        <v>1777</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酒仙桥北路7号北侧房地产作为抵押担保物，向办理贷款手续。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3095"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95"/>
      <c r="B54" s="2026" t="s">
        <v>864</v>
      </c>
      <c r="C54" s="2023" t="s">
        <v>1282</v>
      </c>
    </row>
    <row r="55" spans="1:4">
      <c r="A55" s="3095"/>
      <c r="B55" s="2026" t="s">
        <v>865</v>
      </c>
      <c r="C55" s="2023" t="s">
        <v>1283</v>
      </c>
    </row>
    <row r="56" spans="1:4">
      <c r="A56" s="3095"/>
      <c r="B56" s="2026" t="s">
        <v>866</v>
      </c>
      <c r="C56" s="2023" t="s">
        <v>1287</v>
      </c>
    </row>
    <row r="57" spans="1:4">
      <c r="A57" s="3095"/>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F14" sqref="F14"/>
    </sheetView>
  </sheetViews>
  <sheetFormatPr defaultColWidth="10" defaultRowHeight="18" customHeight="1"/>
  <cols>
    <col min="1" max="1" width="14.875" style="2036" customWidth="1"/>
    <col min="2" max="2" width="10" style="2036" customWidth="1"/>
    <col min="3" max="3" width="11.5" style="2036" customWidth="1"/>
    <col min="4" max="4" width="16.375" style="2036" customWidth="1"/>
    <col min="5" max="6" width="10" style="2036" customWidth="1"/>
    <col min="7" max="7" width="10.75" style="2036" customWidth="1"/>
    <col min="8" max="8" width="10" style="2036" customWidth="1"/>
    <col min="9" max="9" width="11.125" style="2162" customWidth="1"/>
    <col min="10" max="10" width="10" style="2036" customWidth="1"/>
    <col min="11" max="11" width="10" style="2163" customWidth="1"/>
    <col min="12" max="13" width="10" style="2164" customWidth="1"/>
    <col min="14" max="14" width="10" style="2036" customWidth="1"/>
    <col min="15" max="15" width="10" style="2162" customWidth="1"/>
    <col min="16" max="17" width="10" style="2036"/>
    <col min="18" max="18" width="10" style="2036" customWidth="1"/>
    <col min="19" max="16384" width="10" style="2036"/>
  </cols>
  <sheetData>
    <row r="1" spans="1:19" ht="38.25" customHeight="1" thickBot="1">
      <c r="A1" s="2029" t="s">
        <v>1778</v>
      </c>
      <c r="B1" s="3104" t="str">
        <f>IF(B10="北京市","北京市",C10)&amp;F10&amp;IF('结果表-凯富'!G1="在建","出让国有建设用地使用权及在建建筑物",IF('结果表-凯富'!G1="土地","出让国有建设用地使用权",))&amp;B9&amp;"预评估"</f>
        <v>北京市朝阳区酒仙桥北路7号北侧房地产市场价值预评估</v>
      </c>
      <c r="C1" s="3105"/>
      <c r="D1" s="3105"/>
      <c r="E1" s="3105"/>
      <c r="F1" s="3105"/>
      <c r="G1" s="3105"/>
      <c r="H1" s="3105"/>
      <c r="I1" s="3106"/>
      <c r="J1" s="2030"/>
      <c r="K1" s="2031"/>
      <c r="L1" s="2032"/>
      <c r="M1" s="2032"/>
      <c r="N1" s="2033"/>
      <c r="O1" s="2034"/>
      <c r="P1" s="2033"/>
      <c r="Q1" s="2033"/>
      <c r="R1" s="2033"/>
      <c r="S1" s="2035" t="str">
        <f>IF(B10="北京市","北京市",C10)&amp;F10&amp;IF('结果表-凯富'!G1="在建","出让国有建设用地使用权及在建建筑物房地产抵押价值",IF('结果表-凯富'!G1="土地","出让国有建设用地使用权抵押价值",B9))</f>
        <v>北京市朝阳区酒仙桥北路7号北侧房地产市场价值</v>
      </c>
    </row>
    <row r="2" spans="1:19" ht="18" customHeight="1">
      <c r="A2" s="2030" t="s">
        <v>1779</v>
      </c>
      <c r="B2" s="1042"/>
      <c r="C2" s="2037"/>
      <c r="D2" s="2030"/>
      <c r="E2" s="2038"/>
      <c r="F2" s="2038"/>
      <c r="G2" s="2030"/>
      <c r="H2" s="2030"/>
      <c r="I2" s="2030"/>
      <c r="J2" s="2030"/>
      <c r="K2" s="2031"/>
      <c r="L2" s="2032"/>
      <c r="M2" s="2032"/>
      <c r="N2" s="2033"/>
      <c r="O2" s="2034"/>
      <c r="P2" s="2033"/>
      <c r="Q2" s="2033"/>
      <c r="R2" s="2033"/>
      <c r="S2" s="2035" t="str">
        <f>IF(B10="北京市","北京市",C10)&amp;F10&amp;IF('结果表-凯富'!G1="在建","出让国有建设用地使用权及在建建筑物房地产",IF('结果表-凯富'!G1="土地","出让国有建设用地使用权","房地产"))</f>
        <v>北京市朝阳区酒仙桥北路7号北侧房地产</v>
      </c>
    </row>
    <row r="3" spans="1:19" ht="18" customHeight="1">
      <c r="A3" s="2039" t="s">
        <v>1780</v>
      </c>
      <c r="B3" s="2040">
        <v>43047</v>
      </c>
      <c r="C3" s="2041" t="s">
        <v>1781</v>
      </c>
      <c r="D3" s="2040">
        <v>43047</v>
      </c>
      <c r="E3" s="2030"/>
      <c r="F3" s="2030"/>
      <c r="G3" s="2030"/>
      <c r="H3" s="2030"/>
      <c r="I3" s="2030"/>
      <c r="J3" s="2030"/>
      <c r="K3" s="2031"/>
      <c r="L3" s="2032"/>
      <c r="M3" s="2032"/>
      <c r="N3" s="2033"/>
      <c r="O3" s="2034"/>
      <c r="P3" s="2033"/>
      <c r="Q3" s="2033"/>
      <c r="R3" s="2033"/>
      <c r="S3" s="2035"/>
    </row>
    <row r="4" spans="1:19" ht="18" customHeight="1" thickBot="1">
      <c r="A4" s="2042" t="s">
        <v>1782</v>
      </c>
      <c r="B4" s="2043" t="s">
        <v>3036</v>
      </c>
      <c r="C4" s="1040">
        <f ca="1">SUMIF(注册房地产估价师,B4,估价师及机构信息!B3:B24)</f>
        <v>1419970001</v>
      </c>
      <c r="D4" s="2043" t="s">
        <v>3037</v>
      </c>
      <c r="E4" s="1041">
        <f ca="1">SUMIF(注册房地产估价师,D4,估价师及机构信息!B3:B24)</f>
        <v>1119970066</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吴薇（注册号：1419970001)、梁津（注册号：1119970066)</v>
      </c>
      <c r="L4" s="2032"/>
      <c r="M4" s="2032"/>
      <c r="N4" s="2033"/>
      <c r="O4" s="2034"/>
      <c r="P4" s="2033"/>
      <c r="Q4" s="2033"/>
      <c r="R4" s="2033"/>
      <c r="S4" s="2035"/>
    </row>
    <row r="5" spans="1:19" ht="18" customHeight="1" thickTop="1">
      <c r="A5" s="2048" t="s">
        <v>1783</v>
      </c>
      <c r="B5" s="2929" t="s">
        <v>3044</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1784</v>
      </c>
      <c r="B6" s="2052"/>
      <c r="C6" s="2053"/>
      <c r="D6" s="2054"/>
      <c r="E6" s="2038"/>
      <c r="F6" s="2046"/>
      <c r="G6" s="2046"/>
      <c r="H6" s="2046"/>
      <c r="I6" s="2046"/>
      <c r="J6" s="2046"/>
      <c r="K6" s="2055" t="str">
        <f>IF(COUNTIF(B6,"*上海银行*"),"上海银行","")</f>
        <v/>
      </c>
      <c r="L6" s="2032"/>
      <c r="M6" s="2032"/>
      <c r="N6" s="2033"/>
      <c r="O6" s="2034"/>
      <c r="P6" s="2033"/>
      <c r="Q6" s="2033"/>
      <c r="R6" s="2033"/>
    </row>
    <row r="7" spans="1:19" ht="18" customHeight="1">
      <c r="A7" s="2051" t="s">
        <v>1785</v>
      </c>
      <c r="B7" s="2056"/>
      <c r="C7" s="2053"/>
      <c r="D7" s="2054"/>
      <c r="E7" s="2038"/>
      <c r="F7" s="2046"/>
      <c r="G7" s="2046"/>
      <c r="H7" s="2046"/>
      <c r="I7" s="2046"/>
      <c r="J7" s="2046"/>
      <c r="K7" s="2057"/>
      <c r="L7" s="2032"/>
      <c r="M7" s="2032"/>
      <c r="N7" s="2033"/>
      <c r="O7" s="2034"/>
      <c r="P7" s="2033"/>
      <c r="Q7" s="2033"/>
      <c r="R7" s="2033"/>
    </row>
    <row r="8" spans="1:19" ht="18" customHeight="1">
      <c r="A8" s="2051" t="s">
        <v>1786</v>
      </c>
      <c r="B8" s="2058" t="s">
        <v>3038</v>
      </c>
      <c r="C8" s="2059"/>
      <c r="D8" s="3107" t="s">
        <v>1787</v>
      </c>
      <c r="E8" s="2060" t="s">
        <v>3039</v>
      </c>
      <c r="F8" s="2061"/>
      <c r="G8" s="2030"/>
      <c r="H8" s="2030"/>
      <c r="I8" s="2030"/>
      <c r="J8" s="2046"/>
      <c r="K8" s="2047"/>
      <c r="L8" s="2032"/>
      <c r="M8" s="2032"/>
      <c r="N8" s="2033"/>
      <c r="O8" s="2034"/>
      <c r="P8" s="2033"/>
      <c r="Q8" s="2033"/>
      <c r="R8" s="2033"/>
    </row>
    <row r="9" spans="1:19" ht="18" customHeight="1" thickBot="1">
      <c r="A9" s="2044" t="s">
        <v>1788</v>
      </c>
      <c r="B9" s="2062" t="s">
        <v>3040</v>
      </c>
      <c r="C9" s="2063"/>
      <c r="D9" s="3108"/>
      <c r="E9" s="2062" t="s">
        <v>70</v>
      </c>
      <c r="F9" s="2064"/>
      <c r="G9" s="2065"/>
      <c r="H9" s="2065"/>
      <c r="I9" s="2065"/>
      <c r="J9" s="2046"/>
      <c r="K9" s="2057"/>
      <c r="L9" s="2032"/>
      <c r="M9" s="2032"/>
      <c r="N9" s="2033"/>
      <c r="O9" s="2034"/>
      <c r="P9" s="2033"/>
      <c r="Q9" s="2033"/>
      <c r="R9" s="2033"/>
    </row>
    <row r="10" spans="1:19" ht="18" customHeight="1" thickTop="1">
      <c r="A10" s="2066" t="s">
        <v>1789</v>
      </c>
      <c r="B10" s="2067" t="s">
        <v>3041</v>
      </c>
      <c r="C10" s="2068"/>
      <c r="D10" s="2050"/>
      <c r="E10" s="2069" t="s">
        <v>1790</v>
      </c>
      <c r="F10" s="2070" t="s">
        <v>3042</v>
      </c>
      <c r="G10" s="2071"/>
      <c r="H10" s="2072"/>
      <c r="I10" s="2050"/>
      <c r="J10" s="2046"/>
      <c r="K10" s="2057"/>
      <c r="L10" s="2032"/>
      <c r="M10" s="2032"/>
      <c r="N10" s="2033"/>
      <c r="O10" s="2034"/>
      <c r="P10" s="2033"/>
      <c r="Q10" s="2033"/>
      <c r="R10" s="2033"/>
    </row>
    <row r="11" spans="1:19" ht="18" customHeight="1">
      <c r="A11" s="2073" t="s">
        <v>1791</v>
      </c>
      <c r="B11" s="2074" t="s">
        <v>3043</v>
      </c>
      <c r="C11" s="2928" t="s">
        <v>3069</v>
      </c>
      <c r="D11" s="2075"/>
      <c r="E11" s="2046"/>
      <c r="F11" s="2046"/>
      <c r="G11" s="2046"/>
      <c r="H11" s="2046"/>
      <c r="I11" s="2046"/>
      <c r="J11" s="2046"/>
      <c r="K11" s="2057"/>
      <c r="L11" s="2032"/>
      <c r="M11" s="2032"/>
      <c r="N11" s="2033"/>
      <c r="O11" s="2034"/>
      <c r="P11" s="2033"/>
      <c r="Q11" s="2033"/>
      <c r="R11" s="2033"/>
    </row>
    <row r="12" spans="1:19" ht="18" customHeight="1">
      <c r="A12" s="2076" t="s">
        <v>1792</v>
      </c>
      <c r="B12" s="2074" t="s">
        <v>3045</v>
      </c>
      <c r="C12" s="2077" t="s">
        <v>1793</v>
      </c>
      <c r="D12" s="2078" t="s">
        <v>1794</v>
      </c>
      <c r="E12" s="2078" t="s">
        <v>1795</v>
      </c>
      <c r="F12" s="2078" t="s">
        <v>1796</v>
      </c>
      <c r="G12" s="2078" t="s">
        <v>1797</v>
      </c>
      <c r="H12" s="2078" t="s">
        <v>1798</v>
      </c>
      <c r="I12" s="2078" t="s">
        <v>1799</v>
      </c>
      <c r="J12" s="2046"/>
      <c r="K12" s="2057"/>
      <c r="L12" s="2032"/>
      <c r="M12" s="2032"/>
      <c r="N12" s="2033"/>
      <c r="O12" s="2034"/>
      <c r="P12" s="2033"/>
      <c r="Q12" s="2033"/>
      <c r="R12" s="2033"/>
    </row>
    <row r="13" spans="1:19" ht="18" customHeight="1">
      <c r="A13" s="2079"/>
      <c r="B13" s="2080"/>
      <c r="C13" s="2081" t="s">
        <v>1800</v>
      </c>
      <c r="D13" s="2082"/>
      <c r="E13" s="2082"/>
      <c r="F13" s="2082">
        <v>55865</v>
      </c>
      <c r="G13" s="2082"/>
      <c r="H13" s="1050"/>
      <c r="I13" s="1050">
        <v>55865</v>
      </c>
      <c r="J13" s="2046"/>
      <c r="K13" s="2057"/>
      <c r="L13" s="2032"/>
      <c r="M13" s="2032"/>
      <c r="N13" s="2033"/>
      <c r="O13" s="2034"/>
      <c r="P13" s="2033"/>
      <c r="Q13" s="2033"/>
      <c r="R13" s="2033"/>
    </row>
    <row r="14" spans="1:19" ht="18" customHeight="1">
      <c r="A14" s="2079"/>
      <c r="B14" s="2080"/>
      <c r="C14" s="2081" t="s">
        <v>1801</v>
      </c>
      <c r="D14" s="1053"/>
      <c r="E14" s="1053"/>
      <c r="F14" s="1053">
        <v>50</v>
      </c>
      <c r="G14" s="1053"/>
      <c r="H14" s="1053"/>
      <c r="I14" s="1053">
        <v>50</v>
      </c>
      <c r="J14" s="2046"/>
      <c r="K14" s="2083"/>
      <c r="L14" s="2032"/>
      <c r="M14" s="2032"/>
      <c r="N14" s="2033"/>
      <c r="O14" s="2034"/>
      <c r="P14" s="2033"/>
      <c r="Q14" s="2033"/>
      <c r="R14" s="2033"/>
    </row>
    <row r="15" spans="1:19" ht="18" customHeight="1">
      <c r="A15" s="2066"/>
      <c r="B15" s="2084"/>
      <c r="C15" s="2081" t="s">
        <v>1802</v>
      </c>
      <c r="D15" s="1052" t="str">
        <f>IF(B12="出让",IF(D13="","",ROUNDDOWN(MIN((D13-$D$3)/365,D14),2)),D14)</f>
        <v/>
      </c>
      <c r="E15" s="1052" t="str">
        <f>IF(B12="出让",IF(E13="","",ROUNDDOWN(MIN((E13-$D$3)/365,E14),2)),E14)</f>
        <v/>
      </c>
      <c r="F15" s="1052">
        <f>IF(B12="出让",IF(F13="","",ROUNDDOWN(MIN((F13-$D$3)/365,F14),2)),F14)</f>
        <v>35.11</v>
      </c>
      <c r="G15" s="1052" t="str">
        <f>IF(B12="出让",IF(G13="","",ROUNDDOWN(MIN((G13-$D$3)/365,G14),2)),G14)</f>
        <v/>
      </c>
      <c r="H15" s="1052" t="str">
        <f>IF(B12="出让",IF(H13="","",ROUNDDOWN(MIN((H13-$D$3)/365,H14),2)),H14)</f>
        <v/>
      </c>
      <c r="I15" s="1052">
        <f>IF(B12="出让",IF(I13="","",ROUNDDOWN(MIN((I13-$D$3)/365,I14),2)),I14)</f>
        <v>35.11</v>
      </c>
      <c r="J15" s="2046"/>
      <c r="K15" s="2085"/>
      <c r="L15" s="2086"/>
      <c r="M15" s="2086"/>
      <c r="N15" s="2087"/>
      <c r="O15" s="2086"/>
      <c r="P15" s="2087"/>
      <c r="Q15" s="2033"/>
      <c r="R15" s="2033"/>
    </row>
    <row r="16" spans="1:19" ht="30.75" customHeight="1">
      <c r="A16" s="2069" t="s">
        <v>1803</v>
      </c>
      <c r="B16" s="3114" t="s">
        <v>3046</v>
      </c>
      <c r="C16" s="3115"/>
      <c r="D16" s="3116"/>
      <c r="E16" s="2088" t="s">
        <v>1804</v>
      </c>
      <c r="F16" s="3117" t="s">
        <v>3070</v>
      </c>
      <c r="G16" s="3118"/>
      <c r="H16" s="3118"/>
      <c r="I16" s="3119"/>
      <c r="J16" s="2033"/>
      <c r="K16" s="2085"/>
      <c r="L16" s="2086"/>
      <c r="M16" s="2086"/>
      <c r="N16" s="2087"/>
      <c r="O16" s="2086"/>
      <c r="P16" s="2087"/>
      <c r="Q16" s="2033"/>
      <c r="R16" s="2033"/>
    </row>
    <row r="17" spans="1:22" ht="18" customHeight="1">
      <c r="A17" s="2089" t="s">
        <v>1805</v>
      </c>
      <c r="B17" s="2039" t="s">
        <v>1806</v>
      </c>
      <c r="C17" s="1057">
        <f>'数据-汇总表'!E3</f>
        <v>25430.71</v>
      </c>
      <c r="D17" s="2090" t="s">
        <v>1807</v>
      </c>
      <c r="E17" s="3120" t="s">
        <v>1808</v>
      </c>
      <c r="F17" s="3121"/>
      <c r="G17" s="3121"/>
      <c r="H17" s="3121"/>
      <c r="I17" s="3122"/>
      <c r="J17" s="2033"/>
      <c r="K17" s="2091"/>
      <c r="L17" s="2086"/>
      <c r="M17" s="2086"/>
      <c r="N17" s="2087"/>
      <c r="O17" s="2086"/>
      <c r="P17" s="2087"/>
      <c r="Q17" s="2033"/>
      <c r="R17" s="2033"/>
      <c r="S17" s="2033"/>
      <c r="T17" s="2033"/>
      <c r="U17" s="2033"/>
      <c r="V17" s="2033"/>
    </row>
    <row r="18" spans="1:22" ht="36" customHeight="1" thickBot="1">
      <c r="A18" s="2092" t="s">
        <v>70</v>
      </c>
      <c r="B18" s="2042" t="s">
        <v>1809</v>
      </c>
      <c r="C18" s="1447">
        <f>'数据-汇总表'!D3</f>
        <v>38167.26</v>
      </c>
      <c r="D18" s="2093" t="s">
        <v>1807</v>
      </c>
      <c r="E18" s="3123" t="s">
        <v>1810</v>
      </c>
      <c r="F18" s="3124"/>
      <c r="G18" s="3124"/>
      <c r="H18" s="3124"/>
      <c r="I18" s="3125"/>
      <c r="J18" s="2033"/>
      <c r="K18" s="2091"/>
      <c r="L18" s="2086"/>
      <c r="M18" s="2086"/>
      <c r="N18" s="2087"/>
      <c r="O18" s="2086"/>
      <c r="P18" s="2087"/>
      <c r="Q18" s="2033"/>
      <c r="R18" s="2033"/>
      <c r="S18" s="2033"/>
      <c r="T18" s="2033"/>
      <c r="U18" s="2033"/>
      <c r="V18" s="2033"/>
    </row>
    <row r="19" spans="1:22" ht="37.5" customHeight="1" thickTop="1" thickBot="1">
      <c r="A19" s="373" t="s">
        <v>1811</v>
      </c>
      <c r="B19" s="352" t="s">
        <v>1812</v>
      </c>
      <c r="C19" s="2094" t="s">
        <v>3047</v>
      </c>
      <c r="D19" s="2095" t="s">
        <v>1813</v>
      </c>
      <c r="E19" s="2096" t="s">
        <v>3047</v>
      </c>
      <c r="F19" s="2097" t="str">
        <f>IF(AND(C19="是",E19="否"),"是否提供他项权证或相关说明","")</f>
        <v/>
      </c>
      <c r="G19" s="2098" t="s">
        <v>70</v>
      </c>
      <c r="H19" s="2046"/>
      <c r="I19" s="2046"/>
      <c r="J19" s="2046"/>
      <c r="K19" s="2057"/>
      <c r="L19" s="2032"/>
      <c r="M19" s="2032"/>
      <c r="N19" s="2087"/>
      <c r="O19" s="2086"/>
      <c r="P19" s="2087"/>
      <c r="Q19" s="2033"/>
      <c r="R19" s="2033"/>
      <c r="S19" s="2033"/>
      <c r="T19" s="2033"/>
      <c r="U19" s="2033"/>
      <c r="V19" s="2033"/>
    </row>
    <row r="20" spans="1:22" ht="18" customHeight="1">
      <c r="A20" s="2099" t="s">
        <v>1814</v>
      </c>
      <c r="B20" s="3110" t="s">
        <v>1815</v>
      </c>
      <c r="C20" s="3111"/>
      <c r="D20" s="3112" t="s">
        <v>1816</v>
      </c>
      <c r="E20" s="3113"/>
      <c r="F20" s="2100" t="s">
        <v>1817</v>
      </c>
      <c r="G20" s="2046"/>
      <c r="H20" s="2046"/>
      <c r="I20" s="2046"/>
      <c r="J20" s="2046"/>
      <c r="K20" s="3109" t="s">
        <v>1818</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2"/>
      <c r="N20" s="2087"/>
      <c r="O20" s="2086"/>
      <c r="P20" s="2087"/>
      <c r="Q20" s="2033"/>
      <c r="R20" s="2033"/>
      <c r="S20" s="2033"/>
      <c r="T20" s="2033"/>
      <c r="U20" s="2033"/>
      <c r="V20" s="2033"/>
    </row>
    <row r="21" spans="1:22" ht="24.75" customHeight="1">
      <c r="A21" s="2099"/>
      <c r="B21" s="2101" t="s">
        <v>1819</v>
      </c>
      <c r="C21" s="2102" t="s">
        <v>1820</v>
      </c>
      <c r="D21" s="2103"/>
      <c r="E21" s="2104" t="s">
        <v>70</v>
      </c>
      <c r="F21" s="2105"/>
      <c r="G21" s="2046"/>
      <c r="H21" s="2046"/>
      <c r="I21" s="2046"/>
      <c r="J21" s="2046"/>
      <c r="K21" s="31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7"/>
      <c r="O21" s="2086"/>
      <c r="P21" s="2087"/>
      <c r="Q21" s="2033"/>
      <c r="R21" s="2033"/>
      <c r="S21" s="2033"/>
      <c r="T21" s="2033"/>
      <c r="U21" s="2033"/>
      <c r="V21" s="2033"/>
    </row>
    <row r="22" spans="1:22" ht="24.75" customHeight="1" thickBot="1">
      <c r="A22" s="2099"/>
      <c r="B22" s="2106" t="s">
        <v>1821</v>
      </c>
      <c r="C22" s="2102" t="s">
        <v>3048</v>
      </c>
      <c r="D22" s="2030"/>
      <c r="E22" s="2030"/>
      <c r="F22" s="2107"/>
      <c r="G22" s="2046"/>
      <c r="H22" s="2046"/>
      <c r="I22" s="2046"/>
      <c r="J22" s="2046"/>
      <c r="K22" s="3109"/>
      <c r="L22" s="748" t="str">
        <f>IF(E19="否","",IF('结果表-凯富'!D36="同一抵押权人同一抵押物续贷","由于本次评估为同一抵押权人的续贷房地产抵押估价，故未将已抵押担保的债权数额（"&amp;C26&amp;"）作为法定优先受偿款予以扣减。",IF('结果表-凯富'!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7"/>
      <c r="O22" s="2086"/>
      <c r="P22" s="2087"/>
      <c r="Q22" s="2033"/>
      <c r="R22" s="2033"/>
      <c r="S22" s="2033"/>
      <c r="T22" s="2033"/>
      <c r="U22" s="2033"/>
      <c r="V22" s="2033"/>
    </row>
    <row r="23" spans="1:22" ht="18" customHeight="1">
      <c r="A23" s="2108" t="s">
        <v>1822</v>
      </c>
      <c r="B23" s="183" t="s">
        <v>1823</v>
      </c>
      <c r="C23" s="2109"/>
      <c r="D23" s="2110" t="s">
        <v>1823</v>
      </c>
      <c r="E23" s="2111"/>
      <c r="F23" s="2107"/>
      <c r="G23" s="2046"/>
      <c r="H23" s="2046"/>
      <c r="I23" s="2046"/>
      <c r="J23" s="2046"/>
      <c r="K23" s="2112"/>
      <c r="L23" s="748"/>
      <c r="M23" s="2032"/>
      <c r="N23" s="2087"/>
      <c r="O23" s="2086"/>
      <c r="P23" s="2087"/>
      <c r="Q23" s="2033"/>
      <c r="R23" s="2033"/>
      <c r="S23" s="2033"/>
      <c r="T23" s="2033"/>
      <c r="U23" s="2033"/>
      <c r="V23" s="2033"/>
    </row>
    <row r="24" spans="1:22" ht="18" customHeight="1">
      <c r="A24" s="2113"/>
      <c r="B24" s="183" t="s">
        <v>1824</v>
      </c>
      <c r="C24" s="2114"/>
      <c r="D24" s="2108" t="s">
        <v>1824</v>
      </c>
      <c r="E24" s="2115"/>
      <c r="F24" s="2107"/>
      <c r="G24" s="2046"/>
      <c r="H24" s="2046"/>
      <c r="I24" s="2046"/>
      <c r="J24" s="2046"/>
      <c r="K24" s="2112"/>
      <c r="L24" s="748"/>
      <c r="M24" s="2032"/>
      <c r="N24" s="2087"/>
      <c r="O24" s="2086"/>
      <c r="P24" s="2087"/>
      <c r="Q24" s="2033"/>
      <c r="R24" s="2033"/>
      <c r="S24" s="2033"/>
      <c r="T24" s="2033"/>
      <c r="U24" s="2033"/>
      <c r="V24" s="2033"/>
    </row>
    <row r="25" spans="1:22" ht="18" customHeight="1">
      <c r="A25" s="2113"/>
      <c r="B25" s="183" t="s">
        <v>1825</v>
      </c>
      <c r="C25" s="2114"/>
      <c r="D25" s="2108" t="s">
        <v>1825</v>
      </c>
      <c r="E25" s="2115"/>
      <c r="F25" s="2107"/>
      <c r="G25" s="2046"/>
      <c r="H25" s="2046"/>
      <c r="I25" s="2046"/>
      <c r="J25" s="2046"/>
      <c r="K25" s="2057"/>
      <c r="L25" s="2032"/>
      <c r="M25" s="2032"/>
      <c r="N25" s="2087"/>
      <c r="O25" s="2086"/>
      <c r="P25" s="2087"/>
      <c r="Q25" s="2033"/>
      <c r="R25" s="2033"/>
      <c r="S25" s="2033"/>
      <c r="T25" s="2033"/>
      <c r="U25" s="2033"/>
      <c r="V25" s="2033"/>
    </row>
    <row r="26" spans="1:22" ht="18" customHeight="1" thickBot="1">
      <c r="A26" s="2116"/>
      <c r="B26" s="2117" t="s">
        <v>1826</v>
      </c>
      <c r="C26" s="2118"/>
      <c r="D26" s="2119" t="s">
        <v>1827</v>
      </c>
      <c r="E26" s="2120"/>
      <c r="F26" s="2121"/>
      <c r="G26" s="2065"/>
      <c r="H26" s="2065"/>
      <c r="I26" s="2065"/>
      <c r="J26" s="2046"/>
      <c r="K26" s="2057"/>
      <c r="L26" s="2032"/>
      <c r="M26" s="2032"/>
      <c r="N26" s="2087"/>
      <c r="O26" s="2086"/>
      <c r="P26" s="2087"/>
      <c r="Q26" s="2033"/>
      <c r="R26" s="2033"/>
      <c r="S26" s="2033"/>
      <c r="T26" s="2033"/>
      <c r="U26" s="2033"/>
      <c r="V26" s="2033"/>
    </row>
    <row r="27" spans="1:22" ht="18" customHeight="1" thickTop="1">
      <c r="A27" s="3097" t="s">
        <v>1828</v>
      </c>
      <c r="B27" s="2066" t="s">
        <v>1829</v>
      </c>
      <c r="C27" s="2122" t="s">
        <v>3049</v>
      </c>
      <c r="D27" s="2123"/>
      <c r="E27" s="2046"/>
      <c r="F27" s="2046"/>
      <c r="G27" s="2046"/>
      <c r="H27" s="2046"/>
      <c r="I27" s="2046"/>
      <c r="J27" s="2033"/>
      <c r="K27" s="2085"/>
      <c r="L27" s="2086"/>
      <c r="M27" s="2086"/>
      <c r="N27" s="2087"/>
      <c r="O27" s="2086"/>
      <c r="P27" s="2087"/>
      <c r="Q27" s="2033"/>
      <c r="R27" s="2033"/>
      <c r="S27" s="2033"/>
      <c r="T27" s="2033"/>
      <c r="U27" s="2033"/>
      <c r="V27" s="2033"/>
    </row>
    <row r="28" spans="1:22" ht="18" customHeight="1">
      <c r="A28" s="3097"/>
      <c r="B28" s="2039" t="s">
        <v>1830</v>
      </c>
      <c r="C28" s="2124" t="s">
        <v>3050</v>
      </c>
      <c r="D28" s="2125"/>
      <c r="E28" s="2046"/>
      <c r="F28" s="2046"/>
      <c r="G28" s="2046"/>
      <c r="H28" s="2046"/>
      <c r="I28" s="2046"/>
      <c r="J28" s="2033"/>
      <c r="K28" s="2126"/>
      <c r="L28" s="2032"/>
      <c r="M28" s="2032"/>
      <c r="N28" s="2033"/>
      <c r="O28" s="2034"/>
      <c r="P28" s="2033"/>
      <c r="Q28" s="2033"/>
      <c r="R28" s="2033"/>
      <c r="S28" s="2033"/>
      <c r="T28" s="2033"/>
      <c r="U28" s="2033"/>
      <c r="V28" s="2033"/>
    </row>
    <row r="29" spans="1:22" ht="18" customHeight="1">
      <c r="A29" s="3097"/>
      <c r="B29" s="2039" t="s">
        <v>1831</v>
      </c>
      <c r="C29" s="2127" t="s">
        <v>3047</v>
      </c>
      <c r="D29" s="2128"/>
      <c r="E29" s="2046"/>
      <c r="F29" s="2046"/>
      <c r="G29" s="2046"/>
      <c r="H29" s="2046"/>
      <c r="I29" s="2046"/>
      <c r="J29" s="2033"/>
      <c r="K29" s="2126"/>
      <c r="L29" s="2032"/>
      <c r="M29" s="2032"/>
      <c r="N29" s="2033"/>
      <c r="O29" s="2034"/>
      <c r="P29" s="2033"/>
      <c r="Q29" s="2033"/>
      <c r="R29" s="2033"/>
      <c r="S29" s="2033"/>
      <c r="T29" s="2033"/>
      <c r="U29" s="2033"/>
      <c r="V29" s="2033"/>
    </row>
    <row r="30" spans="1:22" ht="18" customHeight="1">
      <c r="A30" s="3098"/>
      <c r="B30" s="2039" t="s">
        <v>1832</v>
      </c>
      <c r="C30" s="3099"/>
      <c r="D30" s="3100"/>
      <c r="E30" s="2046"/>
      <c r="F30" s="2046"/>
      <c r="G30" s="2046"/>
      <c r="H30" s="2046"/>
      <c r="I30" s="2046"/>
      <c r="J30" s="2033"/>
      <c r="K30" s="2126"/>
      <c r="L30" s="2032"/>
      <c r="M30" s="2032"/>
      <c r="N30" s="2033"/>
      <c r="O30" s="2034"/>
      <c r="P30" s="2033"/>
      <c r="Q30" s="2033"/>
      <c r="R30" s="2033"/>
      <c r="S30" s="2033"/>
      <c r="T30" s="2033"/>
      <c r="U30" s="2033"/>
      <c r="V30" s="2033"/>
    </row>
    <row r="31" spans="1:22" ht="18" customHeight="1">
      <c r="A31" s="3101" t="s">
        <v>1833</v>
      </c>
      <c r="B31" s="2129" t="s">
        <v>3051</v>
      </c>
      <c r="C31" s="2130" t="str">
        <f>IF(B31="现房","成新及维护状况正常否",IF(B31="在建","工程状态是否正常",IF(B31="土地","是否闲置","-")))</f>
        <v>成新及维护状况正常否</v>
      </c>
      <c r="D31" s="2131"/>
      <c r="E31" s="2930" t="s">
        <v>3052</v>
      </c>
      <c r="F31" s="2046"/>
      <c r="G31" s="2046"/>
      <c r="H31" s="2046"/>
      <c r="I31" s="2046"/>
      <c r="J31" s="2046"/>
      <c r="K31" s="2055"/>
      <c r="L31" s="2032"/>
      <c r="M31" s="2032"/>
      <c r="N31" s="2033"/>
      <c r="O31" s="2034"/>
      <c r="P31" s="2033"/>
      <c r="Q31" s="2033"/>
      <c r="R31" s="2033"/>
      <c r="S31" s="2033"/>
      <c r="T31" s="2033"/>
      <c r="U31" s="2033"/>
      <c r="V31" s="2033"/>
    </row>
    <row r="32" spans="1:22" ht="18" customHeight="1">
      <c r="A32" s="3102"/>
      <c r="B32" s="2129"/>
      <c r="C32" s="2130" t="str">
        <f>IF(B32="现房","成新及维护状况是否正常",IF(B32="在建","工程状态是否正常",IF(B32="土地","是否闲置","-")))</f>
        <v>-</v>
      </c>
      <c r="D32" s="2131"/>
      <c r="E32" s="2132"/>
      <c r="F32" s="2046"/>
      <c r="G32" s="2046"/>
      <c r="H32" s="2046"/>
      <c r="I32" s="2046"/>
      <c r="J32" s="2046"/>
      <c r="K32" s="2057"/>
      <c r="L32" s="2032"/>
      <c r="M32" s="2032"/>
      <c r="N32" s="2033"/>
      <c r="O32" s="2034"/>
      <c r="P32" s="2033"/>
      <c r="Q32" s="2033"/>
      <c r="R32" s="2033"/>
      <c r="S32" s="2033"/>
      <c r="T32" s="2033"/>
      <c r="U32" s="2033"/>
      <c r="V32" s="2033"/>
    </row>
    <row r="33" spans="1:22" ht="18" customHeight="1">
      <c r="A33" s="3102"/>
      <c r="B33" s="2133"/>
      <c r="C33" s="2073" t="str">
        <f>IF(B33="现房","成新及维护状况是否正常",IF(B33="在建","工程状态是否正常",IF(B33="土地","是否闲置","-")))</f>
        <v>-</v>
      </c>
      <c r="D33" s="2134"/>
      <c r="E33" s="2135"/>
      <c r="F33" s="2046"/>
      <c r="G33" s="2046"/>
      <c r="H33" s="2046"/>
      <c r="I33" s="2046"/>
      <c r="J33" s="2046"/>
      <c r="K33" s="2057"/>
      <c r="L33" s="2032"/>
      <c r="M33" s="2032"/>
      <c r="N33" s="2033"/>
      <c r="O33" s="2034"/>
      <c r="P33" s="2033"/>
      <c r="Q33" s="2033"/>
      <c r="R33" s="2033"/>
      <c r="S33" s="2033"/>
      <c r="T33" s="2033"/>
      <c r="U33" s="2033"/>
      <c r="V33" s="2033"/>
    </row>
    <row r="34" spans="1:22" ht="18" customHeight="1">
      <c r="A34" s="2039" t="s">
        <v>1834</v>
      </c>
      <c r="B34" s="2136" t="s">
        <v>3053</v>
      </c>
      <c r="C34" s="2136" t="s">
        <v>3054</v>
      </c>
      <c r="D34" s="2136" t="s">
        <v>3055</v>
      </c>
      <c r="E34" s="2136" t="s">
        <v>3056</v>
      </c>
      <c r="F34" s="2136" t="s">
        <v>3057</v>
      </c>
      <c r="G34" s="2136"/>
      <c r="H34" s="2136"/>
      <c r="I34" s="2046"/>
      <c r="J34" s="2046"/>
      <c r="K34" s="1799">
        <f>COUNTIF(B34:H34,"——")</f>
        <v>0</v>
      </c>
      <c r="L34" s="2077" t="s">
        <v>1835</v>
      </c>
      <c r="M34" s="2077" t="s">
        <v>1836</v>
      </c>
      <c r="N34" s="2077" t="s">
        <v>1837</v>
      </c>
      <c r="O34" s="2077" t="s">
        <v>1838</v>
      </c>
      <c r="P34" s="2077" t="s">
        <v>1839</v>
      </c>
      <c r="Q34" s="2077" t="s">
        <v>1840</v>
      </c>
      <c r="R34" s="2077" t="s">
        <v>1841</v>
      </c>
      <c r="S34" s="3096" t="s">
        <v>1842</v>
      </c>
      <c r="T34" s="2137" t="str">
        <f>NUMBERSTRING(7-K34,1)&amp;"通"</f>
        <v>七通</v>
      </c>
      <c r="U34" s="2033"/>
      <c r="V34" s="2033"/>
    </row>
    <row r="35" spans="1:22" ht="18" customHeight="1">
      <c r="A35" s="2138"/>
      <c r="B35" s="3103" t="s">
        <v>1843</v>
      </c>
      <c r="C35" s="3103"/>
      <c r="D35" s="3103"/>
      <c r="E35" s="3103"/>
      <c r="F35" s="2139">
        <f>C10</f>
        <v>0</v>
      </c>
      <c r="G35" s="2046"/>
      <c r="H35" s="2046"/>
      <c r="I35" s="2046"/>
      <c r="J35" s="2046"/>
      <c r="K35" s="2077"/>
      <c r="L35" s="2077"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096"/>
      <c r="T35" s="47" t="str">
        <f>IF(T34="一通",L35,IF(T34="二通",M35,IF(T34="三通",N35,IF(T34="四通",O35,IF(T34="五通",P35,IF(T34="六通",Q35,R35))))))</f>
        <v>通路、通电、通讯、通上水、通下水、、</v>
      </c>
      <c r="U35" s="2033"/>
      <c r="V35" s="2033"/>
    </row>
    <row r="36" spans="1:22" ht="18" customHeight="1">
      <c r="A36" s="2140"/>
      <c r="B36" s="2139" t="s">
        <v>1844</v>
      </c>
      <c r="C36" s="2139" t="s">
        <v>1845</v>
      </c>
      <c r="D36" s="2139" t="s">
        <v>1846</v>
      </c>
      <c r="E36" s="2139" t="s">
        <v>1847</v>
      </c>
      <c r="F36" s="2141"/>
      <c r="G36" s="2046"/>
      <c r="H36" s="2046"/>
      <c r="I36" s="2046"/>
      <c r="J36" s="2046"/>
      <c r="K36" s="2057"/>
      <c r="L36" s="2032"/>
      <c r="M36" s="2032"/>
      <c r="N36" s="2033"/>
      <c r="O36" s="2034"/>
      <c r="P36" s="2033"/>
      <c r="Q36" s="2033"/>
      <c r="R36" s="2033"/>
      <c r="S36" s="2033"/>
      <c r="T36" s="2033"/>
      <c r="U36" s="2033"/>
      <c r="V36" s="2033"/>
    </row>
    <row r="37" spans="1:22" ht="18" customHeight="1">
      <c r="A37" s="2142" t="s">
        <v>1848</v>
      </c>
      <c r="B37" s="2143"/>
      <c r="C37" s="2143" t="s">
        <v>269</v>
      </c>
      <c r="D37" s="2143"/>
      <c r="E37" s="2143" t="s">
        <v>269</v>
      </c>
      <c r="F37" s="2141"/>
      <c r="G37" s="2046"/>
      <c r="H37" s="2046"/>
      <c r="I37" s="2046"/>
      <c r="J37" s="2046"/>
      <c r="K37" s="2057"/>
      <c r="L37" s="2032"/>
      <c r="M37" s="2032"/>
      <c r="N37" s="2033"/>
      <c r="O37" s="2034"/>
      <c r="P37" s="2033"/>
      <c r="Q37" s="2033"/>
      <c r="R37" s="2033"/>
      <c r="S37" s="2033"/>
      <c r="T37" s="2033"/>
      <c r="U37" s="2033"/>
      <c r="V37" s="2033"/>
    </row>
    <row r="38" spans="1:22" ht="18" customHeight="1" thickBot="1">
      <c r="A38" s="2144" t="s">
        <v>1849</v>
      </c>
      <c r="B38" s="2145"/>
      <c r="C38" s="2145" t="s">
        <v>343</v>
      </c>
      <c r="D38" s="2145"/>
      <c r="E38" s="2145" t="s">
        <v>237</v>
      </c>
      <c r="F38" s="2146"/>
      <c r="G38" s="2065"/>
      <c r="H38" s="2065"/>
      <c r="I38" s="2065"/>
      <c r="J38" s="2046"/>
      <c r="K38" s="2057"/>
      <c r="L38" s="2032"/>
      <c r="M38" s="2032"/>
      <c r="N38" s="2033"/>
      <c r="O38" s="2034"/>
      <c r="P38" s="2033"/>
      <c r="Q38" s="2033"/>
      <c r="R38" s="2033"/>
      <c r="S38" s="2033"/>
      <c r="T38" s="2033"/>
      <c r="U38" s="2033"/>
      <c r="V38" s="2033"/>
    </row>
    <row r="39" spans="1:22" s="2151" customFormat="1" ht="18" customHeight="1" thickTop="1" thickBot="1">
      <c r="A39" s="2147" t="s">
        <v>1850</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3"/>
      <c r="B40" s="2033"/>
      <c r="C40" s="2033"/>
      <c r="D40" s="2033"/>
      <c r="E40" s="2033"/>
      <c r="F40" s="2033"/>
      <c r="G40" s="2033"/>
      <c r="H40" s="2033"/>
      <c r="I40" s="2152"/>
      <c r="J40" s="2087"/>
      <c r="K40" s="666"/>
      <c r="L40" s="2086"/>
      <c r="M40" s="2086"/>
      <c r="N40" s="2087"/>
      <c r="O40" s="2086"/>
      <c r="P40" s="2033"/>
      <c r="Q40" s="2033"/>
      <c r="R40" s="2033"/>
      <c r="S40" s="2033"/>
      <c r="T40" s="2033"/>
      <c r="U40" s="2033"/>
      <c r="V40" s="2033"/>
    </row>
    <row r="41" spans="1:22" ht="18" customHeight="1">
      <c r="A41" s="8" t="s">
        <v>1851</v>
      </c>
      <c r="B41" s="2153"/>
      <c r="C41" s="2154"/>
      <c r="D41" s="2033"/>
      <c r="E41" s="2033"/>
      <c r="F41" s="2033"/>
      <c r="G41" s="2033"/>
      <c r="H41" s="2033"/>
      <c r="I41" s="2034"/>
      <c r="J41" s="2033"/>
      <c r="K41" s="2126"/>
      <c r="L41" s="2032"/>
      <c r="M41" s="2032"/>
      <c r="N41" s="2033"/>
      <c r="O41" s="2034"/>
      <c r="P41" s="2033"/>
      <c r="Q41" s="2033"/>
      <c r="R41" s="2033"/>
      <c r="S41" s="2033"/>
      <c r="T41" s="2033"/>
      <c r="U41" s="2033"/>
      <c r="V41" s="2033"/>
    </row>
    <row r="42" spans="1:22" ht="18" customHeight="1">
      <c r="A42" s="2077" t="s">
        <v>1852</v>
      </c>
      <c r="B42" s="1799" t="s">
        <v>1853</v>
      </c>
      <c r="C42" s="1799" t="s">
        <v>1854</v>
      </c>
      <c r="D42" s="1799" t="s">
        <v>1855</v>
      </c>
      <c r="E42" s="1799" t="s">
        <v>1856</v>
      </c>
      <c r="F42" s="1799" t="s">
        <v>1857</v>
      </c>
      <c r="G42" s="1799" t="s">
        <v>1858</v>
      </c>
      <c r="H42" s="1799" t="s">
        <v>1859</v>
      </c>
      <c r="I42" s="1799" t="s">
        <v>1860</v>
      </c>
      <c r="J42" s="2155" t="s">
        <v>1861</v>
      </c>
      <c r="K42" s="2078" t="s">
        <v>1862</v>
      </c>
      <c r="L42" s="2078" t="s">
        <v>1863</v>
      </c>
      <c r="M42" s="2078" t="s">
        <v>1864</v>
      </c>
      <c r="N42" s="1799" t="s">
        <v>1865</v>
      </c>
      <c r="O42" s="1799" t="s">
        <v>1866</v>
      </c>
      <c r="P42" s="1799" t="s">
        <v>1867</v>
      </c>
      <c r="Q42" s="2077" t="s">
        <v>1868</v>
      </c>
      <c r="R42" s="2077" t="s">
        <v>1869</v>
      </c>
      <c r="S42" s="2033"/>
      <c r="T42" s="2033"/>
      <c r="U42" s="2033"/>
      <c r="V42" s="2033"/>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1870</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6" t="s">
        <v>1871</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70" customFormat="1" ht="24">
      <c r="A2" s="11" t="s">
        <v>1872</v>
      </c>
      <c r="B2" s="11" t="s">
        <v>1873</v>
      </c>
      <c r="C2" s="11" t="s">
        <v>1874</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1875</v>
      </c>
      <c r="AZ2" s="1273" t="s">
        <v>1876</v>
      </c>
      <c r="BA2" s="11" t="s">
        <v>1877</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3381">
        <v>105757.59</v>
      </c>
      <c r="B3" s="13">
        <f>IF(C3="否",G5-AT5,G5)</f>
        <v>70465.91</v>
      </c>
      <c r="C3" s="2171" t="s">
        <v>1878</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4" t="s">
        <v>1879</v>
      </c>
      <c r="B5" s="1807"/>
      <c r="C5" s="1807"/>
      <c r="D5" s="1810"/>
      <c r="E5" s="15" t="s">
        <v>1</v>
      </c>
      <c r="F5" s="15">
        <f>SUM(F13:F587)</f>
        <v>0</v>
      </c>
      <c r="G5" s="15">
        <f>SUM(G13:G587)</f>
        <v>70465.91</v>
      </c>
      <c r="H5" s="15">
        <f t="shared" ref="H5:AT5" si="0">SUM(H13:H656)</f>
        <v>70465.91</v>
      </c>
      <c r="I5" s="15">
        <f t="shared" si="0"/>
        <v>70465.91</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6"/>
      <c r="AV5" s="14" t="s">
        <v>1879</v>
      </c>
      <c r="AW5" s="1807"/>
      <c r="AX5" s="1807"/>
      <c r="AY5" s="16" t="s">
        <v>3</v>
      </c>
      <c r="AZ5" s="17">
        <f t="shared" ref="AZ5:BT5" si="1">SUM(AZ13:AZ656)</f>
        <v>25430.71</v>
      </c>
      <c r="BA5" s="17">
        <f t="shared" si="1"/>
        <v>25430.71</v>
      </c>
      <c r="BB5" s="17">
        <f t="shared" si="1"/>
        <v>25430.71</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80" customFormat="1" ht="12.75">
      <c r="A6" s="14" t="s">
        <v>1880</v>
      </c>
      <c r="B6" s="2177"/>
      <c r="C6" s="2177"/>
      <c r="D6" s="2178"/>
      <c r="E6" s="15">
        <f>H6+AC6+AT6</f>
        <v>105757.59</v>
      </c>
      <c r="F6" s="15" t="s">
        <v>1</v>
      </c>
      <c r="G6" s="15" t="s">
        <v>2</v>
      </c>
      <c r="H6" s="19">
        <f>SUMIF(I$12:AB$12,"总值",I6:AB6)</f>
        <v>105757.59</v>
      </c>
      <c r="I6" s="15">
        <f t="shared" ref="I6:AB6" si="2">ROUND($A$3*I5/$B$3,2)</f>
        <v>105757.59</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9"/>
      <c r="AV6" s="14" t="s">
        <v>1880</v>
      </c>
      <c r="AW6" s="2177"/>
      <c r="AX6" s="2177"/>
      <c r="AY6" s="20">
        <f>IF(AY3&gt;0,AY3,ROUND($A$3*AZ5/$B$3,2))</f>
        <v>38167.26</v>
      </c>
      <c r="AZ6" s="15" t="s">
        <v>3</v>
      </c>
      <c r="BA6" s="15">
        <f>ROUND($AY$6*BA5/$AZ$5,2)</f>
        <v>38167.26</v>
      </c>
      <c r="BB6" s="15">
        <f>ROUND($AY$6*BB5/$AZ$5,2)</f>
        <v>38167.26</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70" customFormat="1" ht="24.75">
      <c r="A7" s="2112" t="s">
        <v>1881</v>
      </c>
      <c r="B7" s="2112" t="s">
        <v>1882</v>
      </c>
      <c r="C7" s="2112" t="s">
        <v>1883</v>
      </c>
      <c r="D7" s="2112" t="s">
        <v>1884</v>
      </c>
      <c r="E7" s="2112" t="s">
        <v>1885</v>
      </c>
      <c r="F7" s="2112" t="s">
        <v>1886</v>
      </c>
      <c r="G7" s="2181" t="s">
        <v>1887</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10"/>
      <c r="AU7" s="2182" t="s">
        <v>1888</v>
      </c>
      <c r="AV7" s="22" t="s">
        <v>1889</v>
      </c>
      <c r="AW7" s="2169" t="s">
        <v>1890</v>
      </c>
      <c r="AX7" s="22" t="s">
        <v>1883</v>
      </c>
      <c r="AY7" s="1807" t="s">
        <v>1891</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1892</v>
      </c>
      <c r="H8" s="2187" t="s">
        <v>1893</v>
      </c>
      <c r="I8" s="2188"/>
      <c r="J8" s="1822"/>
      <c r="K8" s="1822"/>
      <c r="L8" s="1822"/>
      <c r="M8" s="1822"/>
      <c r="N8" s="1822"/>
      <c r="O8" s="1822"/>
      <c r="P8" s="1822"/>
      <c r="Q8" s="1822"/>
      <c r="R8" s="1822"/>
      <c r="S8" s="1822"/>
      <c r="T8" s="1822"/>
      <c r="U8" s="1822"/>
      <c r="V8" s="2189"/>
      <c r="W8" s="1822"/>
      <c r="X8" s="1822"/>
      <c r="Y8" s="1822"/>
      <c r="Z8" s="1822"/>
      <c r="AA8" s="2189"/>
      <c r="AB8" s="2190"/>
      <c r="AC8" s="984" t="s">
        <v>1894</v>
      </c>
      <c r="AD8" s="2191"/>
      <c r="AE8" s="2183"/>
      <c r="AF8" s="1822"/>
      <c r="AG8" s="1822"/>
      <c r="AH8" s="1822"/>
      <c r="AI8" s="1822"/>
      <c r="AJ8" s="1822"/>
      <c r="AK8" s="1822"/>
      <c r="AL8" s="1822"/>
      <c r="AM8" s="1822"/>
      <c r="AN8" s="1822"/>
      <c r="AO8" s="1822"/>
      <c r="AP8" s="1822"/>
      <c r="AQ8" s="1822"/>
      <c r="AR8" s="1822"/>
      <c r="AS8" s="1822"/>
      <c r="AT8" s="1295" t="s">
        <v>1895</v>
      </c>
      <c r="AU8" s="2185" t="s">
        <v>1896</v>
      </c>
      <c r="AV8" s="1295"/>
      <c r="AW8" s="2168"/>
      <c r="AX8" s="1295"/>
      <c r="AY8" s="2169" t="s">
        <v>1897</v>
      </c>
      <c r="AZ8" s="1821" t="s">
        <v>1898</v>
      </c>
      <c r="BA8" s="1822"/>
      <c r="BB8" s="1822"/>
      <c r="BC8" s="1822"/>
      <c r="BD8" s="1822"/>
      <c r="BE8" s="1822"/>
      <c r="BF8" s="1822"/>
      <c r="BG8" s="1822"/>
      <c r="BH8" s="1822"/>
      <c r="BI8" s="1822"/>
      <c r="BJ8" s="1822"/>
      <c r="BK8" s="1822"/>
      <c r="BL8" s="1822"/>
      <c r="BM8" s="1822"/>
      <c r="BN8" s="1822"/>
      <c r="BO8" s="1822"/>
      <c r="BP8" s="1822"/>
      <c r="BQ8" s="1822"/>
      <c r="BR8" s="1822"/>
      <c r="BS8" s="1822"/>
      <c r="BT8" s="25"/>
    </row>
    <row r="9" spans="1:72" s="2192" customFormat="1" ht="12.75">
      <c r="A9" s="2185"/>
      <c r="B9" s="2185"/>
      <c r="C9" s="2185"/>
      <c r="D9" s="2185"/>
      <c r="E9" s="2185"/>
      <c r="F9" s="2185"/>
      <c r="G9" s="1295"/>
      <c r="H9" s="2193" t="s">
        <v>1899</v>
      </c>
      <c r="I9" s="2194" t="s">
        <v>3058</v>
      </c>
      <c r="J9" s="984"/>
      <c r="K9" s="2194"/>
      <c r="L9" s="984"/>
      <c r="M9" s="2194"/>
      <c r="N9" s="984"/>
      <c r="O9" s="2194"/>
      <c r="P9" s="984"/>
      <c r="Q9" s="2194"/>
      <c r="R9" s="984"/>
      <c r="S9" s="2194"/>
      <c r="T9" s="984"/>
      <c r="U9" s="2194"/>
      <c r="V9" s="984"/>
      <c r="W9" s="2194"/>
      <c r="X9" s="2195"/>
      <c r="Y9" s="2194"/>
      <c r="Z9" s="984"/>
      <c r="AA9" s="2194"/>
      <c r="AB9" s="984"/>
      <c r="AC9" s="2186" t="s">
        <v>1899</v>
      </c>
      <c r="AD9" s="14" t="s">
        <v>1900</v>
      </c>
      <c r="AE9" s="1301"/>
      <c r="AF9" s="14" t="s">
        <v>1901</v>
      </c>
      <c r="AG9" s="1301"/>
      <c r="AH9" s="14" t="s">
        <v>1900</v>
      </c>
      <c r="AI9" s="1301"/>
      <c r="AJ9" s="14" t="s">
        <v>1901</v>
      </c>
      <c r="AK9" s="1301"/>
      <c r="AL9" s="14" t="s">
        <v>1900</v>
      </c>
      <c r="AM9" s="1301"/>
      <c r="AN9" s="14" t="s">
        <v>1901</v>
      </c>
      <c r="AO9" s="1301"/>
      <c r="AP9" s="14" t="s">
        <v>1900</v>
      </c>
      <c r="AQ9" s="1301"/>
      <c r="AR9" s="14" t="s">
        <v>1901</v>
      </c>
      <c r="AS9" s="2196"/>
      <c r="AT9" s="2185"/>
      <c r="AU9" s="2185" t="s">
        <v>1902</v>
      </c>
      <c r="AV9" s="1295"/>
      <c r="AW9" s="2168"/>
      <c r="AX9" s="1295"/>
      <c r="AY9" s="27"/>
      <c r="AZ9" s="27" t="s">
        <v>1892</v>
      </c>
      <c r="BA9" s="2197" t="s">
        <v>1903</v>
      </c>
      <c r="BB9" s="2198"/>
      <c r="BC9" s="1341"/>
      <c r="BD9" s="1341"/>
      <c r="BE9" s="1341"/>
      <c r="BF9" s="1341"/>
      <c r="BG9" s="1341"/>
      <c r="BH9" s="1341"/>
      <c r="BI9" s="1341"/>
      <c r="BJ9" s="1341"/>
      <c r="BK9" s="2199"/>
      <c r="BL9" s="14" t="s">
        <v>1904</v>
      </c>
      <c r="BM9" s="1822"/>
      <c r="BN9" s="2188"/>
      <c r="BO9" s="1822"/>
      <c r="BP9" s="1822"/>
      <c r="BQ9" s="1822"/>
      <c r="BR9" s="1822"/>
      <c r="BS9" s="1822"/>
      <c r="BT9" s="25"/>
    </row>
    <row r="10" spans="1:72" s="2192" customFormat="1" ht="12.75">
      <c r="A10" s="2185"/>
      <c r="B10" s="2185"/>
      <c r="C10" s="2185"/>
      <c r="D10" s="2185"/>
      <c r="E10" s="2185"/>
      <c r="F10" s="2185"/>
      <c r="G10" s="1295"/>
      <c r="H10" s="27"/>
      <c r="I10" s="2194" t="s">
        <v>6</v>
      </c>
      <c r="J10" s="984"/>
      <c r="K10" s="2200"/>
      <c r="L10" s="984"/>
      <c r="M10" s="2200"/>
      <c r="N10" s="984"/>
      <c r="O10" s="2200"/>
      <c r="P10" s="984"/>
      <c r="Q10" s="2200"/>
      <c r="R10" s="984"/>
      <c r="S10" s="2200"/>
      <c r="T10" s="984"/>
      <c r="U10" s="2200"/>
      <c r="V10" s="984"/>
      <c r="W10" s="2200"/>
      <c r="X10" s="984"/>
      <c r="Y10" s="2200"/>
      <c r="Z10" s="984"/>
      <c r="AA10" s="2200"/>
      <c r="AB10" s="984"/>
      <c r="AC10" s="1295"/>
      <c r="AD10" s="14" t="s">
        <v>1905</v>
      </c>
      <c r="AE10" s="2201"/>
      <c r="AF10" s="14" t="s">
        <v>1905</v>
      </c>
      <c r="AG10" s="2201"/>
      <c r="AH10" s="14" t="s">
        <v>1906</v>
      </c>
      <c r="AI10" s="2201"/>
      <c r="AJ10" s="14" t="s">
        <v>1906</v>
      </c>
      <c r="AK10" s="2201"/>
      <c r="AL10" s="14" t="s">
        <v>1907</v>
      </c>
      <c r="AM10" s="1301"/>
      <c r="AN10" s="14" t="s">
        <v>1907</v>
      </c>
      <c r="AO10" s="1301"/>
      <c r="AP10" s="14" t="s">
        <v>1908</v>
      </c>
      <c r="AQ10" s="1301"/>
      <c r="AR10" s="14" t="s">
        <v>1908</v>
      </c>
      <c r="AS10" s="1301"/>
      <c r="AT10" s="2185"/>
      <c r="AU10" s="2185"/>
      <c r="AV10" s="1295"/>
      <c r="AW10" s="2168"/>
      <c r="AX10" s="1295"/>
      <c r="AY10" s="27"/>
      <c r="AZ10" s="27"/>
      <c r="BA10" s="2202" t="s">
        <v>1899</v>
      </c>
      <c r="BB10" s="2203" t="str">
        <f>I9</f>
        <v>地上</v>
      </c>
      <c r="BC10" s="28">
        <f>K9</f>
        <v>0</v>
      </c>
      <c r="BD10" s="28">
        <f>M9</f>
        <v>0</v>
      </c>
      <c r="BE10" s="28">
        <f>O9</f>
        <v>0</v>
      </c>
      <c r="BF10" s="28">
        <f>Q9</f>
        <v>0</v>
      </c>
      <c r="BG10" s="28">
        <f>S9</f>
        <v>0</v>
      </c>
      <c r="BH10" s="28">
        <f>U9</f>
        <v>0</v>
      </c>
      <c r="BI10" s="28">
        <f>W9</f>
        <v>0</v>
      </c>
      <c r="BJ10" s="28">
        <f>Y9</f>
        <v>0</v>
      </c>
      <c r="BK10" s="28">
        <f>AA9</f>
        <v>0</v>
      </c>
      <c r="BL10" s="24" t="s">
        <v>1899</v>
      </c>
      <c r="BM10" s="1821" t="str">
        <f>AD9</f>
        <v>地上</v>
      </c>
      <c r="BN10" s="28" t="str">
        <f>AF9</f>
        <v>地下</v>
      </c>
      <c r="BO10" s="1821" t="str">
        <f>AH9</f>
        <v>地上</v>
      </c>
      <c r="BP10" s="28" t="str">
        <f>AJ9</f>
        <v>地下</v>
      </c>
      <c r="BQ10" s="1821" t="str">
        <f>AL9</f>
        <v>地上</v>
      </c>
      <c r="BR10" s="28" t="str">
        <f>AN9</f>
        <v>地下</v>
      </c>
      <c r="BS10" s="1821" t="str">
        <f>AP9</f>
        <v>地上</v>
      </c>
      <c r="BT10" s="2204" t="str">
        <f>AR9</f>
        <v>地下</v>
      </c>
    </row>
    <row r="11" spans="1:72" s="2192" customFormat="1" ht="12.75">
      <c r="A11" s="2185"/>
      <c r="B11" s="2185"/>
      <c r="C11" s="2185"/>
      <c r="D11" s="2185"/>
      <c r="E11" s="2185"/>
      <c r="F11" s="2185"/>
      <c r="G11" s="1295"/>
      <c r="H11" s="2202"/>
      <c r="I11" s="2205" t="s">
        <v>3059</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1909</v>
      </c>
      <c r="AE11" s="1823"/>
      <c r="AF11" s="2207" t="s">
        <v>1909</v>
      </c>
      <c r="AG11" s="1823"/>
      <c r="AH11" s="2207" t="s">
        <v>1910</v>
      </c>
      <c r="AI11" s="2208"/>
      <c r="AJ11" s="2207" t="s">
        <v>1910</v>
      </c>
      <c r="AK11" s="1823"/>
      <c r="AL11" s="1821"/>
      <c r="AM11" s="1823"/>
      <c r="AN11" s="1821"/>
      <c r="AO11" s="1823"/>
      <c r="AP11" s="1821"/>
      <c r="AQ11" s="1823"/>
      <c r="AR11" s="1821"/>
      <c r="AS11" s="1823"/>
      <c r="AT11" s="2168"/>
      <c r="AU11" s="2185"/>
      <c r="AV11" s="1295"/>
      <c r="AW11" s="2168"/>
      <c r="AX11" s="1295"/>
      <c r="AY11" s="27"/>
      <c r="AZ11" s="27"/>
      <c r="BA11" s="27"/>
      <c r="BB11" s="2190" t="str">
        <f>I10</f>
        <v>工业</v>
      </c>
      <c r="BC11" s="2190">
        <f>K10</f>
        <v>0</v>
      </c>
      <c r="BD11" s="2190">
        <f>M10</f>
        <v>0</v>
      </c>
      <c r="BE11" s="2190">
        <f>O10</f>
        <v>0</v>
      </c>
      <c r="BF11" s="2190">
        <f>Q10</f>
        <v>0</v>
      </c>
      <c r="BG11" s="2190">
        <f>S10</f>
        <v>0</v>
      </c>
      <c r="BH11" s="2190">
        <f>U10</f>
        <v>0</v>
      </c>
      <c r="BI11" s="2190">
        <f>W10</f>
        <v>0</v>
      </c>
      <c r="BJ11" s="2190">
        <f>Y10</f>
        <v>0</v>
      </c>
      <c r="BK11" s="2190">
        <f>AA10</f>
        <v>0</v>
      </c>
      <c r="BL11" s="1295"/>
      <c r="BM11" s="1821" t="str">
        <f>AD10</f>
        <v>公共配套设施</v>
      </c>
      <c r="BN11" s="1821" t="str">
        <f>AF10</f>
        <v>公共配套设施</v>
      </c>
      <c r="BO11" s="23" t="str">
        <f>AH10</f>
        <v>物业管理用房</v>
      </c>
      <c r="BP11" s="23" t="str">
        <f>AJ10</f>
        <v>物业管理用房</v>
      </c>
      <c r="BQ11" s="23" t="str">
        <f>AL10</f>
        <v>设备及其他</v>
      </c>
      <c r="BR11" s="23" t="str">
        <f>AN10</f>
        <v>设备及其他</v>
      </c>
      <c r="BS11" s="24" t="str">
        <f>AP10</f>
        <v>未注明</v>
      </c>
      <c r="BT11" s="2209" t="str">
        <f>AR10</f>
        <v>未注明</v>
      </c>
    </row>
    <row r="12" spans="1:72" s="2170" customFormat="1" ht="12.75">
      <c r="A12" s="2210"/>
      <c r="B12" s="2210"/>
      <c r="C12" s="2210"/>
      <c r="D12" s="2210"/>
      <c r="E12" s="2210"/>
      <c r="F12" s="2210"/>
      <c r="G12" s="29"/>
      <c r="H12" s="2211"/>
      <c r="I12" s="1810"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6" t="s">
        <v>1912</v>
      </c>
      <c r="W12" s="11" t="s">
        <v>1911</v>
      </c>
      <c r="X12" s="11" t="s">
        <v>1912</v>
      </c>
      <c r="Y12" s="11" t="s">
        <v>1911</v>
      </c>
      <c r="Z12" s="11" t="s">
        <v>1912</v>
      </c>
      <c r="AA12" s="11" t="s">
        <v>1911</v>
      </c>
      <c r="AB12" s="11" t="s">
        <v>1912</v>
      </c>
      <c r="AC12" s="2212"/>
      <c r="AD12" s="1810"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29" t="s">
        <v>1911</v>
      </c>
      <c r="AS12" s="2210" t="s">
        <v>1912</v>
      </c>
      <c r="AT12" s="2213"/>
      <c r="AU12" s="2210"/>
      <c r="AV12" s="30"/>
      <c r="AW12" s="2169"/>
      <c r="AX12" s="30"/>
      <c r="AY12" s="2214"/>
      <c r="AZ12" s="27"/>
      <c r="BA12" s="2202"/>
      <c r="BB12" s="23" t="str">
        <f>I11</f>
        <v>办公楼</v>
      </c>
      <c r="BC12" s="2215">
        <f>K11</f>
        <v>0</v>
      </c>
      <c r="BD12" s="2215">
        <f>M11</f>
        <v>0</v>
      </c>
      <c r="BE12" s="2190">
        <f>O11</f>
        <v>0</v>
      </c>
      <c r="BF12" s="2190">
        <f>Q11</f>
        <v>0</v>
      </c>
      <c r="BG12" s="2190">
        <f>S11</f>
        <v>0</v>
      </c>
      <c r="BH12" s="2190">
        <f>U11</f>
        <v>0</v>
      </c>
      <c r="BI12" s="2190">
        <f>W11</f>
        <v>0</v>
      </c>
      <c r="BJ12" s="2190">
        <f>Y11</f>
        <v>0</v>
      </c>
      <c r="BK12" s="2190">
        <f>AA11</f>
        <v>0</v>
      </c>
      <c r="BL12" s="1295"/>
      <c r="BM12" s="1821" t="str">
        <f>AD11</f>
        <v>（住宅）</v>
      </c>
      <c r="BN12" s="1821" t="str">
        <f>AF11</f>
        <v>（住宅）</v>
      </c>
      <c r="BO12" s="23" t="str">
        <f>AH11</f>
        <v>（住宅、计出让金）</v>
      </c>
      <c r="BP12" s="23" t="str">
        <f>AJ11</f>
        <v>（住宅、计出让金）</v>
      </c>
      <c r="BQ12" s="23">
        <f>AL11</f>
        <v>0</v>
      </c>
      <c r="BR12" s="23">
        <f>AN11</f>
        <v>0</v>
      </c>
      <c r="BS12" s="24">
        <f>AP11</f>
        <v>0</v>
      </c>
      <c r="BT12" s="2209">
        <f>AR11</f>
        <v>0</v>
      </c>
    </row>
    <row r="13" spans="1:72" s="2170" customFormat="1" ht="12.75">
      <c r="A13" s="1275"/>
      <c r="B13" s="1275"/>
      <c r="C13" s="3030" t="s">
        <v>3234</v>
      </c>
      <c r="D13" s="2216" t="s">
        <v>3047</v>
      </c>
      <c r="E13" s="15">
        <f>IF($C$3="是",ROUND($A$3*G13/$B$3,2),ROUND($A$3*(G13-AT13)/$B$3,2))</f>
        <v>41839.589999999997</v>
      </c>
      <c r="F13" s="31"/>
      <c r="G13" s="32">
        <f>H13+AC13+AT13</f>
        <v>27877.57</v>
      </c>
      <c r="H13" s="19">
        <f>SUMIF(I$12:AB$12,"总值",I13:AB13)</f>
        <v>27877.57</v>
      </c>
      <c r="I13" s="2217">
        <f>面积整理!D44</f>
        <v>27877.57</v>
      </c>
      <c r="J13" s="2217"/>
      <c r="K13" s="2217"/>
      <c r="L13" s="2217"/>
      <c r="M13" s="2217"/>
      <c r="N13" s="2217"/>
      <c r="O13" s="2217"/>
      <c r="P13" s="2217"/>
      <c r="Q13" s="2217"/>
      <c r="R13" s="2217"/>
      <c r="S13" s="2217"/>
      <c r="T13" s="2217"/>
      <c r="U13" s="2217"/>
      <c r="V13" s="2217"/>
      <c r="W13" s="2217"/>
      <c r="X13" s="2217"/>
      <c r="Y13" s="2217"/>
      <c r="Z13" s="2217"/>
      <c r="AA13" s="2217"/>
      <c r="AB13" s="2217"/>
      <c r="AC13" s="15">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凯富大厦</v>
      </c>
      <c r="AY13" s="1810">
        <f>ROUND($AY$6*AZ13/$AZ$5,2)</f>
        <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70" customFormat="1" ht="12.75">
      <c r="A14" s="1275"/>
      <c r="B14" s="1275"/>
      <c r="C14" s="3031" t="s">
        <v>3235</v>
      </c>
      <c r="D14" s="2216" t="s">
        <v>3233</v>
      </c>
      <c r="E14" s="15">
        <f>IF($C$3="是",ROUND($A$3*G14/$B$3,2),ROUND($A$3*(G14-AT14)/$B$3,2))</f>
        <v>38167.26</v>
      </c>
      <c r="F14" s="31"/>
      <c r="G14" s="32">
        <f>H14+AC14+AT14</f>
        <v>25430.71</v>
      </c>
      <c r="H14" s="19">
        <f>SUMIF(I$12:AB$12,"总值",I14:AB14)</f>
        <v>25430.71</v>
      </c>
      <c r="I14" s="2217">
        <f>面积整理!D45-'数据-基础表'!I13</f>
        <v>25430.71</v>
      </c>
      <c r="J14" s="2217"/>
      <c r="K14" s="2217"/>
      <c r="L14" s="2217"/>
      <c r="M14" s="2217"/>
      <c r="N14" s="2217"/>
      <c r="O14" s="2217"/>
      <c r="P14" s="2217"/>
      <c r="Q14" s="2217"/>
      <c r="R14" s="2217"/>
      <c r="S14" s="2217"/>
      <c r="T14" s="2217"/>
      <c r="U14" s="2217"/>
      <c r="V14" s="2217"/>
      <c r="W14" s="2217"/>
      <c r="X14" s="2217"/>
      <c r="Y14" s="2217"/>
      <c r="Z14" s="2217"/>
      <c r="AA14" s="2217"/>
      <c r="AB14" s="2217"/>
      <c r="AC14" s="15">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办公</v>
      </c>
      <c r="AY14" s="1810">
        <f>ROUND($AY$6*AZ14/$AZ$5,2)</f>
        <v>38167.26</v>
      </c>
      <c r="AZ14" s="15">
        <f>BA14+BL14</f>
        <v>25430.71</v>
      </c>
      <c r="BA14" s="15">
        <f>SUM(BB14:BK14)</f>
        <v>25430.71</v>
      </c>
      <c r="BB14" s="15">
        <f>IF($D14="是",I14-J14,0)</f>
        <v>25430.71</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70" customFormat="1" ht="12.75">
      <c r="A15" s="1275"/>
      <c r="B15" s="1275"/>
      <c r="C15" s="3031" t="s">
        <v>3236</v>
      </c>
      <c r="D15" s="2216" t="s">
        <v>3047</v>
      </c>
      <c r="E15" s="15">
        <f>IF($C$3="是",ROUND($A$3*G15/$B$3,2),ROUND($A$3*(G15-AT15)/$B$3,2))</f>
        <v>25750.74</v>
      </c>
      <c r="F15" s="31"/>
      <c r="G15" s="32">
        <f>H15+AC15+AT15</f>
        <v>17157.630000000005</v>
      </c>
      <c r="H15" s="19">
        <f>SUMIF(I$12:AB$12,"总值",I15:AB15)</f>
        <v>17157.630000000005</v>
      </c>
      <c r="I15" s="2217">
        <f>面积表!D27-'数据-基础表'!I13-'数据-基础表'!I14</f>
        <v>17157.630000000005</v>
      </c>
      <c r="J15" s="2217"/>
      <c r="K15" s="2217"/>
      <c r="L15" s="2217"/>
      <c r="M15" s="2217"/>
      <c r="N15" s="2217"/>
      <c r="O15" s="2217"/>
      <c r="P15" s="2217"/>
      <c r="Q15" s="2217"/>
      <c r="R15" s="2217"/>
      <c r="S15" s="2217"/>
      <c r="T15" s="2217"/>
      <c r="U15" s="2217"/>
      <c r="V15" s="2217"/>
      <c r="W15" s="2217"/>
      <c r="X15" s="2217"/>
      <c r="Y15" s="2217"/>
      <c r="Z15" s="2217"/>
      <c r="AA15" s="2217"/>
      <c r="AB15" s="2217"/>
      <c r="AC15" s="15">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t="str">
        <f t="shared" si="6"/>
        <v>其他</v>
      </c>
      <c r="AY15" s="1810">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70" customFormat="1" ht="12.75">
      <c r="A16" s="1275"/>
      <c r="B16" s="1275"/>
      <c r="C16" s="2156"/>
      <c r="D16" s="2216"/>
      <c r="E16" s="15">
        <f>IF($C$3="是",ROUND($A$3*G16/$B$3,2),ROUND($A$3*(G16-AT16)/$B$3,2))</f>
        <v>0</v>
      </c>
      <c r="F16" s="31"/>
      <c r="G16" s="32">
        <f>H16+AC16+AT16</f>
        <v>0</v>
      </c>
      <c r="H16" s="19">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5">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10">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70" customFormat="1" ht="12.75">
      <c r="A17" s="1275"/>
      <c r="B17" s="1275"/>
      <c r="C17" s="2156"/>
      <c r="D17" s="2216"/>
      <c r="E17" s="15">
        <f>IF($C$3="是",ROUND($A$3*G17/$B$3,2),ROUND($A$3*(G17-AT17)/$B$3,2))</f>
        <v>0</v>
      </c>
      <c r="F17" s="31"/>
      <c r="G17" s="32">
        <f>H17+AC17+AT17</f>
        <v>0</v>
      </c>
      <c r="H17" s="19">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5">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10">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2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22"/>
      <c r="AV18" s="1799">
        <f t="shared" ref="AV18:AV112" si="11">A18</f>
        <v>0</v>
      </c>
      <c r="AW18" s="1799">
        <f t="shared" ref="AW18:AW112" si="12">B18</f>
        <v>0</v>
      </c>
      <c r="AX18" s="1799">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2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22"/>
      <c r="AV19" s="1799">
        <f t="shared" si="11"/>
        <v>0</v>
      </c>
      <c r="AW19" s="1799">
        <f t="shared" si="12"/>
        <v>0</v>
      </c>
      <c r="AX19" s="1799">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2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22"/>
      <c r="AV20" s="1799">
        <f t="shared" si="11"/>
        <v>0</v>
      </c>
      <c r="AW20" s="1799">
        <f t="shared" si="12"/>
        <v>0</v>
      </c>
      <c r="AX20" s="1799">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2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22"/>
      <c r="AV21" s="1799">
        <f t="shared" si="11"/>
        <v>0</v>
      </c>
      <c r="AW21" s="1799">
        <f t="shared" si="12"/>
        <v>0</v>
      </c>
      <c r="AX21" s="1799">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2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22"/>
      <c r="AV22" s="1799">
        <f t="shared" si="11"/>
        <v>0</v>
      </c>
      <c r="AW22" s="1799">
        <f t="shared" si="12"/>
        <v>0</v>
      </c>
      <c r="AX22" s="1799">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2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22"/>
      <c r="AV23" s="1799">
        <f t="shared" si="11"/>
        <v>0</v>
      </c>
      <c r="AW23" s="1799">
        <f t="shared" si="12"/>
        <v>0</v>
      </c>
      <c r="AX23" s="1799">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2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22"/>
      <c r="AV24" s="1799">
        <f t="shared" si="11"/>
        <v>0</v>
      </c>
      <c r="AW24" s="1799">
        <f t="shared" si="12"/>
        <v>0</v>
      </c>
      <c r="AX24" s="1799">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2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22"/>
      <c r="AV25" s="1799">
        <f t="shared" si="11"/>
        <v>0</v>
      </c>
      <c r="AW25" s="1799">
        <f t="shared" si="12"/>
        <v>0</v>
      </c>
      <c r="AX25" s="1799">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2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22"/>
      <c r="AV26" s="1799">
        <f t="shared" si="11"/>
        <v>0</v>
      </c>
      <c r="AW26" s="1799">
        <f t="shared" si="12"/>
        <v>0</v>
      </c>
      <c r="AX26" s="1799">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2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22"/>
      <c r="AV27" s="1799">
        <f t="shared" si="11"/>
        <v>0</v>
      </c>
      <c r="AW27" s="1799">
        <f t="shared" si="12"/>
        <v>0</v>
      </c>
      <c r="AX27" s="1799">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2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22"/>
      <c r="AV28" s="1799">
        <f t="shared" si="11"/>
        <v>0</v>
      </c>
      <c r="AW28" s="1799">
        <f t="shared" si="12"/>
        <v>0</v>
      </c>
      <c r="AX28" s="1799">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2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22"/>
      <c r="AV29" s="1799">
        <f t="shared" si="11"/>
        <v>0</v>
      </c>
      <c r="AW29" s="1799">
        <f t="shared" si="12"/>
        <v>0</v>
      </c>
      <c r="AX29" s="1799">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2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22"/>
      <c r="AV30" s="1799">
        <f t="shared" si="11"/>
        <v>0</v>
      </c>
      <c r="AW30" s="1799">
        <f t="shared" si="12"/>
        <v>0</v>
      </c>
      <c r="AX30" s="1799">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2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22"/>
      <c r="AV31" s="1799">
        <f t="shared" si="11"/>
        <v>0</v>
      </c>
      <c r="AW31" s="1799">
        <f t="shared" si="12"/>
        <v>0</v>
      </c>
      <c r="AX31" s="1799">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2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22"/>
      <c r="AV32" s="1799">
        <f t="shared" si="11"/>
        <v>0</v>
      </c>
      <c r="AW32" s="1799">
        <f t="shared" si="12"/>
        <v>0</v>
      </c>
      <c r="AX32" s="1799">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2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22"/>
      <c r="AV33" s="1799">
        <f t="shared" si="11"/>
        <v>0</v>
      </c>
      <c r="AW33" s="1799">
        <f t="shared" si="12"/>
        <v>0</v>
      </c>
      <c r="AX33" s="1799">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2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22"/>
      <c r="AV34" s="1799">
        <f t="shared" si="11"/>
        <v>0</v>
      </c>
      <c r="AW34" s="1799">
        <f t="shared" si="12"/>
        <v>0</v>
      </c>
      <c r="AX34" s="1799">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2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22"/>
      <c r="AV35" s="1799">
        <f t="shared" si="11"/>
        <v>0</v>
      </c>
      <c r="AW35" s="1799">
        <f t="shared" si="12"/>
        <v>0</v>
      </c>
      <c r="AX35" s="1799">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2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22"/>
      <c r="AV36" s="1799">
        <f t="shared" si="11"/>
        <v>0</v>
      </c>
      <c r="AW36" s="1799">
        <f t="shared" si="12"/>
        <v>0</v>
      </c>
      <c r="AX36" s="1799">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2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22"/>
      <c r="AV37" s="1799">
        <f t="shared" si="11"/>
        <v>0</v>
      </c>
      <c r="AW37" s="1799">
        <f t="shared" si="12"/>
        <v>0</v>
      </c>
      <c r="AX37" s="1799">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2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22"/>
      <c r="AV38" s="1799">
        <f t="shared" si="11"/>
        <v>0</v>
      </c>
      <c r="AW38" s="1799">
        <f t="shared" si="12"/>
        <v>0</v>
      </c>
      <c r="AX38" s="1799">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2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22"/>
      <c r="AV39" s="1799">
        <f t="shared" si="11"/>
        <v>0</v>
      </c>
      <c r="AW39" s="1799">
        <f t="shared" si="12"/>
        <v>0</v>
      </c>
      <c r="AX39" s="1799">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2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22"/>
      <c r="AV40" s="1799">
        <f t="shared" si="11"/>
        <v>0</v>
      </c>
      <c r="AW40" s="1799">
        <f t="shared" si="12"/>
        <v>0</v>
      </c>
      <c r="AX40" s="1799">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2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22"/>
      <c r="AV41" s="1799">
        <f t="shared" si="11"/>
        <v>0</v>
      </c>
      <c r="AW41" s="1799">
        <f t="shared" si="12"/>
        <v>0</v>
      </c>
      <c r="AX41" s="1799">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2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22"/>
      <c r="AV42" s="1799">
        <f t="shared" si="11"/>
        <v>0</v>
      </c>
      <c r="AW42" s="1799">
        <f t="shared" si="12"/>
        <v>0</v>
      </c>
      <c r="AX42" s="1799">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2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22"/>
      <c r="AV43" s="1799">
        <f t="shared" si="11"/>
        <v>0</v>
      </c>
      <c r="AW43" s="1799">
        <f t="shared" si="12"/>
        <v>0</v>
      </c>
      <c r="AX43" s="1799">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2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22"/>
      <c r="AV44" s="1799">
        <f t="shared" si="11"/>
        <v>0</v>
      </c>
      <c r="AW44" s="1799">
        <f t="shared" si="12"/>
        <v>0</v>
      </c>
      <c r="AX44" s="1799">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2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22"/>
      <c r="AV45" s="1799">
        <f t="shared" si="11"/>
        <v>0</v>
      </c>
      <c r="AW45" s="1799">
        <f t="shared" si="12"/>
        <v>0</v>
      </c>
      <c r="AX45" s="1799">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2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22"/>
      <c r="AV46" s="1799">
        <f t="shared" si="11"/>
        <v>0</v>
      </c>
      <c r="AW46" s="1799">
        <f t="shared" si="12"/>
        <v>0</v>
      </c>
      <c r="AX46" s="1799">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2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22"/>
      <c r="AV47" s="1799">
        <f t="shared" si="11"/>
        <v>0</v>
      </c>
      <c r="AW47" s="1799">
        <f t="shared" si="12"/>
        <v>0</v>
      </c>
      <c r="AX47" s="1799">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2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22"/>
      <c r="AV48" s="1799">
        <f t="shared" si="11"/>
        <v>0</v>
      </c>
      <c r="AW48" s="1799">
        <f t="shared" si="12"/>
        <v>0</v>
      </c>
      <c r="AX48" s="1799">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2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22"/>
      <c r="AV49" s="1799">
        <f t="shared" si="11"/>
        <v>0</v>
      </c>
      <c r="AW49" s="1799">
        <f t="shared" si="12"/>
        <v>0</v>
      </c>
      <c r="AX49" s="1799">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2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22"/>
      <c r="AV50" s="1799">
        <f t="shared" si="11"/>
        <v>0</v>
      </c>
      <c r="AW50" s="1799">
        <f t="shared" si="12"/>
        <v>0</v>
      </c>
      <c r="AX50" s="1799">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2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22"/>
      <c r="AV51" s="1799">
        <f t="shared" si="11"/>
        <v>0</v>
      </c>
      <c r="AW51" s="1799">
        <f t="shared" si="12"/>
        <v>0</v>
      </c>
      <c r="AX51" s="1799">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2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22"/>
      <c r="AV52" s="1799">
        <f t="shared" si="11"/>
        <v>0</v>
      </c>
      <c r="AW52" s="1799">
        <f t="shared" si="12"/>
        <v>0</v>
      </c>
      <c r="AX52" s="1799">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2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22"/>
      <c r="AV53" s="1799">
        <f t="shared" si="11"/>
        <v>0</v>
      </c>
      <c r="AW53" s="1799">
        <f t="shared" si="12"/>
        <v>0</v>
      </c>
      <c r="AX53" s="1799">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2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22"/>
      <c r="AV54" s="1799">
        <f t="shared" si="11"/>
        <v>0</v>
      </c>
      <c r="AW54" s="1799">
        <f t="shared" si="12"/>
        <v>0</v>
      </c>
      <c r="AX54" s="1799">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2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22"/>
      <c r="AV55" s="1799">
        <f t="shared" si="11"/>
        <v>0</v>
      </c>
      <c r="AW55" s="1799">
        <f t="shared" si="12"/>
        <v>0</v>
      </c>
      <c r="AX55" s="1799">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2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22"/>
      <c r="AV56" s="1799">
        <f t="shared" si="11"/>
        <v>0</v>
      </c>
      <c r="AW56" s="1799">
        <f t="shared" si="12"/>
        <v>0</v>
      </c>
      <c r="AX56" s="1799">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2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22"/>
      <c r="AV57" s="1799">
        <f t="shared" si="11"/>
        <v>0</v>
      </c>
      <c r="AW57" s="1799">
        <f t="shared" si="12"/>
        <v>0</v>
      </c>
      <c r="AX57" s="1799">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2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22"/>
      <c r="AV58" s="1799">
        <f t="shared" si="11"/>
        <v>0</v>
      </c>
      <c r="AW58" s="1799">
        <f t="shared" si="12"/>
        <v>0</v>
      </c>
      <c r="AX58" s="1799">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2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22"/>
      <c r="AV59" s="1799">
        <f t="shared" si="11"/>
        <v>0</v>
      </c>
      <c r="AW59" s="1799">
        <f t="shared" si="12"/>
        <v>0</v>
      </c>
      <c r="AX59" s="1799">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2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22"/>
      <c r="AV60" s="1799">
        <f t="shared" si="11"/>
        <v>0</v>
      </c>
      <c r="AW60" s="1799">
        <f t="shared" si="12"/>
        <v>0</v>
      </c>
      <c r="AX60" s="1799">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2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22"/>
      <c r="AV61" s="1799">
        <f t="shared" si="11"/>
        <v>0</v>
      </c>
      <c r="AW61" s="1799">
        <f t="shared" si="12"/>
        <v>0</v>
      </c>
      <c r="AX61" s="1799">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2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22"/>
      <c r="AV62" s="1799">
        <f t="shared" si="11"/>
        <v>0</v>
      </c>
      <c r="AW62" s="1799">
        <f t="shared" si="12"/>
        <v>0</v>
      </c>
      <c r="AX62" s="1799">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2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22"/>
      <c r="AV63" s="1799">
        <f t="shared" si="11"/>
        <v>0</v>
      </c>
      <c r="AW63" s="1799">
        <f t="shared" si="12"/>
        <v>0</v>
      </c>
      <c r="AX63" s="1799">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2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22"/>
      <c r="AV64" s="1799">
        <f t="shared" si="11"/>
        <v>0</v>
      </c>
      <c r="AW64" s="1799">
        <f t="shared" si="12"/>
        <v>0</v>
      </c>
      <c r="AX64" s="1799">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2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22"/>
      <c r="AV65" s="1799">
        <f t="shared" si="11"/>
        <v>0</v>
      </c>
      <c r="AW65" s="1799">
        <f t="shared" si="12"/>
        <v>0</v>
      </c>
      <c r="AX65" s="1799">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2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22"/>
      <c r="AV66" s="1799">
        <f t="shared" si="11"/>
        <v>0</v>
      </c>
      <c r="AW66" s="1799">
        <f t="shared" si="12"/>
        <v>0</v>
      </c>
      <c r="AX66" s="1799">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2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22"/>
      <c r="AV67" s="1799">
        <f t="shared" si="11"/>
        <v>0</v>
      </c>
      <c r="AW67" s="1799">
        <f t="shared" si="12"/>
        <v>0</v>
      </c>
      <c r="AX67" s="1799">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2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22"/>
      <c r="AV68" s="1799">
        <f t="shared" si="11"/>
        <v>0</v>
      </c>
      <c r="AW68" s="1799">
        <f t="shared" si="12"/>
        <v>0</v>
      </c>
      <c r="AX68" s="1799">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2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22"/>
      <c r="AV69" s="1799">
        <f t="shared" si="11"/>
        <v>0</v>
      </c>
      <c r="AW69" s="1799">
        <f t="shared" si="12"/>
        <v>0</v>
      </c>
      <c r="AX69" s="1799">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2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22"/>
      <c r="AV70" s="1799">
        <f t="shared" si="11"/>
        <v>0</v>
      </c>
      <c r="AW70" s="1799">
        <f t="shared" si="12"/>
        <v>0</v>
      </c>
      <c r="AX70" s="1799">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2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22"/>
      <c r="AV71" s="1799">
        <f t="shared" si="11"/>
        <v>0</v>
      </c>
      <c r="AW71" s="1799">
        <f t="shared" si="12"/>
        <v>0</v>
      </c>
      <c r="AX71" s="1799">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2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22"/>
      <c r="AV72" s="1799">
        <f t="shared" si="11"/>
        <v>0</v>
      </c>
      <c r="AW72" s="1799">
        <f t="shared" si="12"/>
        <v>0</v>
      </c>
      <c r="AX72" s="1799">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2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22"/>
      <c r="AV73" s="1799">
        <f t="shared" si="11"/>
        <v>0</v>
      </c>
      <c r="AW73" s="1799">
        <f t="shared" si="12"/>
        <v>0</v>
      </c>
      <c r="AX73" s="1799">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2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22"/>
      <c r="AV74" s="1799">
        <f t="shared" si="11"/>
        <v>0</v>
      </c>
      <c r="AW74" s="1799">
        <f t="shared" si="12"/>
        <v>0</v>
      </c>
      <c r="AX74" s="1799">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2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22"/>
      <c r="AV75" s="1799">
        <f t="shared" si="11"/>
        <v>0</v>
      </c>
      <c r="AW75" s="1799">
        <f t="shared" si="12"/>
        <v>0</v>
      </c>
      <c r="AX75" s="1799">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2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22"/>
      <c r="AV76" s="1799">
        <f t="shared" si="11"/>
        <v>0</v>
      </c>
      <c r="AW76" s="1799">
        <f t="shared" si="12"/>
        <v>0</v>
      </c>
      <c r="AX76" s="1799">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2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22"/>
      <c r="AV77" s="1799">
        <f t="shared" si="11"/>
        <v>0</v>
      </c>
      <c r="AW77" s="1799">
        <f t="shared" si="12"/>
        <v>0</v>
      </c>
      <c r="AX77" s="1799">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2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22"/>
      <c r="AV78" s="1799">
        <f t="shared" si="11"/>
        <v>0</v>
      </c>
      <c r="AW78" s="1799">
        <f t="shared" si="12"/>
        <v>0</v>
      </c>
      <c r="AX78" s="1799">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2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22"/>
      <c r="AV79" s="1799">
        <f t="shared" si="11"/>
        <v>0</v>
      </c>
      <c r="AW79" s="1799">
        <f t="shared" si="12"/>
        <v>0</v>
      </c>
      <c r="AX79" s="1799">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2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22"/>
      <c r="AV80" s="1799">
        <f t="shared" si="11"/>
        <v>0</v>
      </c>
      <c r="AW80" s="1799">
        <f t="shared" si="12"/>
        <v>0</v>
      </c>
      <c r="AX80" s="1799">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2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22"/>
      <c r="AV81" s="1799">
        <f t="shared" si="11"/>
        <v>0</v>
      </c>
      <c r="AW81" s="1799">
        <f t="shared" si="12"/>
        <v>0</v>
      </c>
      <c r="AX81" s="1799">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2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22"/>
      <c r="AV82" s="1799">
        <f t="shared" si="11"/>
        <v>0</v>
      </c>
      <c r="AW82" s="1799">
        <f t="shared" si="12"/>
        <v>0</v>
      </c>
      <c r="AX82" s="1799">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2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22"/>
      <c r="AV83" s="1799">
        <f t="shared" si="11"/>
        <v>0</v>
      </c>
      <c r="AW83" s="1799">
        <f t="shared" si="12"/>
        <v>0</v>
      </c>
      <c r="AX83" s="1799">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2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22"/>
      <c r="AV84" s="1799">
        <f t="shared" si="11"/>
        <v>0</v>
      </c>
      <c r="AW84" s="1799">
        <f t="shared" si="12"/>
        <v>0</v>
      </c>
      <c r="AX84" s="1799">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2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22"/>
      <c r="AV85" s="1799">
        <f t="shared" si="11"/>
        <v>0</v>
      </c>
      <c r="AW85" s="1799">
        <f t="shared" si="12"/>
        <v>0</v>
      </c>
      <c r="AX85" s="1799">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2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22"/>
      <c r="AV86" s="1799">
        <f t="shared" si="11"/>
        <v>0</v>
      </c>
      <c r="AW86" s="1799">
        <f t="shared" si="12"/>
        <v>0</v>
      </c>
      <c r="AX86" s="1799">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2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22"/>
      <c r="AV87" s="1799">
        <f t="shared" si="11"/>
        <v>0</v>
      </c>
      <c r="AW87" s="1799">
        <f t="shared" si="12"/>
        <v>0</v>
      </c>
      <c r="AX87" s="1799">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2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22"/>
      <c r="AV88" s="1799">
        <f t="shared" si="11"/>
        <v>0</v>
      </c>
      <c r="AW88" s="1799">
        <f t="shared" si="12"/>
        <v>0</v>
      </c>
      <c r="AX88" s="1799">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2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22"/>
      <c r="AV89" s="1799">
        <f t="shared" si="11"/>
        <v>0</v>
      </c>
      <c r="AW89" s="1799">
        <f t="shared" si="12"/>
        <v>0</v>
      </c>
      <c r="AX89" s="1799">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2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22"/>
      <c r="AV90" s="1799">
        <f t="shared" si="11"/>
        <v>0</v>
      </c>
      <c r="AW90" s="1799">
        <f t="shared" si="12"/>
        <v>0</v>
      </c>
      <c r="AX90" s="1799">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2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22"/>
      <c r="AV91" s="1799">
        <f t="shared" si="11"/>
        <v>0</v>
      </c>
      <c r="AW91" s="1799">
        <f t="shared" si="12"/>
        <v>0</v>
      </c>
      <c r="AX91" s="1799">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2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22"/>
      <c r="AV92" s="1799">
        <f t="shared" si="11"/>
        <v>0</v>
      </c>
      <c r="AW92" s="1799">
        <f t="shared" si="12"/>
        <v>0</v>
      </c>
      <c r="AX92" s="1799">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2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22"/>
      <c r="AV93" s="1799">
        <f t="shared" si="11"/>
        <v>0</v>
      </c>
      <c r="AW93" s="1799">
        <f t="shared" si="12"/>
        <v>0</v>
      </c>
      <c r="AX93" s="1799">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2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22"/>
      <c r="AV94" s="1799">
        <f t="shared" si="11"/>
        <v>0</v>
      </c>
      <c r="AW94" s="1799">
        <f t="shared" si="12"/>
        <v>0</v>
      </c>
      <c r="AX94" s="1799">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2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22"/>
      <c r="AV95" s="1799">
        <f t="shared" si="11"/>
        <v>0</v>
      </c>
      <c r="AW95" s="1799">
        <f t="shared" si="12"/>
        <v>0</v>
      </c>
      <c r="AX95" s="1799">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2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22"/>
      <c r="AV96" s="1799">
        <f t="shared" si="11"/>
        <v>0</v>
      </c>
      <c r="AW96" s="1799">
        <f t="shared" si="12"/>
        <v>0</v>
      </c>
      <c r="AX96" s="1799">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2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22"/>
      <c r="AV97" s="1799">
        <f t="shared" si="11"/>
        <v>0</v>
      </c>
      <c r="AW97" s="1799">
        <f t="shared" si="12"/>
        <v>0</v>
      </c>
      <c r="AX97" s="1799">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2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22"/>
      <c r="AV98" s="1799">
        <f t="shared" si="11"/>
        <v>0</v>
      </c>
      <c r="AW98" s="1799">
        <f t="shared" si="12"/>
        <v>0</v>
      </c>
      <c r="AX98" s="1799">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2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22"/>
      <c r="AV99" s="1799">
        <f t="shared" si="11"/>
        <v>0</v>
      </c>
      <c r="AW99" s="1799">
        <f t="shared" si="12"/>
        <v>0</v>
      </c>
      <c r="AX99" s="1799">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2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22"/>
      <c r="AV100" s="1799">
        <f t="shared" si="11"/>
        <v>0</v>
      </c>
      <c r="AW100" s="1799">
        <f t="shared" si="12"/>
        <v>0</v>
      </c>
      <c r="AX100" s="1799">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2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22"/>
      <c r="AV101" s="1799">
        <f t="shared" si="11"/>
        <v>0</v>
      </c>
      <c r="AW101" s="1799">
        <f t="shared" si="12"/>
        <v>0</v>
      </c>
      <c r="AX101" s="1799">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2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22"/>
      <c r="AV102" s="1799">
        <f t="shared" si="11"/>
        <v>0</v>
      </c>
      <c r="AW102" s="1799">
        <f t="shared" si="12"/>
        <v>0</v>
      </c>
      <c r="AX102" s="1799">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2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22"/>
      <c r="AV103" s="1799">
        <f t="shared" si="11"/>
        <v>0</v>
      </c>
      <c r="AW103" s="1799">
        <f t="shared" si="12"/>
        <v>0</v>
      </c>
      <c r="AX103" s="1799">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2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22"/>
      <c r="AV104" s="1799">
        <f t="shared" si="11"/>
        <v>0</v>
      </c>
      <c r="AW104" s="1799">
        <f t="shared" si="12"/>
        <v>0</v>
      </c>
      <c r="AX104" s="1799">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2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22"/>
      <c r="AV105" s="1799">
        <f t="shared" si="11"/>
        <v>0</v>
      </c>
      <c r="AW105" s="1799">
        <f t="shared" si="12"/>
        <v>0</v>
      </c>
      <c r="AX105" s="1799">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2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22"/>
      <c r="AV106" s="1799">
        <f t="shared" si="11"/>
        <v>0</v>
      </c>
      <c r="AW106" s="1799">
        <f t="shared" si="12"/>
        <v>0</v>
      </c>
      <c r="AX106" s="1799">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2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22"/>
      <c r="AV107" s="1799">
        <f t="shared" si="11"/>
        <v>0</v>
      </c>
      <c r="AW107" s="1799">
        <f t="shared" si="12"/>
        <v>0</v>
      </c>
      <c r="AX107" s="1799">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2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22"/>
      <c r="AV108" s="1799">
        <f t="shared" si="11"/>
        <v>0</v>
      </c>
      <c r="AW108" s="1799">
        <f t="shared" si="12"/>
        <v>0</v>
      </c>
      <c r="AX108" s="1799">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2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22"/>
      <c r="AV109" s="1799">
        <f t="shared" si="11"/>
        <v>0</v>
      </c>
      <c r="AW109" s="1799">
        <f t="shared" si="12"/>
        <v>0</v>
      </c>
      <c r="AX109" s="1799">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2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7"/>
      <c r="AV110" s="1799">
        <f t="shared" si="11"/>
        <v>0</v>
      </c>
      <c r="AW110" s="1799">
        <f t="shared" si="12"/>
        <v>0</v>
      </c>
      <c r="AX110" s="1799">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2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7"/>
      <c r="AV111" s="1799">
        <f t="shared" si="11"/>
        <v>0</v>
      </c>
      <c r="AW111" s="1799">
        <f t="shared" si="12"/>
        <v>0</v>
      </c>
      <c r="AX111" s="1799">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2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7"/>
      <c r="AV112" s="1799">
        <f t="shared" si="11"/>
        <v>0</v>
      </c>
      <c r="AW112" s="1799">
        <f t="shared" si="12"/>
        <v>0</v>
      </c>
      <c r="AX112" s="1799">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2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22"/>
      <c r="AV113" s="1799">
        <f t="shared" ref="AV113:AV144" si="62">A113</f>
        <v>0</v>
      </c>
      <c r="AW113" s="1799">
        <f t="shared" ref="AW113:AW144" si="63">B113</f>
        <v>0</v>
      </c>
      <c r="AX113" s="1799">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2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22"/>
      <c r="AV114" s="1799">
        <f t="shared" si="62"/>
        <v>0</v>
      </c>
      <c r="AW114" s="1799">
        <f t="shared" si="63"/>
        <v>0</v>
      </c>
      <c r="AX114" s="1799">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2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22"/>
      <c r="AV115" s="1799">
        <f t="shared" si="62"/>
        <v>0</v>
      </c>
      <c r="AW115" s="1799">
        <f t="shared" si="63"/>
        <v>0</v>
      </c>
      <c r="AX115" s="1799">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2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22"/>
      <c r="AV116" s="1799">
        <f t="shared" si="62"/>
        <v>0</v>
      </c>
      <c r="AW116" s="1799">
        <f t="shared" si="63"/>
        <v>0</v>
      </c>
      <c r="AX116" s="1799">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2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22"/>
      <c r="AV117" s="1799">
        <f t="shared" si="62"/>
        <v>0</v>
      </c>
      <c r="AW117" s="1799">
        <f t="shared" si="63"/>
        <v>0</v>
      </c>
      <c r="AX117" s="1799">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2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22"/>
      <c r="AV118" s="1799">
        <f t="shared" si="62"/>
        <v>0</v>
      </c>
      <c r="AW118" s="1799">
        <f t="shared" si="63"/>
        <v>0</v>
      </c>
      <c r="AX118" s="1799">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2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22"/>
      <c r="AV119" s="1799">
        <f t="shared" si="62"/>
        <v>0</v>
      </c>
      <c r="AW119" s="1799">
        <f t="shared" si="63"/>
        <v>0</v>
      </c>
      <c r="AX119" s="1799">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2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22"/>
      <c r="AV120" s="1799">
        <f t="shared" si="62"/>
        <v>0</v>
      </c>
      <c r="AW120" s="1799">
        <f t="shared" si="63"/>
        <v>0</v>
      </c>
      <c r="AX120" s="1799">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2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22"/>
      <c r="AV121" s="1799">
        <f t="shared" si="62"/>
        <v>0</v>
      </c>
      <c r="AW121" s="1799">
        <f t="shared" si="63"/>
        <v>0</v>
      </c>
      <c r="AX121" s="1799">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2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22"/>
      <c r="AV122" s="1799">
        <f t="shared" si="62"/>
        <v>0</v>
      </c>
      <c r="AW122" s="1799">
        <f t="shared" si="63"/>
        <v>0</v>
      </c>
      <c r="AX122" s="1799">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2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22"/>
      <c r="AV123" s="1799">
        <f t="shared" si="62"/>
        <v>0</v>
      </c>
      <c r="AW123" s="1799">
        <f t="shared" si="63"/>
        <v>0</v>
      </c>
      <c r="AX123" s="1799">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2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22"/>
      <c r="AV124" s="1799">
        <f t="shared" si="62"/>
        <v>0</v>
      </c>
      <c r="AW124" s="1799">
        <f t="shared" si="63"/>
        <v>0</v>
      </c>
      <c r="AX124" s="1799">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2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22"/>
      <c r="AV125" s="1799">
        <f t="shared" si="62"/>
        <v>0</v>
      </c>
      <c r="AW125" s="1799">
        <f t="shared" si="63"/>
        <v>0</v>
      </c>
      <c r="AX125" s="1799">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2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22"/>
      <c r="AV126" s="1799">
        <f t="shared" si="62"/>
        <v>0</v>
      </c>
      <c r="AW126" s="1799">
        <f t="shared" si="63"/>
        <v>0</v>
      </c>
      <c r="AX126" s="1799">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2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22"/>
      <c r="AV127" s="1799">
        <f t="shared" si="62"/>
        <v>0</v>
      </c>
      <c r="AW127" s="1799">
        <f t="shared" si="63"/>
        <v>0</v>
      </c>
      <c r="AX127" s="1799">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2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22"/>
      <c r="AV128" s="1799">
        <f t="shared" si="62"/>
        <v>0</v>
      </c>
      <c r="AW128" s="1799">
        <f t="shared" si="63"/>
        <v>0</v>
      </c>
      <c r="AX128" s="1799">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2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22"/>
      <c r="AV129" s="1799">
        <f t="shared" si="62"/>
        <v>0</v>
      </c>
      <c r="AW129" s="1799">
        <f t="shared" si="63"/>
        <v>0</v>
      </c>
      <c r="AX129" s="1799">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2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22"/>
      <c r="AV130" s="1799">
        <f t="shared" si="62"/>
        <v>0</v>
      </c>
      <c r="AW130" s="1799">
        <f t="shared" si="63"/>
        <v>0</v>
      </c>
      <c r="AX130" s="1799">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2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22"/>
      <c r="AV131" s="1799">
        <f t="shared" si="62"/>
        <v>0</v>
      </c>
      <c r="AW131" s="1799">
        <f t="shared" si="63"/>
        <v>0</v>
      </c>
      <c r="AX131" s="1799">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2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22"/>
      <c r="AV132" s="1799">
        <f t="shared" si="62"/>
        <v>0</v>
      </c>
      <c r="AW132" s="1799">
        <f t="shared" si="63"/>
        <v>0</v>
      </c>
      <c r="AX132" s="1799">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2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22"/>
      <c r="AV133" s="1799">
        <f t="shared" si="62"/>
        <v>0</v>
      </c>
      <c r="AW133" s="1799">
        <f t="shared" si="63"/>
        <v>0</v>
      </c>
      <c r="AX133" s="1799">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2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22"/>
      <c r="AV134" s="1799">
        <f t="shared" si="62"/>
        <v>0</v>
      </c>
      <c r="AW134" s="1799">
        <f t="shared" si="63"/>
        <v>0</v>
      </c>
      <c r="AX134" s="1799">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2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22"/>
      <c r="AV135" s="1799">
        <f t="shared" si="62"/>
        <v>0</v>
      </c>
      <c r="AW135" s="1799">
        <f t="shared" si="63"/>
        <v>0</v>
      </c>
      <c r="AX135" s="1799">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2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22"/>
      <c r="AV136" s="1799">
        <f t="shared" si="62"/>
        <v>0</v>
      </c>
      <c r="AW136" s="1799">
        <f t="shared" si="63"/>
        <v>0</v>
      </c>
      <c r="AX136" s="1799">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2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22"/>
      <c r="AV137" s="1799">
        <f t="shared" si="62"/>
        <v>0</v>
      </c>
      <c r="AW137" s="1799">
        <f t="shared" si="63"/>
        <v>0</v>
      </c>
      <c r="AX137" s="1799">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2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22"/>
      <c r="AV138" s="1799">
        <f t="shared" si="62"/>
        <v>0</v>
      </c>
      <c r="AW138" s="1799">
        <f t="shared" si="63"/>
        <v>0</v>
      </c>
      <c r="AX138" s="1799">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2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22"/>
      <c r="AV139" s="1799">
        <f t="shared" si="62"/>
        <v>0</v>
      </c>
      <c r="AW139" s="1799">
        <f t="shared" si="63"/>
        <v>0</v>
      </c>
      <c r="AX139" s="1799">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2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22"/>
      <c r="AV140" s="1799">
        <f t="shared" si="62"/>
        <v>0</v>
      </c>
      <c r="AW140" s="1799">
        <f t="shared" si="63"/>
        <v>0</v>
      </c>
      <c r="AX140" s="1799">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2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22"/>
      <c r="AV141" s="1799">
        <f t="shared" si="62"/>
        <v>0</v>
      </c>
      <c r="AW141" s="1799">
        <f t="shared" si="63"/>
        <v>0</v>
      </c>
      <c r="AX141" s="1799">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2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22"/>
      <c r="AV142" s="1799">
        <f t="shared" si="62"/>
        <v>0</v>
      </c>
      <c r="AW142" s="1799">
        <f t="shared" si="63"/>
        <v>0</v>
      </c>
      <c r="AX142" s="1799">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2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22"/>
      <c r="AV143" s="1799">
        <f t="shared" si="62"/>
        <v>0</v>
      </c>
      <c r="AW143" s="1799">
        <f t="shared" si="63"/>
        <v>0</v>
      </c>
      <c r="AX143" s="1799">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2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22"/>
      <c r="AV144" s="1799">
        <f t="shared" si="62"/>
        <v>0</v>
      </c>
      <c r="AW144" s="1799">
        <f t="shared" si="63"/>
        <v>0</v>
      </c>
      <c r="AX144" s="1799">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2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22"/>
      <c r="AV145" s="1799">
        <f t="shared" ref="AV145:AV176" si="91">A145</f>
        <v>0</v>
      </c>
      <c r="AW145" s="1799">
        <f t="shared" ref="AW145:AW176" si="92">B145</f>
        <v>0</v>
      </c>
      <c r="AX145" s="1799">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2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22"/>
      <c r="AV146" s="1799">
        <f t="shared" si="91"/>
        <v>0</v>
      </c>
      <c r="AW146" s="1799">
        <f t="shared" si="92"/>
        <v>0</v>
      </c>
      <c r="AX146" s="1799">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2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22"/>
      <c r="AV147" s="1799">
        <f t="shared" si="91"/>
        <v>0</v>
      </c>
      <c r="AW147" s="1799">
        <f t="shared" si="92"/>
        <v>0</v>
      </c>
      <c r="AX147" s="1799">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2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22"/>
      <c r="AV148" s="1799">
        <f t="shared" si="91"/>
        <v>0</v>
      </c>
      <c r="AW148" s="1799">
        <f t="shared" si="92"/>
        <v>0</v>
      </c>
      <c r="AX148" s="1799">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2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22"/>
      <c r="AV149" s="1799">
        <f t="shared" si="91"/>
        <v>0</v>
      </c>
      <c r="AW149" s="1799">
        <f t="shared" si="92"/>
        <v>0</v>
      </c>
      <c r="AX149" s="1799">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2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22"/>
      <c r="AV150" s="1799">
        <f t="shared" si="91"/>
        <v>0</v>
      </c>
      <c r="AW150" s="1799">
        <f t="shared" si="92"/>
        <v>0</v>
      </c>
      <c r="AX150" s="1799">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2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22"/>
      <c r="AV151" s="1799">
        <f t="shared" si="91"/>
        <v>0</v>
      </c>
      <c r="AW151" s="1799">
        <f t="shared" si="92"/>
        <v>0</v>
      </c>
      <c r="AX151" s="1799">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2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22"/>
      <c r="AV152" s="1799">
        <f t="shared" si="91"/>
        <v>0</v>
      </c>
      <c r="AW152" s="1799">
        <f t="shared" si="92"/>
        <v>0</v>
      </c>
      <c r="AX152" s="1799">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2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22"/>
      <c r="AV153" s="1799">
        <f t="shared" si="91"/>
        <v>0</v>
      </c>
      <c r="AW153" s="1799">
        <f t="shared" si="92"/>
        <v>0</v>
      </c>
      <c r="AX153" s="1799">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2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22"/>
      <c r="AV154" s="1799">
        <f t="shared" si="91"/>
        <v>0</v>
      </c>
      <c r="AW154" s="1799">
        <f t="shared" si="92"/>
        <v>0</v>
      </c>
      <c r="AX154" s="1799">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2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22"/>
      <c r="AV155" s="1799">
        <f t="shared" si="91"/>
        <v>0</v>
      </c>
      <c r="AW155" s="1799">
        <f t="shared" si="92"/>
        <v>0</v>
      </c>
      <c r="AX155" s="1799">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2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22"/>
      <c r="AV156" s="1799">
        <f t="shared" si="91"/>
        <v>0</v>
      </c>
      <c r="AW156" s="1799">
        <f t="shared" si="92"/>
        <v>0</v>
      </c>
      <c r="AX156" s="1799">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2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22"/>
      <c r="AV157" s="1799">
        <f t="shared" si="91"/>
        <v>0</v>
      </c>
      <c r="AW157" s="1799">
        <f t="shared" si="92"/>
        <v>0</v>
      </c>
      <c r="AX157" s="1799">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2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22"/>
      <c r="AV158" s="1799">
        <f t="shared" si="91"/>
        <v>0</v>
      </c>
      <c r="AW158" s="1799">
        <f t="shared" si="92"/>
        <v>0</v>
      </c>
      <c r="AX158" s="1799">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2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22"/>
      <c r="AV159" s="1799">
        <f t="shared" si="91"/>
        <v>0</v>
      </c>
      <c r="AW159" s="1799">
        <f t="shared" si="92"/>
        <v>0</v>
      </c>
      <c r="AX159" s="1799">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2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22"/>
      <c r="AV160" s="1799">
        <f t="shared" si="91"/>
        <v>0</v>
      </c>
      <c r="AW160" s="1799">
        <f t="shared" si="92"/>
        <v>0</v>
      </c>
      <c r="AX160" s="1799">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2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22"/>
      <c r="AV161" s="1799">
        <f t="shared" si="91"/>
        <v>0</v>
      </c>
      <c r="AW161" s="1799">
        <f t="shared" si="92"/>
        <v>0</v>
      </c>
      <c r="AX161" s="1799">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2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22"/>
      <c r="AV162" s="1799">
        <f t="shared" si="91"/>
        <v>0</v>
      </c>
      <c r="AW162" s="1799">
        <f t="shared" si="92"/>
        <v>0</v>
      </c>
      <c r="AX162" s="1799">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2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22"/>
      <c r="AV163" s="1799">
        <f t="shared" si="91"/>
        <v>0</v>
      </c>
      <c r="AW163" s="1799">
        <f t="shared" si="92"/>
        <v>0</v>
      </c>
      <c r="AX163" s="1799">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2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22"/>
      <c r="AV164" s="1799">
        <f t="shared" si="91"/>
        <v>0</v>
      </c>
      <c r="AW164" s="1799">
        <f t="shared" si="92"/>
        <v>0</v>
      </c>
      <c r="AX164" s="1799">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2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22"/>
      <c r="AV165" s="1799">
        <f t="shared" si="91"/>
        <v>0</v>
      </c>
      <c r="AW165" s="1799">
        <f t="shared" si="92"/>
        <v>0</v>
      </c>
      <c r="AX165" s="1799">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2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22"/>
      <c r="AV166" s="1799">
        <f t="shared" si="91"/>
        <v>0</v>
      </c>
      <c r="AW166" s="1799">
        <f t="shared" si="92"/>
        <v>0</v>
      </c>
      <c r="AX166" s="1799">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2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22"/>
      <c r="AV167" s="1799">
        <f t="shared" si="91"/>
        <v>0</v>
      </c>
      <c r="AW167" s="1799">
        <f t="shared" si="92"/>
        <v>0</v>
      </c>
      <c r="AX167" s="1799">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2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22"/>
      <c r="AV168" s="1799">
        <f t="shared" si="91"/>
        <v>0</v>
      </c>
      <c r="AW168" s="1799">
        <f t="shared" si="92"/>
        <v>0</v>
      </c>
      <c r="AX168" s="1799">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2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22"/>
      <c r="AV169" s="1799">
        <f t="shared" si="91"/>
        <v>0</v>
      </c>
      <c r="AW169" s="1799">
        <f t="shared" si="92"/>
        <v>0</v>
      </c>
      <c r="AX169" s="1799">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2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22"/>
      <c r="AV170" s="1799">
        <f t="shared" si="91"/>
        <v>0</v>
      </c>
      <c r="AW170" s="1799">
        <f t="shared" si="92"/>
        <v>0</v>
      </c>
      <c r="AX170" s="1799">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2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22"/>
      <c r="AV171" s="1799">
        <f t="shared" si="91"/>
        <v>0</v>
      </c>
      <c r="AW171" s="1799">
        <f t="shared" si="92"/>
        <v>0</v>
      </c>
      <c r="AX171" s="1799">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2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22"/>
      <c r="AV172" s="1799">
        <f t="shared" si="91"/>
        <v>0</v>
      </c>
      <c r="AW172" s="1799">
        <f t="shared" si="92"/>
        <v>0</v>
      </c>
      <c r="AX172" s="1799">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2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22"/>
      <c r="AV173" s="1799">
        <f t="shared" si="91"/>
        <v>0</v>
      </c>
      <c r="AW173" s="1799">
        <f t="shared" si="92"/>
        <v>0</v>
      </c>
      <c r="AX173" s="1799">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2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22"/>
      <c r="AV174" s="1799">
        <f t="shared" si="91"/>
        <v>0</v>
      </c>
      <c r="AW174" s="1799">
        <f t="shared" si="92"/>
        <v>0</v>
      </c>
      <c r="AX174" s="1799">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2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22"/>
      <c r="AV175" s="1799">
        <f t="shared" si="91"/>
        <v>0</v>
      </c>
      <c r="AW175" s="1799">
        <f t="shared" si="92"/>
        <v>0</v>
      </c>
      <c r="AX175" s="1799">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2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22"/>
      <c r="AV176" s="1799">
        <f t="shared" si="91"/>
        <v>0</v>
      </c>
      <c r="AW176" s="1799">
        <f t="shared" si="92"/>
        <v>0</v>
      </c>
      <c r="AX176" s="1799">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2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22"/>
      <c r="AV177" s="1799">
        <f t="shared" ref="AV177:AV207" si="120">A177</f>
        <v>0</v>
      </c>
      <c r="AW177" s="1799">
        <f t="shared" ref="AW177:AW207" si="121">B177</f>
        <v>0</v>
      </c>
      <c r="AX177" s="1799">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2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22"/>
      <c r="AV178" s="1799">
        <f t="shared" si="120"/>
        <v>0</v>
      </c>
      <c r="AW178" s="1799">
        <f t="shared" si="121"/>
        <v>0</v>
      </c>
      <c r="AX178" s="1799">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2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22"/>
      <c r="AV179" s="1799">
        <f t="shared" si="120"/>
        <v>0</v>
      </c>
      <c r="AW179" s="1799">
        <f t="shared" si="121"/>
        <v>0</v>
      </c>
      <c r="AX179" s="1799">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2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22"/>
      <c r="AV180" s="1799">
        <f t="shared" si="120"/>
        <v>0</v>
      </c>
      <c r="AW180" s="1799">
        <f t="shared" si="121"/>
        <v>0</v>
      </c>
      <c r="AX180" s="1799">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2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22"/>
      <c r="AV181" s="1799">
        <f t="shared" si="120"/>
        <v>0</v>
      </c>
      <c r="AW181" s="1799">
        <f t="shared" si="121"/>
        <v>0</v>
      </c>
      <c r="AX181" s="1799">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2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22"/>
      <c r="AV182" s="1799">
        <f t="shared" si="120"/>
        <v>0</v>
      </c>
      <c r="AW182" s="1799">
        <f t="shared" si="121"/>
        <v>0</v>
      </c>
      <c r="AX182" s="1799">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2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22"/>
      <c r="AV183" s="1799">
        <f t="shared" si="120"/>
        <v>0</v>
      </c>
      <c r="AW183" s="1799">
        <f t="shared" si="121"/>
        <v>0</v>
      </c>
      <c r="AX183" s="1799">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2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22"/>
      <c r="AV184" s="1799">
        <f t="shared" si="120"/>
        <v>0</v>
      </c>
      <c r="AW184" s="1799">
        <f t="shared" si="121"/>
        <v>0</v>
      </c>
      <c r="AX184" s="1799">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2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22"/>
      <c r="AV185" s="1799">
        <f t="shared" si="120"/>
        <v>0</v>
      </c>
      <c r="AW185" s="1799">
        <f t="shared" si="121"/>
        <v>0</v>
      </c>
      <c r="AX185" s="1799">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2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22"/>
      <c r="AV186" s="1799">
        <f t="shared" si="120"/>
        <v>0</v>
      </c>
      <c r="AW186" s="1799">
        <f t="shared" si="121"/>
        <v>0</v>
      </c>
      <c r="AX186" s="1799">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2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22"/>
      <c r="AV187" s="1799">
        <f t="shared" si="120"/>
        <v>0</v>
      </c>
      <c r="AW187" s="1799">
        <f t="shared" si="121"/>
        <v>0</v>
      </c>
      <c r="AX187" s="1799">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2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22"/>
      <c r="AV188" s="1799">
        <f t="shared" si="120"/>
        <v>0</v>
      </c>
      <c r="AW188" s="1799">
        <f t="shared" si="121"/>
        <v>0</v>
      </c>
      <c r="AX188" s="1799">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2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22"/>
      <c r="AV189" s="1799">
        <f t="shared" si="120"/>
        <v>0</v>
      </c>
      <c r="AW189" s="1799">
        <f t="shared" si="121"/>
        <v>0</v>
      </c>
      <c r="AX189" s="1799">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2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22"/>
      <c r="AV190" s="1799">
        <f t="shared" si="120"/>
        <v>0</v>
      </c>
      <c r="AW190" s="1799">
        <f t="shared" si="121"/>
        <v>0</v>
      </c>
      <c r="AX190" s="1799">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2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22"/>
      <c r="AV191" s="1799">
        <f t="shared" si="120"/>
        <v>0</v>
      </c>
      <c r="AW191" s="1799">
        <f t="shared" si="121"/>
        <v>0</v>
      </c>
      <c r="AX191" s="1799">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2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22"/>
      <c r="AV192" s="1799">
        <f t="shared" si="120"/>
        <v>0</v>
      </c>
      <c r="AW192" s="1799">
        <f t="shared" si="121"/>
        <v>0</v>
      </c>
      <c r="AX192" s="1799">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2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22"/>
      <c r="AV193" s="1799">
        <f t="shared" si="120"/>
        <v>0</v>
      </c>
      <c r="AW193" s="1799">
        <f t="shared" si="121"/>
        <v>0</v>
      </c>
      <c r="AX193" s="1799">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2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22"/>
      <c r="AV194" s="1799">
        <f t="shared" si="120"/>
        <v>0</v>
      </c>
      <c r="AW194" s="1799">
        <f t="shared" si="121"/>
        <v>0</v>
      </c>
      <c r="AX194" s="1799">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2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22"/>
      <c r="AV195" s="1799">
        <f t="shared" si="120"/>
        <v>0</v>
      </c>
      <c r="AW195" s="1799">
        <f t="shared" si="121"/>
        <v>0</v>
      </c>
      <c r="AX195" s="1799">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2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22"/>
      <c r="AV196" s="1799">
        <f t="shared" si="120"/>
        <v>0</v>
      </c>
      <c r="AW196" s="1799">
        <f t="shared" si="121"/>
        <v>0</v>
      </c>
      <c r="AX196" s="1799">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2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22"/>
      <c r="AV197" s="1799">
        <f t="shared" si="120"/>
        <v>0</v>
      </c>
      <c r="AW197" s="1799">
        <f t="shared" si="121"/>
        <v>0</v>
      </c>
      <c r="AX197" s="1799">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2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22"/>
      <c r="AV198" s="1799">
        <f t="shared" si="120"/>
        <v>0</v>
      </c>
      <c r="AW198" s="1799">
        <f t="shared" si="121"/>
        <v>0</v>
      </c>
      <c r="AX198" s="1799">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2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22"/>
      <c r="AV199" s="1799">
        <f t="shared" si="120"/>
        <v>0</v>
      </c>
      <c r="AW199" s="1799">
        <f t="shared" si="121"/>
        <v>0</v>
      </c>
      <c r="AX199" s="1799">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2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22"/>
      <c r="AV200" s="1799">
        <f t="shared" si="120"/>
        <v>0</v>
      </c>
      <c r="AW200" s="1799">
        <f t="shared" si="121"/>
        <v>0</v>
      </c>
      <c r="AX200" s="1799">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2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22"/>
      <c r="AV201" s="1799">
        <f t="shared" si="120"/>
        <v>0</v>
      </c>
      <c r="AW201" s="1799">
        <f t="shared" si="121"/>
        <v>0</v>
      </c>
      <c r="AX201" s="1799">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2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22"/>
      <c r="AV202" s="1799">
        <f t="shared" si="120"/>
        <v>0</v>
      </c>
      <c r="AW202" s="1799">
        <f t="shared" si="121"/>
        <v>0</v>
      </c>
      <c r="AX202" s="1799">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2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22"/>
      <c r="AV203" s="1799">
        <f t="shared" si="120"/>
        <v>0</v>
      </c>
      <c r="AW203" s="1799">
        <f t="shared" si="121"/>
        <v>0</v>
      </c>
      <c r="AX203" s="1799">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2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22"/>
      <c r="AV204" s="1799">
        <f t="shared" si="120"/>
        <v>0</v>
      </c>
      <c r="AW204" s="1799">
        <f t="shared" si="121"/>
        <v>0</v>
      </c>
      <c r="AX204" s="1799">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2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7"/>
      <c r="AV205" s="1799">
        <f t="shared" si="120"/>
        <v>0</v>
      </c>
      <c r="AW205" s="1799">
        <f t="shared" si="121"/>
        <v>0</v>
      </c>
      <c r="AX205" s="1799">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2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7"/>
      <c r="AV206" s="1799">
        <f t="shared" si="120"/>
        <v>0</v>
      </c>
      <c r="AW206" s="1799">
        <f t="shared" si="121"/>
        <v>0</v>
      </c>
      <c r="AX206" s="1799">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2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7"/>
      <c r="AV207" s="1799">
        <f t="shared" si="120"/>
        <v>0</v>
      </c>
      <c r="AW207" s="1799">
        <f t="shared" si="121"/>
        <v>0</v>
      </c>
      <c r="AX207" s="1799">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2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22"/>
      <c r="AV208" s="1799">
        <f t="shared" ref="AV208:AV302" si="127">A208</f>
        <v>0</v>
      </c>
      <c r="AW208" s="1799">
        <f t="shared" ref="AW208:AW302" si="128">B208</f>
        <v>0</v>
      </c>
      <c r="AX208" s="1799">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2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22"/>
      <c r="AV209" s="1799">
        <f t="shared" si="127"/>
        <v>0</v>
      </c>
      <c r="AW209" s="1799">
        <f t="shared" si="128"/>
        <v>0</v>
      </c>
      <c r="AX209" s="1799">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2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22"/>
      <c r="AV210" s="1799">
        <f t="shared" si="127"/>
        <v>0</v>
      </c>
      <c r="AW210" s="1799">
        <f t="shared" si="128"/>
        <v>0</v>
      </c>
      <c r="AX210" s="1799">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2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22"/>
      <c r="AV211" s="1799">
        <f t="shared" si="127"/>
        <v>0</v>
      </c>
      <c r="AW211" s="1799">
        <f t="shared" si="128"/>
        <v>0</v>
      </c>
      <c r="AX211" s="1799">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2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22"/>
      <c r="AV212" s="1799">
        <f t="shared" si="127"/>
        <v>0</v>
      </c>
      <c r="AW212" s="1799">
        <f t="shared" si="128"/>
        <v>0</v>
      </c>
      <c r="AX212" s="1799">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2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22"/>
      <c r="AV213" s="1799">
        <f t="shared" si="127"/>
        <v>0</v>
      </c>
      <c r="AW213" s="1799">
        <f t="shared" si="128"/>
        <v>0</v>
      </c>
      <c r="AX213" s="1799">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2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22"/>
      <c r="AV214" s="1799">
        <f t="shared" si="127"/>
        <v>0</v>
      </c>
      <c r="AW214" s="1799">
        <f t="shared" si="128"/>
        <v>0</v>
      </c>
      <c r="AX214" s="1799">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2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22"/>
      <c r="AV215" s="1799">
        <f t="shared" si="127"/>
        <v>0</v>
      </c>
      <c r="AW215" s="1799">
        <f t="shared" si="128"/>
        <v>0</v>
      </c>
      <c r="AX215" s="1799">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2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22"/>
      <c r="AV216" s="1799">
        <f t="shared" si="127"/>
        <v>0</v>
      </c>
      <c r="AW216" s="1799">
        <f t="shared" si="128"/>
        <v>0</v>
      </c>
      <c r="AX216" s="1799">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2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22"/>
      <c r="AV217" s="1799">
        <f t="shared" si="127"/>
        <v>0</v>
      </c>
      <c r="AW217" s="1799">
        <f t="shared" si="128"/>
        <v>0</v>
      </c>
      <c r="AX217" s="1799">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2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22"/>
      <c r="AV218" s="1799">
        <f t="shared" si="127"/>
        <v>0</v>
      </c>
      <c r="AW218" s="1799">
        <f t="shared" si="128"/>
        <v>0</v>
      </c>
      <c r="AX218" s="1799">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2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22"/>
      <c r="AV219" s="1799">
        <f t="shared" si="127"/>
        <v>0</v>
      </c>
      <c r="AW219" s="1799">
        <f t="shared" si="128"/>
        <v>0</v>
      </c>
      <c r="AX219" s="1799">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2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22"/>
      <c r="AV220" s="1799">
        <f t="shared" si="127"/>
        <v>0</v>
      </c>
      <c r="AW220" s="1799">
        <f t="shared" si="128"/>
        <v>0</v>
      </c>
      <c r="AX220" s="1799">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2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22"/>
      <c r="AV221" s="1799">
        <f t="shared" si="127"/>
        <v>0</v>
      </c>
      <c r="AW221" s="1799">
        <f t="shared" si="128"/>
        <v>0</v>
      </c>
      <c r="AX221" s="1799">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2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22"/>
      <c r="AV222" s="1799">
        <f t="shared" si="127"/>
        <v>0</v>
      </c>
      <c r="AW222" s="1799">
        <f t="shared" si="128"/>
        <v>0</v>
      </c>
      <c r="AX222" s="1799">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2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22"/>
      <c r="AV223" s="1799">
        <f t="shared" si="127"/>
        <v>0</v>
      </c>
      <c r="AW223" s="1799">
        <f t="shared" si="128"/>
        <v>0</v>
      </c>
      <c r="AX223" s="1799">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2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22"/>
      <c r="AV224" s="1799">
        <f t="shared" si="127"/>
        <v>0</v>
      </c>
      <c r="AW224" s="1799">
        <f t="shared" si="128"/>
        <v>0</v>
      </c>
      <c r="AX224" s="1799">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2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22"/>
      <c r="AV225" s="1799">
        <f t="shared" si="127"/>
        <v>0</v>
      </c>
      <c r="AW225" s="1799">
        <f t="shared" si="128"/>
        <v>0</v>
      </c>
      <c r="AX225" s="1799">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2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22"/>
      <c r="AV226" s="1799">
        <f t="shared" si="127"/>
        <v>0</v>
      </c>
      <c r="AW226" s="1799">
        <f t="shared" si="128"/>
        <v>0</v>
      </c>
      <c r="AX226" s="1799">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2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22"/>
      <c r="AV227" s="1799">
        <f t="shared" si="127"/>
        <v>0</v>
      </c>
      <c r="AW227" s="1799">
        <f t="shared" si="128"/>
        <v>0</v>
      </c>
      <c r="AX227" s="1799">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2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22"/>
      <c r="AV228" s="1799">
        <f t="shared" si="127"/>
        <v>0</v>
      </c>
      <c r="AW228" s="1799">
        <f t="shared" si="128"/>
        <v>0</v>
      </c>
      <c r="AX228" s="1799">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2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22"/>
      <c r="AV229" s="1799">
        <f t="shared" si="127"/>
        <v>0</v>
      </c>
      <c r="AW229" s="1799">
        <f t="shared" si="128"/>
        <v>0</v>
      </c>
      <c r="AX229" s="1799">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2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22"/>
      <c r="AV230" s="1799">
        <f t="shared" si="127"/>
        <v>0</v>
      </c>
      <c r="AW230" s="1799">
        <f t="shared" si="128"/>
        <v>0</v>
      </c>
      <c r="AX230" s="1799">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2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22"/>
      <c r="AV231" s="1799">
        <f t="shared" si="127"/>
        <v>0</v>
      </c>
      <c r="AW231" s="1799">
        <f t="shared" si="128"/>
        <v>0</v>
      </c>
      <c r="AX231" s="1799">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2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22"/>
      <c r="AV232" s="1799">
        <f t="shared" si="127"/>
        <v>0</v>
      </c>
      <c r="AW232" s="1799">
        <f t="shared" si="128"/>
        <v>0</v>
      </c>
      <c r="AX232" s="1799">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2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22"/>
      <c r="AV233" s="1799">
        <f t="shared" si="127"/>
        <v>0</v>
      </c>
      <c r="AW233" s="1799">
        <f t="shared" si="128"/>
        <v>0</v>
      </c>
      <c r="AX233" s="1799">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2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22"/>
      <c r="AV234" s="1799">
        <f t="shared" si="127"/>
        <v>0</v>
      </c>
      <c r="AW234" s="1799">
        <f t="shared" si="128"/>
        <v>0</v>
      </c>
      <c r="AX234" s="1799">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2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22"/>
      <c r="AV235" s="1799">
        <f t="shared" si="127"/>
        <v>0</v>
      </c>
      <c r="AW235" s="1799">
        <f t="shared" si="128"/>
        <v>0</v>
      </c>
      <c r="AX235" s="1799">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2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22"/>
      <c r="AV236" s="1799">
        <f t="shared" si="127"/>
        <v>0</v>
      </c>
      <c r="AW236" s="1799">
        <f t="shared" si="128"/>
        <v>0</v>
      </c>
      <c r="AX236" s="1799">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2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22"/>
      <c r="AV237" s="1799">
        <f t="shared" si="127"/>
        <v>0</v>
      </c>
      <c r="AW237" s="1799">
        <f t="shared" si="128"/>
        <v>0</v>
      </c>
      <c r="AX237" s="1799">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2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22"/>
      <c r="AV238" s="1799">
        <f t="shared" si="127"/>
        <v>0</v>
      </c>
      <c r="AW238" s="1799">
        <f t="shared" si="128"/>
        <v>0</v>
      </c>
      <c r="AX238" s="1799">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2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22"/>
      <c r="AV239" s="1799">
        <f t="shared" si="127"/>
        <v>0</v>
      </c>
      <c r="AW239" s="1799">
        <f t="shared" si="128"/>
        <v>0</v>
      </c>
      <c r="AX239" s="1799">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2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22"/>
      <c r="AV240" s="1799">
        <f t="shared" si="127"/>
        <v>0</v>
      </c>
      <c r="AW240" s="1799">
        <f t="shared" si="128"/>
        <v>0</v>
      </c>
      <c r="AX240" s="1799">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2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22"/>
      <c r="AV241" s="1799">
        <f t="shared" si="127"/>
        <v>0</v>
      </c>
      <c r="AW241" s="1799">
        <f t="shared" si="128"/>
        <v>0</v>
      </c>
      <c r="AX241" s="1799">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2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22"/>
      <c r="AV242" s="1799">
        <f t="shared" si="127"/>
        <v>0</v>
      </c>
      <c r="AW242" s="1799">
        <f t="shared" si="128"/>
        <v>0</v>
      </c>
      <c r="AX242" s="1799">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2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22"/>
      <c r="AV243" s="1799">
        <f t="shared" si="127"/>
        <v>0</v>
      </c>
      <c r="AW243" s="1799">
        <f t="shared" si="128"/>
        <v>0</v>
      </c>
      <c r="AX243" s="1799">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2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22"/>
      <c r="AV244" s="1799">
        <f t="shared" si="127"/>
        <v>0</v>
      </c>
      <c r="AW244" s="1799">
        <f t="shared" si="128"/>
        <v>0</v>
      </c>
      <c r="AX244" s="1799">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2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22"/>
      <c r="AV245" s="1799">
        <f t="shared" si="127"/>
        <v>0</v>
      </c>
      <c r="AW245" s="1799">
        <f t="shared" si="128"/>
        <v>0</v>
      </c>
      <c r="AX245" s="1799">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2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22"/>
      <c r="AV246" s="1799">
        <f t="shared" si="127"/>
        <v>0</v>
      </c>
      <c r="AW246" s="1799">
        <f t="shared" si="128"/>
        <v>0</v>
      </c>
      <c r="AX246" s="1799">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2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22"/>
      <c r="AV247" s="1799">
        <f t="shared" si="127"/>
        <v>0</v>
      </c>
      <c r="AW247" s="1799">
        <f t="shared" si="128"/>
        <v>0</v>
      </c>
      <c r="AX247" s="1799">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2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22"/>
      <c r="AV248" s="1799">
        <f t="shared" si="127"/>
        <v>0</v>
      </c>
      <c r="AW248" s="1799">
        <f t="shared" si="128"/>
        <v>0</v>
      </c>
      <c r="AX248" s="1799">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2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22"/>
      <c r="AV249" s="1799">
        <f t="shared" si="127"/>
        <v>0</v>
      </c>
      <c r="AW249" s="1799">
        <f t="shared" si="128"/>
        <v>0</v>
      </c>
      <c r="AX249" s="1799">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2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22"/>
      <c r="AV250" s="1799">
        <f t="shared" si="127"/>
        <v>0</v>
      </c>
      <c r="AW250" s="1799">
        <f t="shared" si="128"/>
        <v>0</v>
      </c>
      <c r="AX250" s="1799">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2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22"/>
      <c r="AV251" s="1799">
        <f t="shared" si="127"/>
        <v>0</v>
      </c>
      <c r="AW251" s="1799">
        <f t="shared" si="128"/>
        <v>0</v>
      </c>
      <c r="AX251" s="1799">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2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22"/>
      <c r="AV252" s="1799">
        <f t="shared" si="127"/>
        <v>0</v>
      </c>
      <c r="AW252" s="1799">
        <f t="shared" si="128"/>
        <v>0</v>
      </c>
      <c r="AX252" s="1799">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2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22"/>
      <c r="AV253" s="1799">
        <f t="shared" si="127"/>
        <v>0</v>
      </c>
      <c r="AW253" s="1799">
        <f t="shared" si="128"/>
        <v>0</v>
      </c>
      <c r="AX253" s="1799">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2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22"/>
      <c r="AV254" s="1799">
        <f t="shared" si="127"/>
        <v>0</v>
      </c>
      <c r="AW254" s="1799">
        <f t="shared" si="128"/>
        <v>0</v>
      </c>
      <c r="AX254" s="1799">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2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22"/>
      <c r="AV255" s="1799">
        <f t="shared" si="127"/>
        <v>0</v>
      </c>
      <c r="AW255" s="1799">
        <f t="shared" si="128"/>
        <v>0</v>
      </c>
      <c r="AX255" s="1799">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2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22"/>
      <c r="AV256" s="1799">
        <f t="shared" si="127"/>
        <v>0</v>
      </c>
      <c r="AW256" s="1799">
        <f t="shared" si="128"/>
        <v>0</v>
      </c>
      <c r="AX256" s="1799">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2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22"/>
      <c r="AV257" s="1799">
        <f t="shared" si="127"/>
        <v>0</v>
      </c>
      <c r="AW257" s="1799">
        <f t="shared" si="128"/>
        <v>0</v>
      </c>
      <c r="AX257" s="1799">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2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22"/>
      <c r="AV258" s="1799">
        <f t="shared" si="127"/>
        <v>0</v>
      </c>
      <c r="AW258" s="1799">
        <f t="shared" si="128"/>
        <v>0</v>
      </c>
      <c r="AX258" s="1799">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2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22"/>
      <c r="AV259" s="1799">
        <f t="shared" si="127"/>
        <v>0</v>
      </c>
      <c r="AW259" s="1799">
        <f t="shared" si="128"/>
        <v>0</v>
      </c>
      <c r="AX259" s="1799">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2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22"/>
      <c r="AV260" s="1799">
        <f t="shared" si="127"/>
        <v>0</v>
      </c>
      <c r="AW260" s="1799">
        <f t="shared" si="128"/>
        <v>0</v>
      </c>
      <c r="AX260" s="1799">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2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22"/>
      <c r="AV261" s="1799">
        <f t="shared" si="127"/>
        <v>0</v>
      </c>
      <c r="AW261" s="1799">
        <f t="shared" si="128"/>
        <v>0</v>
      </c>
      <c r="AX261" s="1799">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2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22"/>
      <c r="AV262" s="1799">
        <f t="shared" si="127"/>
        <v>0</v>
      </c>
      <c r="AW262" s="1799">
        <f t="shared" si="128"/>
        <v>0</v>
      </c>
      <c r="AX262" s="1799">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2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22"/>
      <c r="AV263" s="1799">
        <f t="shared" si="127"/>
        <v>0</v>
      </c>
      <c r="AW263" s="1799">
        <f t="shared" si="128"/>
        <v>0</v>
      </c>
      <c r="AX263" s="1799">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2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22"/>
      <c r="AV264" s="1799">
        <f t="shared" si="127"/>
        <v>0</v>
      </c>
      <c r="AW264" s="1799">
        <f t="shared" si="128"/>
        <v>0</v>
      </c>
      <c r="AX264" s="1799">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2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22"/>
      <c r="AV265" s="1799">
        <f t="shared" si="127"/>
        <v>0</v>
      </c>
      <c r="AW265" s="1799">
        <f t="shared" si="128"/>
        <v>0</v>
      </c>
      <c r="AX265" s="1799">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2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22"/>
      <c r="AV266" s="1799">
        <f t="shared" si="127"/>
        <v>0</v>
      </c>
      <c r="AW266" s="1799">
        <f t="shared" si="128"/>
        <v>0</v>
      </c>
      <c r="AX266" s="1799">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2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22"/>
      <c r="AV267" s="1799">
        <f t="shared" si="127"/>
        <v>0</v>
      </c>
      <c r="AW267" s="1799">
        <f t="shared" si="128"/>
        <v>0</v>
      </c>
      <c r="AX267" s="1799">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2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22"/>
      <c r="AV268" s="1799">
        <f t="shared" si="127"/>
        <v>0</v>
      </c>
      <c r="AW268" s="1799">
        <f t="shared" si="128"/>
        <v>0</v>
      </c>
      <c r="AX268" s="1799">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2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22"/>
      <c r="AV269" s="1799">
        <f t="shared" si="127"/>
        <v>0</v>
      </c>
      <c r="AW269" s="1799">
        <f t="shared" si="128"/>
        <v>0</v>
      </c>
      <c r="AX269" s="1799">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2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22"/>
      <c r="AV270" s="1799">
        <f t="shared" si="127"/>
        <v>0</v>
      </c>
      <c r="AW270" s="1799">
        <f t="shared" si="128"/>
        <v>0</v>
      </c>
      <c r="AX270" s="1799">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2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22"/>
      <c r="AV271" s="1799">
        <f t="shared" si="127"/>
        <v>0</v>
      </c>
      <c r="AW271" s="1799">
        <f t="shared" si="128"/>
        <v>0</v>
      </c>
      <c r="AX271" s="1799">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2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22"/>
      <c r="AV272" s="1799">
        <f t="shared" si="127"/>
        <v>0</v>
      </c>
      <c r="AW272" s="1799">
        <f t="shared" si="128"/>
        <v>0</v>
      </c>
      <c r="AX272" s="1799">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2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22"/>
      <c r="AV273" s="1799">
        <f t="shared" si="127"/>
        <v>0</v>
      </c>
      <c r="AW273" s="1799">
        <f t="shared" si="128"/>
        <v>0</v>
      </c>
      <c r="AX273" s="1799">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2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22"/>
      <c r="AV274" s="1799">
        <f t="shared" si="127"/>
        <v>0</v>
      </c>
      <c r="AW274" s="1799">
        <f t="shared" si="128"/>
        <v>0</v>
      </c>
      <c r="AX274" s="1799">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2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22"/>
      <c r="AV275" s="1799">
        <f t="shared" si="127"/>
        <v>0</v>
      </c>
      <c r="AW275" s="1799">
        <f t="shared" si="128"/>
        <v>0</v>
      </c>
      <c r="AX275" s="1799">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2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22"/>
      <c r="AV276" s="1799">
        <f t="shared" si="127"/>
        <v>0</v>
      </c>
      <c r="AW276" s="1799">
        <f t="shared" si="128"/>
        <v>0</v>
      </c>
      <c r="AX276" s="1799">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2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22"/>
      <c r="AV277" s="1799">
        <f t="shared" si="127"/>
        <v>0</v>
      </c>
      <c r="AW277" s="1799">
        <f t="shared" si="128"/>
        <v>0</v>
      </c>
      <c r="AX277" s="1799">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2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22"/>
      <c r="AV278" s="1799">
        <f t="shared" si="127"/>
        <v>0</v>
      </c>
      <c r="AW278" s="1799">
        <f t="shared" si="128"/>
        <v>0</v>
      </c>
      <c r="AX278" s="1799">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2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22"/>
      <c r="AV279" s="1799">
        <f t="shared" si="127"/>
        <v>0</v>
      </c>
      <c r="AW279" s="1799">
        <f t="shared" si="128"/>
        <v>0</v>
      </c>
      <c r="AX279" s="1799">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2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22"/>
      <c r="AV280" s="1799">
        <f t="shared" si="127"/>
        <v>0</v>
      </c>
      <c r="AW280" s="1799">
        <f t="shared" si="128"/>
        <v>0</v>
      </c>
      <c r="AX280" s="1799">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2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22"/>
      <c r="AV281" s="1799">
        <f t="shared" si="127"/>
        <v>0</v>
      </c>
      <c r="AW281" s="1799">
        <f t="shared" si="128"/>
        <v>0</v>
      </c>
      <c r="AX281" s="1799">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2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22"/>
      <c r="AV282" s="1799">
        <f t="shared" si="127"/>
        <v>0</v>
      </c>
      <c r="AW282" s="1799">
        <f t="shared" si="128"/>
        <v>0</v>
      </c>
      <c r="AX282" s="1799">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2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22"/>
      <c r="AV283" s="1799">
        <f t="shared" si="127"/>
        <v>0</v>
      </c>
      <c r="AW283" s="1799">
        <f t="shared" si="128"/>
        <v>0</v>
      </c>
      <c r="AX283" s="1799">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2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22"/>
      <c r="AV284" s="1799">
        <f t="shared" si="127"/>
        <v>0</v>
      </c>
      <c r="AW284" s="1799">
        <f t="shared" si="128"/>
        <v>0</v>
      </c>
      <c r="AX284" s="1799">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2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22"/>
      <c r="AV285" s="1799">
        <f t="shared" si="127"/>
        <v>0</v>
      </c>
      <c r="AW285" s="1799">
        <f t="shared" si="128"/>
        <v>0</v>
      </c>
      <c r="AX285" s="1799">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2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22"/>
      <c r="AV286" s="1799">
        <f t="shared" si="127"/>
        <v>0</v>
      </c>
      <c r="AW286" s="1799">
        <f t="shared" si="128"/>
        <v>0</v>
      </c>
      <c r="AX286" s="1799">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2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22"/>
      <c r="AV287" s="1799">
        <f t="shared" si="127"/>
        <v>0</v>
      </c>
      <c r="AW287" s="1799">
        <f t="shared" si="128"/>
        <v>0</v>
      </c>
      <c r="AX287" s="1799">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2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22"/>
      <c r="AV288" s="1799">
        <f t="shared" si="127"/>
        <v>0</v>
      </c>
      <c r="AW288" s="1799">
        <f t="shared" si="128"/>
        <v>0</v>
      </c>
      <c r="AX288" s="1799">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2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22"/>
      <c r="AV289" s="1799">
        <f t="shared" si="127"/>
        <v>0</v>
      </c>
      <c r="AW289" s="1799">
        <f t="shared" si="128"/>
        <v>0</v>
      </c>
      <c r="AX289" s="1799">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2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22"/>
      <c r="AV290" s="1799">
        <f t="shared" si="127"/>
        <v>0</v>
      </c>
      <c r="AW290" s="1799">
        <f t="shared" si="128"/>
        <v>0</v>
      </c>
      <c r="AX290" s="1799">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2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22"/>
      <c r="AV291" s="1799">
        <f t="shared" si="127"/>
        <v>0</v>
      </c>
      <c r="AW291" s="1799">
        <f t="shared" si="128"/>
        <v>0</v>
      </c>
      <c r="AX291" s="1799">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2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22"/>
      <c r="AV292" s="1799">
        <f t="shared" si="127"/>
        <v>0</v>
      </c>
      <c r="AW292" s="1799">
        <f t="shared" si="128"/>
        <v>0</v>
      </c>
      <c r="AX292" s="1799">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2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22"/>
      <c r="AV293" s="1799">
        <f t="shared" si="127"/>
        <v>0</v>
      </c>
      <c r="AW293" s="1799">
        <f t="shared" si="128"/>
        <v>0</v>
      </c>
      <c r="AX293" s="1799">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2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22"/>
      <c r="AV294" s="1799">
        <f t="shared" si="127"/>
        <v>0</v>
      </c>
      <c r="AW294" s="1799">
        <f t="shared" si="128"/>
        <v>0</v>
      </c>
      <c r="AX294" s="1799">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2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22"/>
      <c r="AV295" s="1799">
        <f t="shared" si="127"/>
        <v>0</v>
      </c>
      <c r="AW295" s="1799">
        <f t="shared" si="128"/>
        <v>0</v>
      </c>
      <c r="AX295" s="1799">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2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22"/>
      <c r="AV296" s="1799">
        <f t="shared" si="127"/>
        <v>0</v>
      </c>
      <c r="AW296" s="1799">
        <f t="shared" si="128"/>
        <v>0</v>
      </c>
      <c r="AX296" s="1799">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2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22"/>
      <c r="AV297" s="1799">
        <f t="shared" si="127"/>
        <v>0</v>
      </c>
      <c r="AW297" s="1799">
        <f t="shared" si="128"/>
        <v>0</v>
      </c>
      <c r="AX297" s="1799">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2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22"/>
      <c r="AV298" s="1799">
        <f t="shared" si="127"/>
        <v>0</v>
      </c>
      <c r="AW298" s="1799">
        <f t="shared" si="128"/>
        <v>0</v>
      </c>
      <c r="AX298" s="1799">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2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22"/>
      <c r="AV299" s="1799">
        <f t="shared" si="127"/>
        <v>0</v>
      </c>
      <c r="AW299" s="1799">
        <f t="shared" si="128"/>
        <v>0</v>
      </c>
      <c r="AX299" s="1799">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2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7"/>
      <c r="AV300" s="1799">
        <f t="shared" si="127"/>
        <v>0</v>
      </c>
      <c r="AW300" s="1799">
        <f t="shared" si="128"/>
        <v>0</v>
      </c>
      <c r="AX300" s="1799">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2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7"/>
      <c r="AV301" s="1799">
        <f t="shared" si="127"/>
        <v>0</v>
      </c>
      <c r="AW301" s="1799">
        <f t="shared" si="128"/>
        <v>0</v>
      </c>
      <c r="AX301" s="1799">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2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7"/>
      <c r="AV302" s="1799">
        <f t="shared" si="127"/>
        <v>0</v>
      </c>
      <c r="AW302" s="1799">
        <f t="shared" si="128"/>
        <v>0</v>
      </c>
      <c r="AX302" s="1799">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2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22"/>
      <c r="AV303" s="1799">
        <f t="shared" ref="AV303:AV334" si="178">A303</f>
        <v>0</v>
      </c>
      <c r="AW303" s="1799">
        <f t="shared" ref="AW303:AW334" si="179">B303</f>
        <v>0</v>
      </c>
      <c r="AX303" s="1799">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2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22"/>
      <c r="AV304" s="1799">
        <f t="shared" si="178"/>
        <v>0</v>
      </c>
      <c r="AW304" s="1799">
        <f t="shared" si="179"/>
        <v>0</v>
      </c>
      <c r="AX304" s="1799">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2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22"/>
      <c r="AV305" s="1799">
        <f t="shared" si="178"/>
        <v>0</v>
      </c>
      <c r="AW305" s="1799">
        <f t="shared" si="179"/>
        <v>0</v>
      </c>
      <c r="AX305" s="1799">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2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22"/>
      <c r="AV306" s="1799">
        <f t="shared" si="178"/>
        <v>0</v>
      </c>
      <c r="AW306" s="1799">
        <f t="shared" si="179"/>
        <v>0</v>
      </c>
      <c r="AX306" s="1799">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2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22"/>
      <c r="AV307" s="1799">
        <f t="shared" si="178"/>
        <v>0</v>
      </c>
      <c r="AW307" s="1799">
        <f t="shared" si="179"/>
        <v>0</v>
      </c>
      <c r="AX307" s="1799">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2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22"/>
      <c r="AV308" s="1799">
        <f t="shared" si="178"/>
        <v>0</v>
      </c>
      <c r="AW308" s="1799">
        <f t="shared" si="179"/>
        <v>0</v>
      </c>
      <c r="AX308" s="1799">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2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22"/>
      <c r="AV309" s="1799">
        <f t="shared" si="178"/>
        <v>0</v>
      </c>
      <c r="AW309" s="1799">
        <f t="shared" si="179"/>
        <v>0</v>
      </c>
      <c r="AX309" s="1799">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2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22"/>
      <c r="AV310" s="1799">
        <f t="shared" si="178"/>
        <v>0</v>
      </c>
      <c r="AW310" s="1799">
        <f t="shared" si="179"/>
        <v>0</v>
      </c>
      <c r="AX310" s="1799">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2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22"/>
      <c r="AV311" s="1799">
        <f t="shared" si="178"/>
        <v>0</v>
      </c>
      <c r="AW311" s="1799">
        <f t="shared" si="179"/>
        <v>0</v>
      </c>
      <c r="AX311" s="1799">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2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22"/>
      <c r="AV312" s="1799">
        <f t="shared" si="178"/>
        <v>0</v>
      </c>
      <c r="AW312" s="1799">
        <f t="shared" si="179"/>
        <v>0</v>
      </c>
      <c r="AX312" s="1799">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2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22"/>
      <c r="AV313" s="1799">
        <f t="shared" si="178"/>
        <v>0</v>
      </c>
      <c r="AW313" s="1799">
        <f t="shared" si="179"/>
        <v>0</v>
      </c>
      <c r="AX313" s="1799">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2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22"/>
      <c r="AV314" s="1799">
        <f t="shared" si="178"/>
        <v>0</v>
      </c>
      <c r="AW314" s="1799">
        <f t="shared" si="179"/>
        <v>0</v>
      </c>
      <c r="AX314" s="1799">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2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22"/>
      <c r="AV315" s="1799">
        <f t="shared" si="178"/>
        <v>0</v>
      </c>
      <c r="AW315" s="1799">
        <f t="shared" si="179"/>
        <v>0</v>
      </c>
      <c r="AX315" s="1799">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2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22"/>
      <c r="AV316" s="1799">
        <f t="shared" si="178"/>
        <v>0</v>
      </c>
      <c r="AW316" s="1799">
        <f t="shared" si="179"/>
        <v>0</v>
      </c>
      <c r="AX316" s="1799">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2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22"/>
      <c r="AV317" s="1799">
        <f t="shared" si="178"/>
        <v>0</v>
      </c>
      <c r="AW317" s="1799">
        <f t="shared" si="179"/>
        <v>0</v>
      </c>
      <c r="AX317" s="1799">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2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22"/>
      <c r="AV318" s="1799">
        <f t="shared" si="178"/>
        <v>0</v>
      </c>
      <c r="AW318" s="1799">
        <f t="shared" si="179"/>
        <v>0</v>
      </c>
      <c r="AX318" s="1799">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2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22"/>
      <c r="AV319" s="1799">
        <f t="shared" si="178"/>
        <v>0</v>
      </c>
      <c r="AW319" s="1799">
        <f t="shared" si="179"/>
        <v>0</v>
      </c>
      <c r="AX319" s="1799">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2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22"/>
      <c r="AV320" s="1799">
        <f t="shared" si="178"/>
        <v>0</v>
      </c>
      <c r="AW320" s="1799">
        <f t="shared" si="179"/>
        <v>0</v>
      </c>
      <c r="AX320" s="1799">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2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22"/>
      <c r="AV321" s="1799">
        <f t="shared" si="178"/>
        <v>0</v>
      </c>
      <c r="AW321" s="1799">
        <f t="shared" si="179"/>
        <v>0</v>
      </c>
      <c r="AX321" s="1799">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2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22"/>
      <c r="AV322" s="1799">
        <f t="shared" si="178"/>
        <v>0</v>
      </c>
      <c r="AW322" s="1799">
        <f t="shared" si="179"/>
        <v>0</v>
      </c>
      <c r="AX322" s="1799">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2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22"/>
      <c r="AV323" s="1799">
        <f t="shared" si="178"/>
        <v>0</v>
      </c>
      <c r="AW323" s="1799">
        <f t="shared" si="179"/>
        <v>0</v>
      </c>
      <c r="AX323" s="1799">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2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22"/>
      <c r="AV324" s="1799">
        <f t="shared" si="178"/>
        <v>0</v>
      </c>
      <c r="AW324" s="1799">
        <f t="shared" si="179"/>
        <v>0</v>
      </c>
      <c r="AX324" s="1799">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2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22"/>
      <c r="AV325" s="1799">
        <f t="shared" si="178"/>
        <v>0</v>
      </c>
      <c r="AW325" s="1799">
        <f t="shared" si="179"/>
        <v>0</v>
      </c>
      <c r="AX325" s="1799">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2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22"/>
      <c r="AV326" s="1799">
        <f t="shared" si="178"/>
        <v>0</v>
      </c>
      <c r="AW326" s="1799">
        <f t="shared" si="179"/>
        <v>0</v>
      </c>
      <c r="AX326" s="1799">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2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22"/>
      <c r="AV327" s="1799">
        <f t="shared" si="178"/>
        <v>0</v>
      </c>
      <c r="AW327" s="1799">
        <f t="shared" si="179"/>
        <v>0</v>
      </c>
      <c r="AX327" s="1799">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2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22"/>
      <c r="AV328" s="1799">
        <f t="shared" si="178"/>
        <v>0</v>
      </c>
      <c r="AW328" s="1799">
        <f t="shared" si="179"/>
        <v>0</v>
      </c>
      <c r="AX328" s="1799">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2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22"/>
      <c r="AV329" s="1799">
        <f t="shared" si="178"/>
        <v>0</v>
      </c>
      <c r="AW329" s="1799">
        <f t="shared" si="179"/>
        <v>0</v>
      </c>
      <c r="AX329" s="1799">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2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22"/>
      <c r="AV330" s="1799">
        <f t="shared" si="178"/>
        <v>0</v>
      </c>
      <c r="AW330" s="1799">
        <f t="shared" si="179"/>
        <v>0</v>
      </c>
      <c r="AX330" s="1799">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2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22"/>
      <c r="AV331" s="1799">
        <f t="shared" si="178"/>
        <v>0</v>
      </c>
      <c r="AW331" s="1799">
        <f t="shared" si="179"/>
        <v>0</v>
      </c>
      <c r="AX331" s="1799">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2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22"/>
      <c r="AV332" s="1799">
        <f t="shared" si="178"/>
        <v>0</v>
      </c>
      <c r="AW332" s="1799">
        <f t="shared" si="179"/>
        <v>0</v>
      </c>
      <c r="AX332" s="1799">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2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22"/>
      <c r="AV333" s="1799">
        <f t="shared" si="178"/>
        <v>0</v>
      </c>
      <c r="AW333" s="1799">
        <f t="shared" si="179"/>
        <v>0</v>
      </c>
      <c r="AX333" s="1799">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2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22"/>
      <c r="AV334" s="1799">
        <f t="shared" si="178"/>
        <v>0</v>
      </c>
      <c r="AW334" s="1799">
        <f t="shared" si="179"/>
        <v>0</v>
      </c>
      <c r="AX334" s="1799">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2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22"/>
      <c r="AV335" s="1799">
        <f t="shared" ref="AV335:AV366" si="207">A335</f>
        <v>0</v>
      </c>
      <c r="AW335" s="1799">
        <f t="shared" ref="AW335:AW366" si="208">B335</f>
        <v>0</v>
      </c>
      <c r="AX335" s="1799">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2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22"/>
      <c r="AV336" s="1799">
        <f t="shared" si="207"/>
        <v>0</v>
      </c>
      <c r="AW336" s="1799">
        <f t="shared" si="208"/>
        <v>0</v>
      </c>
      <c r="AX336" s="1799">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2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22"/>
      <c r="AV337" s="1799">
        <f t="shared" si="207"/>
        <v>0</v>
      </c>
      <c r="AW337" s="1799">
        <f t="shared" si="208"/>
        <v>0</v>
      </c>
      <c r="AX337" s="1799">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2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22"/>
      <c r="AV338" s="1799">
        <f t="shared" si="207"/>
        <v>0</v>
      </c>
      <c r="AW338" s="1799">
        <f t="shared" si="208"/>
        <v>0</v>
      </c>
      <c r="AX338" s="1799">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2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22"/>
      <c r="AV339" s="1799">
        <f t="shared" si="207"/>
        <v>0</v>
      </c>
      <c r="AW339" s="1799">
        <f t="shared" si="208"/>
        <v>0</v>
      </c>
      <c r="AX339" s="1799">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2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22"/>
      <c r="AV340" s="1799">
        <f t="shared" si="207"/>
        <v>0</v>
      </c>
      <c r="AW340" s="1799">
        <f t="shared" si="208"/>
        <v>0</v>
      </c>
      <c r="AX340" s="1799">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2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22"/>
      <c r="AV341" s="1799">
        <f t="shared" si="207"/>
        <v>0</v>
      </c>
      <c r="AW341" s="1799">
        <f t="shared" si="208"/>
        <v>0</v>
      </c>
      <c r="AX341" s="1799">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2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22"/>
      <c r="AV342" s="1799">
        <f t="shared" si="207"/>
        <v>0</v>
      </c>
      <c r="AW342" s="1799">
        <f t="shared" si="208"/>
        <v>0</v>
      </c>
      <c r="AX342" s="1799">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2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22"/>
      <c r="AV343" s="1799">
        <f t="shared" si="207"/>
        <v>0</v>
      </c>
      <c r="AW343" s="1799">
        <f t="shared" si="208"/>
        <v>0</v>
      </c>
      <c r="AX343" s="1799">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2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22"/>
      <c r="AV344" s="1799">
        <f t="shared" si="207"/>
        <v>0</v>
      </c>
      <c r="AW344" s="1799">
        <f t="shared" si="208"/>
        <v>0</v>
      </c>
      <c r="AX344" s="1799">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2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22"/>
      <c r="AV345" s="1799">
        <f t="shared" si="207"/>
        <v>0</v>
      </c>
      <c r="AW345" s="1799">
        <f t="shared" si="208"/>
        <v>0</v>
      </c>
      <c r="AX345" s="1799">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2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22"/>
      <c r="AV346" s="1799">
        <f t="shared" si="207"/>
        <v>0</v>
      </c>
      <c r="AW346" s="1799">
        <f t="shared" si="208"/>
        <v>0</v>
      </c>
      <c r="AX346" s="1799">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2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22"/>
      <c r="AV347" s="1799">
        <f t="shared" si="207"/>
        <v>0</v>
      </c>
      <c r="AW347" s="1799">
        <f t="shared" si="208"/>
        <v>0</v>
      </c>
      <c r="AX347" s="1799">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2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22"/>
      <c r="AV348" s="1799">
        <f t="shared" si="207"/>
        <v>0</v>
      </c>
      <c r="AW348" s="1799">
        <f t="shared" si="208"/>
        <v>0</v>
      </c>
      <c r="AX348" s="1799">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2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22"/>
      <c r="AV349" s="1799">
        <f t="shared" si="207"/>
        <v>0</v>
      </c>
      <c r="AW349" s="1799">
        <f t="shared" si="208"/>
        <v>0</v>
      </c>
      <c r="AX349" s="1799">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2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22"/>
      <c r="AV350" s="1799">
        <f t="shared" si="207"/>
        <v>0</v>
      </c>
      <c r="AW350" s="1799">
        <f t="shared" si="208"/>
        <v>0</v>
      </c>
      <c r="AX350" s="1799">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2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22"/>
      <c r="AV351" s="1799">
        <f t="shared" si="207"/>
        <v>0</v>
      </c>
      <c r="AW351" s="1799">
        <f t="shared" si="208"/>
        <v>0</v>
      </c>
      <c r="AX351" s="1799">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2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22"/>
      <c r="AV352" s="1799">
        <f t="shared" si="207"/>
        <v>0</v>
      </c>
      <c r="AW352" s="1799">
        <f t="shared" si="208"/>
        <v>0</v>
      </c>
      <c r="AX352" s="1799">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2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22"/>
      <c r="AV353" s="1799">
        <f t="shared" si="207"/>
        <v>0</v>
      </c>
      <c r="AW353" s="1799">
        <f t="shared" si="208"/>
        <v>0</v>
      </c>
      <c r="AX353" s="1799">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2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22"/>
      <c r="AV354" s="1799">
        <f t="shared" si="207"/>
        <v>0</v>
      </c>
      <c r="AW354" s="1799">
        <f t="shared" si="208"/>
        <v>0</v>
      </c>
      <c r="AX354" s="1799">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2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22"/>
      <c r="AV355" s="1799">
        <f t="shared" si="207"/>
        <v>0</v>
      </c>
      <c r="AW355" s="1799">
        <f t="shared" si="208"/>
        <v>0</v>
      </c>
      <c r="AX355" s="1799">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2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22"/>
      <c r="AV356" s="1799">
        <f t="shared" si="207"/>
        <v>0</v>
      </c>
      <c r="AW356" s="1799">
        <f t="shared" si="208"/>
        <v>0</v>
      </c>
      <c r="AX356" s="1799">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2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22"/>
      <c r="AV357" s="1799">
        <f t="shared" si="207"/>
        <v>0</v>
      </c>
      <c r="AW357" s="1799">
        <f t="shared" si="208"/>
        <v>0</v>
      </c>
      <c r="AX357" s="1799">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2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22"/>
      <c r="AV358" s="1799">
        <f t="shared" si="207"/>
        <v>0</v>
      </c>
      <c r="AW358" s="1799">
        <f t="shared" si="208"/>
        <v>0</v>
      </c>
      <c r="AX358" s="1799">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2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22"/>
      <c r="AV359" s="1799">
        <f t="shared" si="207"/>
        <v>0</v>
      </c>
      <c r="AW359" s="1799">
        <f t="shared" si="208"/>
        <v>0</v>
      </c>
      <c r="AX359" s="1799">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2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22"/>
      <c r="AV360" s="1799">
        <f t="shared" si="207"/>
        <v>0</v>
      </c>
      <c r="AW360" s="1799">
        <f t="shared" si="208"/>
        <v>0</v>
      </c>
      <c r="AX360" s="1799">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2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22"/>
      <c r="AV361" s="1799">
        <f t="shared" si="207"/>
        <v>0</v>
      </c>
      <c r="AW361" s="1799">
        <f t="shared" si="208"/>
        <v>0</v>
      </c>
      <c r="AX361" s="1799">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2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22"/>
      <c r="AV362" s="1799">
        <f t="shared" si="207"/>
        <v>0</v>
      </c>
      <c r="AW362" s="1799">
        <f t="shared" si="208"/>
        <v>0</v>
      </c>
      <c r="AX362" s="1799">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2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22"/>
      <c r="AV363" s="1799">
        <f t="shared" si="207"/>
        <v>0</v>
      </c>
      <c r="AW363" s="1799">
        <f t="shared" si="208"/>
        <v>0</v>
      </c>
      <c r="AX363" s="1799">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2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22"/>
      <c r="AV364" s="1799">
        <f t="shared" si="207"/>
        <v>0</v>
      </c>
      <c r="AW364" s="1799">
        <f t="shared" si="208"/>
        <v>0</v>
      </c>
      <c r="AX364" s="1799">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2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22"/>
      <c r="AV365" s="1799">
        <f t="shared" si="207"/>
        <v>0</v>
      </c>
      <c r="AW365" s="1799">
        <f t="shared" si="208"/>
        <v>0</v>
      </c>
      <c r="AX365" s="1799">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2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22"/>
      <c r="AV366" s="1799">
        <f t="shared" si="207"/>
        <v>0</v>
      </c>
      <c r="AW366" s="1799">
        <f t="shared" si="208"/>
        <v>0</v>
      </c>
      <c r="AX366" s="1799">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2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22"/>
      <c r="AV367" s="1799">
        <f t="shared" ref="AV367:AV397" si="236">A367</f>
        <v>0</v>
      </c>
      <c r="AW367" s="1799">
        <f t="shared" ref="AW367:AW397" si="237">B367</f>
        <v>0</v>
      </c>
      <c r="AX367" s="1799">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2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22"/>
      <c r="AV368" s="1799">
        <f t="shared" si="236"/>
        <v>0</v>
      </c>
      <c r="AW368" s="1799">
        <f t="shared" si="237"/>
        <v>0</v>
      </c>
      <c r="AX368" s="1799">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2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22"/>
      <c r="AV369" s="1799">
        <f t="shared" si="236"/>
        <v>0</v>
      </c>
      <c r="AW369" s="1799">
        <f t="shared" si="237"/>
        <v>0</v>
      </c>
      <c r="AX369" s="1799">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2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22"/>
      <c r="AV370" s="1799">
        <f t="shared" si="236"/>
        <v>0</v>
      </c>
      <c r="AW370" s="1799">
        <f t="shared" si="237"/>
        <v>0</v>
      </c>
      <c r="AX370" s="1799">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2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22"/>
      <c r="AV371" s="1799">
        <f t="shared" si="236"/>
        <v>0</v>
      </c>
      <c r="AW371" s="1799">
        <f t="shared" si="237"/>
        <v>0</v>
      </c>
      <c r="AX371" s="1799">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2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22"/>
      <c r="AV372" s="1799">
        <f t="shared" si="236"/>
        <v>0</v>
      </c>
      <c r="AW372" s="1799">
        <f t="shared" si="237"/>
        <v>0</v>
      </c>
      <c r="AX372" s="1799">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2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22"/>
      <c r="AV373" s="1799">
        <f t="shared" si="236"/>
        <v>0</v>
      </c>
      <c r="AW373" s="1799">
        <f t="shared" si="237"/>
        <v>0</v>
      </c>
      <c r="AX373" s="1799">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2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22"/>
      <c r="AV374" s="1799">
        <f t="shared" si="236"/>
        <v>0</v>
      </c>
      <c r="AW374" s="1799">
        <f t="shared" si="237"/>
        <v>0</v>
      </c>
      <c r="AX374" s="1799">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2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22"/>
      <c r="AV375" s="1799">
        <f t="shared" si="236"/>
        <v>0</v>
      </c>
      <c r="AW375" s="1799">
        <f t="shared" si="237"/>
        <v>0</v>
      </c>
      <c r="AX375" s="1799">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2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22"/>
      <c r="AV376" s="1799">
        <f t="shared" si="236"/>
        <v>0</v>
      </c>
      <c r="AW376" s="1799">
        <f t="shared" si="237"/>
        <v>0</v>
      </c>
      <c r="AX376" s="1799">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2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22"/>
      <c r="AV377" s="1799">
        <f t="shared" si="236"/>
        <v>0</v>
      </c>
      <c r="AW377" s="1799">
        <f t="shared" si="237"/>
        <v>0</v>
      </c>
      <c r="AX377" s="1799">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2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22"/>
      <c r="AV378" s="1799">
        <f t="shared" si="236"/>
        <v>0</v>
      </c>
      <c r="AW378" s="1799">
        <f t="shared" si="237"/>
        <v>0</v>
      </c>
      <c r="AX378" s="1799">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2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22"/>
      <c r="AV379" s="1799">
        <f t="shared" si="236"/>
        <v>0</v>
      </c>
      <c r="AW379" s="1799">
        <f t="shared" si="237"/>
        <v>0</v>
      </c>
      <c r="AX379" s="1799">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2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22"/>
      <c r="AV380" s="1799">
        <f t="shared" si="236"/>
        <v>0</v>
      </c>
      <c r="AW380" s="1799">
        <f t="shared" si="237"/>
        <v>0</v>
      </c>
      <c r="AX380" s="1799">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2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22"/>
      <c r="AV381" s="1799">
        <f t="shared" si="236"/>
        <v>0</v>
      </c>
      <c r="AW381" s="1799">
        <f t="shared" si="237"/>
        <v>0</v>
      </c>
      <c r="AX381" s="1799">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2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22"/>
      <c r="AV382" s="1799">
        <f t="shared" si="236"/>
        <v>0</v>
      </c>
      <c r="AW382" s="1799">
        <f t="shared" si="237"/>
        <v>0</v>
      </c>
      <c r="AX382" s="1799">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2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22"/>
      <c r="AV383" s="1799">
        <f t="shared" si="236"/>
        <v>0</v>
      </c>
      <c r="AW383" s="1799">
        <f t="shared" si="237"/>
        <v>0</v>
      </c>
      <c r="AX383" s="1799">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2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22"/>
      <c r="AV384" s="1799">
        <f t="shared" si="236"/>
        <v>0</v>
      </c>
      <c r="AW384" s="1799">
        <f t="shared" si="237"/>
        <v>0</v>
      </c>
      <c r="AX384" s="1799">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2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22"/>
      <c r="AV385" s="1799">
        <f t="shared" si="236"/>
        <v>0</v>
      </c>
      <c r="AW385" s="1799">
        <f t="shared" si="237"/>
        <v>0</v>
      </c>
      <c r="AX385" s="1799">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2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22"/>
      <c r="AV386" s="1799">
        <f t="shared" si="236"/>
        <v>0</v>
      </c>
      <c r="AW386" s="1799">
        <f t="shared" si="237"/>
        <v>0</v>
      </c>
      <c r="AX386" s="1799">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2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22"/>
      <c r="AV387" s="1799">
        <f t="shared" si="236"/>
        <v>0</v>
      </c>
      <c r="AW387" s="1799">
        <f t="shared" si="237"/>
        <v>0</v>
      </c>
      <c r="AX387" s="1799">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2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22"/>
      <c r="AV388" s="1799">
        <f t="shared" si="236"/>
        <v>0</v>
      </c>
      <c r="AW388" s="1799">
        <f t="shared" si="237"/>
        <v>0</v>
      </c>
      <c r="AX388" s="1799">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2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22"/>
      <c r="AV389" s="1799">
        <f t="shared" si="236"/>
        <v>0</v>
      </c>
      <c r="AW389" s="1799">
        <f t="shared" si="237"/>
        <v>0</v>
      </c>
      <c r="AX389" s="1799">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2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22"/>
      <c r="AV390" s="1799">
        <f t="shared" si="236"/>
        <v>0</v>
      </c>
      <c r="AW390" s="1799">
        <f t="shared" si="237"/>
        <v>0</v>
      </c>
      <c r="AX390" s="1799">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2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22"/>
      <c r="AV391" s="1799">
        <f t="shared" si="236"/>
        <v>0</v>
      </c>
      <c r="AW391" s="1799">
        <f t="shared" si="237"/>
        <v>0</v>
      </c>
      <c r="AX391" s="1799">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2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22"/>
      <c r="AV392" s="1799">
        <f t="shared" si="236"/>
        <v>0</v>
      </c>
      <c r="AW392" s="1799">
        <f t="shared" si="237"/>
        <v>0</v>
      </c>
      <c r="AX392" s="1799">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2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22"/>
      <c r="AV393" s="1799">
        <f t="shared" si="236"/>
        <v>0</v>
      </c>
      <c r="AW393" s="1799">
        <f t="shared" si="237"/>
        <v>0</v>
      </c>
      <c r="AX393" s="1799">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2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22"/>
      <c r="AV394" s="1799">
        <f t="shared" si="236"/>
        <v>0</v>
      </c>
      <c r="AW394" s="1799">
        <f t="shared" si="237"/>
        <v>0</v>
      </c>
      <c r="AX394" s="1799">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2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7"/>
      <c r="AV395" s="1799">
        <f t="shared" si="236"/>
        <v>0</v>
      </c>
      <c r="AW395" s="1799">
        <f t="shared" si="237"/>
        <v>0</v>
      </c>
      <c r="AX395" s="1799">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2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7"/>
      <c r="AV396" s="1799">
        <f t="shared" si="236"/>
        <v>0</v>
      </c>
      <c r="AW396" s="1799">
        <f t="shared" si="237"/>
        <v>0</v>
      </c>
      <c r="AX396" s="1799">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2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7"/>
      <c r="AV397" s="1799">
        <f t="shared" si="236"/>
        <v>0</v>
      </c>
      <c r="AW397" s="1799">
        <f t="shared" si="237"/>
        <v>0</v>
      </c>
      <c r="AX397" s="1799">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2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22"/>
      <c r="AV398" s="1799">
        <f t="shared" ref="AV398:AV492" si="243">A398</f>
        <v>0</v>
      </c>
      <c r="AW398" s="1799">
        <f t="shared" ref="AW398:AW492" si="244">B398</f>
        <v>0</v>
      </c>
      <c r="AX398" s="1799">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2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22"/>
      <c r="AV399" s="1799">
        <f t="shared" si="243"/>
        <v>0</v>
      </c>
      <c r="AW399" s="1799">
        <f t="shared" si="244"/>
        <v>0</v>
      </c>
      <c r="AX399" s="1799">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2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22"/>
      <c r="AV400" s="1799">
        <f t="shared" si="243"/>
        <v>0</v>
      </c>
      <c r="AW400" s="1799">
        <f t="shared" si="244"/>
        <v>0</v>
      </c>
      <c r="AX400" s="1799">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2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22"/>
      <c r="AV401" s="1799">
        <f t="shared" si="243"/>
        <v>0</v>
      </c>
      <c r="AW401" s="1799">
        <f t="shared" si="244"/>
        <v>0</v>
      </c>
      <c r="AX401" s="1799">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2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22"/>
      <c r="AV402" s="1799">
        <f t="shared" si="243"/>
        <v>0</v>
      </c>
      <c r="AW402" s="1799">
        <f t="shared" si="244"/>
        <v>0</v>
      </c>
      <c r="AX402" s="1799">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2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22"/>
      <c r="AV403" s="1799">
        <f t="shared" si="243"/>
        <v>0</v>
      </c>
      <c r="AW403" s="1799">
        <f t="shared" si="244"/>
        <v>0</v>
      </c>
      <c r="AX403" s="1799">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2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22"/>
      <c r="AV404" s="1799">
        <f t="shared" si="243"/>
        <v>0</v>
      </c>
      <c r="AW404" s="1799">
        <f t="shared" si="244"/>
        <v>0</v>
      </c>
      <c r="AX404" s="1799">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2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22"/>
      <c r="AV405" s="1799">
        <f t="shared" si="243"/>
        <v>0</v>
      </c>
      <c r="AW405" s="1799">
        <f t="shared" si="244"/>
        <v>0</v>
      </c>
      <c r="AX405" s="1799">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2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22"/>
      <c r="AV406" s="1799">
        <f t="shared" si="243"/>
        <v>0</v>
      </c>
      <c r="AW406" s="1799">
        <f t="shared" si="244"/>
        <v>0</v>
      </c>
      <c r="AX406" s="1799">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2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22"/>
      <c r="AV407" s="1799">
        <f t="shared" si="243"/>
        <v>0</v>
      </c>
      <c r="AW407" s="1799">
        <f t="shared" si="244"/>
        <v>0</v>
      </c>
      <c r="AX407" s="1799">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2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22"/>
      <c r="AV408" s="1799">
        <f t="shared" si="243"/>
        <v>0</v>
      </c>
      <c r="AW408" s="1799">
        <f t="shared" si="244"/>
        <v>0</v>
      </c>
      <c r="AX408" s="1799">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2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22"/>
      <c r="AV409" s="1799">
        <f t="shared" si="243"/>
        <v>0</v>
      </c>
      <c r="AW409" s="1799">
        <f t="shared" si="244"/>
        <v>0</v>
      </c>
      <c r="AX409" s="1799">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2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22"/>
      <c r="AV410" s="1799">
        <f t="shared" si="243"/>
        <v>0</v>
      </c>
      <c r="AW410" s="1799">
        <f t="shared" si="244"/>
        <v>0</v>
      </c>
      <c r="AX410" s="1799">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2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22"/>
      <c r="AV411" s="1799">
        <f t="shared" si="243"/>
        <v>0</v>
      </c>
      <c r="AW411" s="1799">
        <f t="shared" si="244"/>
        <v>0</v>
      </c>
      <c r="AX411" s="1799">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2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22"/>
      <c r="AV412" s="1799">
        <f t="shared" si="243"/>
        <v>0</v>
      </c>
      <c r="AW412" s="1799">
        <f t="shared" si="244"/>
        <v>0</v>
      </c>
      <c r="AX412" s="1799">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2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22"/>
      <c r="AV413" s="1799">
        <f t="shared" si="243"/>
        <v>0</v>
      </c>
      <c r="AW413" s="1799">
        <f t="shared" si="244"/>
        <v>0</v>
      </c>
      <c r="AX413" s="1799">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2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22"/>
      <c r="AV414" s="1799">
        <f t="shared" si="243"/>
        <v>0</v>
      </c>
      <c r="AW414" s="1799">
        <f t="shared" si="244"/>
        <v>0</v>
      </c>
      <c r="AX414" s="1799">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2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22"/>
      <c r="AV415" s="1799">
        <f t="shared" si="243"/>
        <v>0</v>
      </c>
      <c r="AW415" s="1799">
        <f t="shared" si="244"/>
        <v>0</v>
      </c>
      <c r="AX415" s="1799">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2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22"/>
      <c r="AV416" s="1799">
        <f t="shared" si="243"/>
        <v>0</v>
      </c>
      <c r="AW416" s="1799">
        <f t="shared" si="244"/>
        <v>0</v>
      </c>
      <c r="AX416" s="1799">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2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22"/>
      <c r="AV417" s="1799">
        <f t="shared" si="243"/>
        <v>0</v>
      </c>
      <c r="AW417" s="1799">
        <f t="shared" si="244"/>
        <v>0</v>
      </c>
      <c r="AX417" s="1799">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2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22"/>
      <c r="AV418" s="1799">
        <f t="shared" si="243"/>
        <v>0</v>
      </c>
      <c r="AW418" s="1799">
        <f t="shared" si="244"/>
        <v>0</v>
      </c>
      <c r="AX418" s="1799">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2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22"/>
      <c r="AV419" s="1799">
        <f t="shared" si="243"/>
        <v>0</v>
      </c>
      <c r="AW419" s="1799">
        <f t="shared" si="244"/>
        <v>0</v>
      </c>
      <c r="AX419" s="1799">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2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22"/>
      <c r="AV420" s="1799">
        <f t="shared" si="243"/>
        <v>0</v>
      </c>
      <c r="AW420" s="1799">
        <f t="shared" si="244"/>
        <v>0</v>
      </c>
      <c r="AX420" s="1799">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2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22"/>
      <c r="AV421" s="1799">
        <f t="shared" si="243"/>
        <v>0</v>
      </c>
      <c r="AW421" s="1799">
        <f t="shared" si="244"/>
        <v>0</v>
      </c>
      <c r="AX421" s="1799">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2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22"/>
      <c r="AV422" s="1799">
        <f t="shared" si="243"/>
        <v>0</v>
      </c>
      <c r="AW422" s="1799">
        <f t="shared" si="244"/>
        <v>0</v>
      </c>
      <c r="AX422" s="1799">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2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22"/>
      <c r="AV423" s="1799">
        <f t="shared" si="243"/>
        <v>0</v>
      </c>
      <c r="AW423" s="1799">
        <f t="shared" si="244"/>
        <v>0</v>
      </c>
      <c r="AX423" s="1799">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2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22"/>
      <c r="AV424" s="1799">
        <f t="shared" si="243"/>
        <v>0</v>
      </c>
      <c r="AW424" s="1799">
        <f t="shared" si="244"/>
        <v>0</v>
      </c>
      <c r="AX424" s="1799">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2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22"/>
      <c r="AV425" s="1799">
        <f t="shared" si="243"/>
        <v>0</v>
      </c>
      <c r="AW425" s="1799">
        <f t="shared" si="244"/>
        <v>0</v>
      </c>
      <c r="AX425" s="1799">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2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22"/>
      <c r="AV426" s="1799">
        <f t="shared" si="243"/>
        <v>0</v>
      </c>
      <c r="AW426" s="1799">
        <f t="shared" si="244"/>
        <v>0</v>
      </c>
      <c r="AX426" s="1799">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2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22"/>
      <c r="AV427" s="1799">
        <f t="shared" si="243"/>
        <v>0</v>
      </c>
      <c r="AW427" s="1799">
        <f t="shared" si="244"/>
        <v>0</v>
      </c>
      <c r="AX427" s="1799">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2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22"/>
      <c r="AV428" s="1799">
        <f t="shared" si="243"/>
        <v>0</v>
      </c>
      <c r="AW428" s="1799">
        <f t="shared" si="244"/>
        <v>0</v>
      </c>
      <c r="AX428" s="1799">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2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22"/>
      <c r="AV429" s="1799">
        <f t="shared" si="243"/>
        <v>0</v>
      </c>
      <c r="AW429" s="1799">
        <f t="shared" si="244"/>
        <v>0</v>
      </c>
      <c r="AX429" s="1799">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2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22"/>
      <c r="AV430" s="1799">
        <f t="shared" si="243"/>
        <v>0</v>
      </c>
      <c r="AW430" s="1799">
        <f t="shared" si="244"/>
        <v>0</v>
      </c>
      <c r="AX430" s="1799">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2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22"/>
      <c r="AV431" s="1799">
        <f t="shared" si="243"/>
        <v>0</v>
      </c>
      <c r="AW431" s="1799">
        <f t="shared" si="244"/>
        <v>0</v>
      </c>
      <c r="AX431" s="1799">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2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22"/>
      <c r="AV432" s="1799">
        <f t="shared" si="243"/>
        <v>0</v>
      </c>
      <c r="AW432" s="1799">
        <f t="shared" si="244"/>
        <v>0</v>
      </c>
      <c r="AX432" s="1799">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2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22"/>
      <c r="AV433" s="1799">
        <f t="shared" si="243"/>
        <v>0</v>
      </c>
      <c r="AW433" s="1799">
        <f t="shared" si="244"/>
        <v>0</v>
      </c>
      <c r="AX433" s="1799">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2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22"/>
      <c r="AV434" s="1799">
        <f t="shared" si="243"/>
        <v>0</v>
      </c>
      <c r="AW434" s="1799">
        <f t="shared" si="244"/>
        <v>0</v>
      </c>
      <c r="AX434" s="1799">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2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22"/>
      <c r="AV435" s="1799">
        <f t="shared" si="243"/>
        <v>0</v>
      </c>
      <c r="AW435" s="1799">
        <f t="shared" si="244"/>
        <v>0</v>
      </c>
      <c r="AX435" s="1799">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2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22"/>
      <c r="AV436" s="1799">
        <f t="shared" si="243"/>
        <v>0</v>
      </c>
      <c r="AW436" s="1799">
        <f t="shared" si="244"/>
        <v>0</v>
      </c>
      <c r="AX436" s="1799">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2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22"/>
      <c r="AV437" s="1799">
        <f t="shared" si="243"/>
        <v>0</v>
      </c>
      <c r="AW437" s="1799">
        <f t="shared" si="244"/>
        <v>0</v>
      </c>
      <c r="AX437" s="1799">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2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22"/>
      <c r="AV438" s="1799">
        <f t="shared" si="243"/>
        <v>0</v>
      </c>
      <c r="AW438" s="1799">
        <f t="shared" si="244"/>
        <v>0</v>
      </c>
      <c r="AX438" s="1799">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2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22"/>
      <c r="AV439" s="1799">
        <f t="shared" si="243"/>
        <v>0</v>
      </c>
      <c r="AW439" s="1799">
        <f t="shared" si="244"/>
        <v>0</v>
      </c>
      <c r="AX439" s="1799">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2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22"/>
      <c r="AV440" s="1799">
        <f t="shared" si="243"/>
        <v>0</v>
      </c>
      <c r="AW440" s="1799">
        <f t="shared" si="244"/>
        <v>0</v>
      </c>
      <c r="AX440" s="1799">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2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22"/>
      <c r="AV441" s="1799">
        <f t="shared" si="243"/>
        <v>0</v>
      </c>
      <c r="AW441" s="1799">
        <f t="shared" si="244"/>
        <v>0</v>
      </c>
      <c r="AX441" s="1799">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2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22"/>
      <c r="AV442" s="1799">
        <f t="shared" si="243"/>
        <v>0</v>
      </c>
      <c r="AW442" s="1799">
        <f t="shared" si="244"/>
        <v>0</v>
      </c>
      <c r="AX442" s="1799">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2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22"/>
      <c r="AV443" s="1799">
        <f t="shared" si="243"/>
        <v>0</v>
      </c>
      <c r="AW443" s="1799">
        <f t="shared" si="244"/>
        <v>0</v>
      </c>
      <c r="AX443" s="1799">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2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22"/>
      <c r="AV444" s="1799">
        <f t="shared" si="243"/>
        <v>0</v>
      </c>
      <c r="AW444" s="1799">
        <f t="shared" si="244"/>
        <v>0</v>
      </c>
      <c r="AX444" s="1799">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2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22"/>
      <c r="AV445" s="1799">
        <f t="shared" si="243"/>
        <v>0</v>
      </c>
      <c r="AW445" s="1799">
        <f t="shared" si="244"/>
        <v>0</v>
      </c>
      <c r="AX445" s="1799">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2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22"/>
      <c r="AV446" s="1799">
        <f t="shared" si="243"/>
        <v>0</v>
      </c>
      <c r="AW446" s="1799">
        <f t="shared" si="244"/>
        <v>0</v>
      </c>
      <c r="AX446" s="1799">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2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22"/>
      <c r="AV447" s="1799">
        <f t="shared" si="243"/>
        <v>0</v>
      </c>
      <c r="AW447" s="1799">
        <f t="shared" si="244"/>
        <v>0</v>
      </c>
      <c r="AX447" s="1799">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2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22"/>
      <c r="AV448" s="1799">
        <f t="shared" si="243"/>
        <v>0</v>
      </c>
      <c r="AW448" s="1799">
        <f t="shared" si="244"/>
        <v>0</v>
      </c>
      <c r="AX448" s="1799">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2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22"/>
      <c r="AV449" s="1799">
        <f t="shared" si="243"/>
        <v>0</v>
      </c>
      <c r="AW449" s="1799">
        <f t="shared" si="244"/>
        <v>0</v>
      </c>
      <c r="AX449" s="1799">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2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22"/>
      <c r="AV450" s="1799">
        <f t="shared" si="243"/>
        <v>0</v>
      </c>
      <c r="AW450" s="1799">
        <f t="shared" si="244"/>
        <v>0</v>
      </c>
      <c r="AX450" s="1799">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2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22"/>
      <c r="AV451" s="1799">
        <f t="shared" si="243"/>
        <v>0</v>
      </c>
      <c r="AW451" s="1799">
        <f t="shared" si="244"/>
        <v>0</v>
      </c>
      <c r="AX451" s="1799">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2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22"/>
      <c r="AV452" s="1799">
        <f t="shared" si="243"/>
        <v>0</v>
      </c>
      <c r="AW452" s="1799">
        <f t="shared" si="244"/>
        <v>0</v>
      </c>
      <c r="AX452" s="1799">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2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22"/>
      <c r="AV453" s="1799">
        <f t="shared" si="243"/>
        <v>0</v>
      </c>
      <c r="AW453" s="1799">
        <f t="shared" si="244"/>
        <v>0</v>
      </c>
      <c r="AX453" s="1799">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2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22"/>
      <c r="AV454" s="1799">
        <f t="shared" si="243"/>
        <v>0</v>
      </c>
      <c r="AW454" s="1799">
        <f t="shared" si="244"/>
        <v>0</v>
      </c>
      <c r="AX454" s="1799">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2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22"/>
      <c r="AV455" s="1799">
        <f t="shared" si="243"/>
        <v>0</v>
      </c>
      <c r="AW455" s="1799">
        <f t="shared" si="244"/>
        <v>0</v>
      </c>
      <c r="AX455" s="1799">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2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22"/>
      <c r="AV456" s="1799">
        <f t="shared" si="243"/>
        <v>0</v>
      </c>
      <c r="AW456" s="1799">
        <f t="shared" si="244"/>
        <v>0</v>
      </c>
      <c r="AX456" s="1799">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2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22"/>
      <c r="AV457" s="1799">
        <f t="shared" si="243"/>
        <v>0</v>
      </c>
      <c r="AW457" s="1799">
        <f t="shared" si="244"/>
        <v>0</v>
      </c>
      <c r="AX457" s="1799">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2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22"/>
      <c r="AV458" s="1799">
        <f t="shared" si="243"/>
        <v>0</v>
      </c>
      <c r="AW458" s="1799">
        <f t="shared" si="244"/>
        <v>0</v>
      </c>
      <c r="AX458" s="1799">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2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22"/>
      <c r="AV459" s="1799">
        <f t="shared" si="243"/>
        <v>0</v>
      </c>
      <c r="AW459" s="1799">
        <f t="shared" si="244"/>
        <v>0</v>
      </c>
      <c r="AX459" s="1799">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2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22"/>
      <c r="AV460" s="1799">
        <f t="shared" si="243"/>
        <v>0</v>
      </c>
      <c r="AW460" s="1799">
        <f t="shared" si="244"/>
        <v>0</v>
      </c>
      <c r="AX460" s="1799">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2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22"/>
      <c r="AV461" s="1799">
        <f t="shared" si="243"/>
        <v>0</v>
      </c>
      <c r="AW461" s="1799">
        <f t="shared" si="244"/>
        <v>0</v>
      </c>
      <c r="AX461" s="1799">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2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22"/>
      <c r="AV462" s="1799">
        <f t="shared" si="243"/>
        <v>0</v>
      </c>
      <c r="AW462" s="1799">
        <f t="shared" si="244"/>
        <v>0</v>
      </c>
      <c r="AX462" s="1799">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2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22"/>
      <c r="AV463" s="1799">
        <f t="shared" si="243"/>
        <v>0</v>
      </c>
      <c r="AW463" s="1799">
        <f t="shared" si="244"/>
        <v>0</v>
      </c>
      <c r="AX463" s="1799">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2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22"/>
      <c r="AV464" s="1799">
        <f t="shared" si="243"/>
        <v>0</v>
      </c>
      <c r="AW464" s="1799">
        <f t="shared" si="244"/>
        <v>0</v>
      </c>
      <c r="AX464" s="1799">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2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22"/>
      <c r="AV465" s="1799">
        <f t="shared" si="243"/>
        <v>0</v>
      </c>
      <c r="AW465" s="1799">
        <f t="shared" si="244"/>
        <v>0</v>
      </c>
      <c r="AX465" s="1799">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2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22"/>
      <c r="AV466" s="1799">
        <f t="shared" si="243"/>
        <v>0</v>
      </c>
      <c r="AW466" s="1799">
        <f t="shared" si="244"/>
        <v>0</v>
      </c>
      <c r="AX466" s="1799">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2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22"/>
      <c r="AV467" s="1799">
        <f t="shared" si="243"/>
        <v>0</v>
      </c>
      <c r="AW467" s="1799">
        <f t="shared" si="244"/>
        <v>0</v>
      </c>
      <c r="AX467" s="1799">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2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22"/>
      <c r="AV468" s="1799">
        <f t="shared" si="243"/>
        <v>0</v>
      </c>
      <c r="AW468" s="1799">
        <f t="shared" si="244"/>
        <v>0</v>
      </c>
      <c r="AX468" s="1799">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2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22"/>
      <c r="AV469" s="1799">
        <f t="shared" si="243"/>
        <v>0</v>
      </c>
      <c r="AW469" s="1799">
        <f t="shared" si="244"/>
        <v>0</v>
      </c>
      <c r="AX469" s="1799">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2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22"/>
      <c r="AV470" s="1799">
        <f t="shared" si="243"/>
        <v>0</v>
      </c>
      <c r="AW470" s="1799">
        <f t="shared" si="244"/>
        <v>0</v>
      </c>
      <c r="AX470" s="1799">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2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22"/>
      <c r="AV471" s="1799">
        <f t="shared" si="243"/>
        <v>0</v>
      </c>
      <c r="AW471" s="1799">
        <f t="shared" si="244"/>
        <v>0</v>
      </c>
      <c r="AX471" s="1799">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2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22"/>
      <c r="AV472" s="1799">
        <f t="shared" si="243"/>
        <v>0</v>
      </c>
      <c r="AW472" s="1799">
        <f t="shared" si="244"/>
        <v>0</v>
      </c>
      <c r="AX472" s="1799">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2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22"/>
      <c r="AV473" s="1799">
        <f t="shared" si="243"/>
        <v>0</v>
      </c>
      <c r="AW473" s="1799">
        <f t="shared" si="244"/>
        <v>0</v>
      </c>
      <c r="AX473" s="1799">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2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22"/>
      <c r="AV474" s="1799">
        <f t="shared" si="243"/>
        <v>0</v>
      </c>
      <c r="AW474" s="1799">
        <f t="shared" si="244"/>
        <v>0</v>
      </c>
      <c r="AX474" s="1799">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2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22"/>
      <c r="AV475" s="1799">
        <f t="shared" si="243"/>
        <v>0</v>
      </c>
      <c r="AW475" s="1799">
        <f t="shared" si="244"/>
        <v>0</v>
      </c>
      <c r="AX475" s="1799">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2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22"/>
      <c r="AV476" s="1799">
        <f t="shared" si="243"/>
        <v>0</v>
      </c>
      <c r="AW476" s="1799">
        <f t="shared" si="244"/>
        <v>0</v>
      </c>
      <c r="AX476" s="1799">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2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22"/>
      <c r="AV477" s="1799">
        <f t="shared" si="243"/>
        <v>0</v>
      </c>
      <c r="AW477" s="1799">
        <f t="shared" si="244"/>
        <v>0</v>
      </c>
      <c r="AX477" s="1799">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2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22"/>
      <c r="AV478" s="1799">
        <f t="shared" si="243"/>
        <v>0</v>
      </c>
      <c r="AW478" s="1799">
        <f t="shared" si="244"/>
        <v>0</v>
      </c>
      <c r="AX478" s="1799">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2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22"/>
      <c r="AV479" s="1799">
        <f t="shared" si="243"/>
        <v>0</v>
      </c>
      <c r="AW479" s="1799">
        <f t="shared" si="244"/>
        <v>0</v>
      </c>
      <c r="AX479" s="1799">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2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22"/>
      <c r="AV480" s="1799">
        <f t="shared" si="243"/>
        <v>0</v>
      </c>
      <c r="AW480" s="1799">
        <f t="shared" si="244"/>
        <v>0</v>
      </c>
      <c r="AX480" s="1799">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2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22"/>
      <c r="AV481" s="1799">
        <f t="shared" si="243"/>
        <v>0</v>
      </c>
      <c r="AW481" s="1799">
        <f t="shared" si="244"/>
        <v>0</v>
      </c>
      <c r="AX481" s="1799">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2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22"/>
      <c r="AV482" s="1799">
        <f t="shared" si="243"/>
        <v>0</v>
      </c>
      <c r="AW482" s="1799">
        <f t="shared" si="244"/>
        <v>0</v>
      </c>
      <c r="AX482" s="1799">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2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22"/>
      <c r="AV483" s="1799">
        <f t="shared" si="243"/>
        <v>0</v>
      </c>
      <c r="AW483" s="1799">
        <f t="shared" si="244"/>
        <v>0</v>
      </c>
      <c r="AX483" s="1799">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2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22"/>
      <c r="AV484" s="1799">
        <f t="shared" si="243"/>
        <v>0</v>
      </c>
      <c r="AW484" s="1799">
        <f t="shared" si="244"/>
        <v>0</v>
      </c>
      <c r="AX484" s="1799">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2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22"/>
      <c r="AV485" s="1799">
        <f t="shared" si="243"/>
        <v>0</v>
      </c>
      <c r="AW485" s="1799">
        <f t="shared" si="244"/>
        <v>0</v>
      </c>
      <c r="AX485" s="1799">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2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22"/>
      <c r="AV486" s="1799">
        <f t="shared" si="243"/>
        <v>0</v>
      </c>
      <c r="AW486" s="1799">
        <f t="shared" si="244"/>
        <v>0</v>
      </c>
      <c r="AX486" s="1799">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2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22"/>
      <c r="AV487" s="1799">
        <f t="shared" si="243"/>
        <v>0</v>
      </c>
      <c r="AW487" s="1799">
        <f t="shared" si="244"/>
        <v>0</v>
      </c>
      <c r="AX487" s="1799">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2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22"/>
      <c r="AV488" s="1799">
        <f t="shared" si="243"/>
        <v>0</v>
      </c>
      <c r="AW488" s="1799">
        <f t="shared" si="244"/>
        <v>0</v>
      </c>
      <c r="AX488" s="1799">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2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22"/>
      <c r="AV489" s="1799">
        <f t="shared" si="243"/>
        <v>0</v>
      </c>
      <c r="AW489" s="1799">
        <f t="shared" si="244"/>
        <v>0</v>
      </c>
      <c r="AX489" s="1799">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2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7"/>
      <c r="AV490" s="1799">
        <f t="shared" si="243"/>
        <v>0</v>
      </c>
      <c r="AW490" s="1799">
        <f t="shared" si="244"/>
        <v>0</v>
      </c>
      <c r="AX490" s="1799">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2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7"/>
      <c r="AV491" s="1799">
        <f t="shared" si="243"/>
        <v>0</v>
      </c>
      <c r="AW491" s="1799">
        <f t="shared" si="244"/>
        <v>0</v>
      </c>
      <c r="AX491" s="1799">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2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7"/>
      <c r="AV492" s="1799">
        <f t="shared" si="243"/>
        <v>0</v>
      </c>
      <c r="AW492" s="1799">
        <f t="shared" si="244"/>
        <v>0</v>
      </c>
      <c r="AX492" s="1799">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2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22"/>
      <c r="AV493" s="1799">
        <f t="shared" ref="AV493:AV520" si="294">A493</f>
        <v>0</v>
      </c>
      <c r="AW493" s="1799">
        <f t="shared" ref="AW493:AW520" si="295">B493</f>
        <v>0</v>
      </c>
      <c r="AX493" s="1799">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2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22"/>
      <c r="AV494" s="1799">
        <f t="shared" si="294"/>
        <v>0</v>
      </c>
      <c r="AW494" s="1799">
        <f t="shared" si="295"/>
        <v>0</v>
      </c>
      <c r="AX494" s="1799">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2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22"/>
      <c r="AV495" s="1799">
        <f t="shared" si="294"/>
        <v>0</v>
      </c>
      <c r="AW495" s="1799">
        <f t="shared" si="295"/>
        <v>0</v>
      </c>
      <c r="AX495" s="1799">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2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22"/>
      <c r="AV496" s="1799">
        <f t="shared" si="294"/>
        <v>0</v>
      </c>
      <c r="AW496" s="1799">
        <f t="shared" si="295"/>
        <v>0</v>
      </c>
      <c r="AX496" s="1799">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2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22"/>
      <c r="AV497" s="1799">
        <f t="shared" si="294"/>
        <v>0</v>
      </c>
      <c r="AW497" s="1799">
        <f t="shared" si="295"/>
        <v>0</v>
      </c>
      <c r="AX497" s="1799">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2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22"/>
      <c r="AV498" s="1799">
        <f t="shared" si="294"/>
        <v>0</v>
      </c>
      <c r="AW498" s="1799">
        <f t="shared" si="295"/>
        <v>0</v>
      </c>
      <c r="AX498" s="1799">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2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22"/>
      <c r="AV499" s="1799">
        <f t="shared" si="294"/>
        <v>0</v>
      </c>
      <c r="AW499" s="1799">
        <f t="shared" si="295"/>
        <v>0</v>
      </c>
      <c r="AX499" s="1799">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2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22"/>
      <c r="AV500" s="1799">
        <f t="shared" si="294"/>
        <v>0</v>
      </c>
      <c r="AW500" s="1799">
        <f t="shared" si="295"/>
        <v>0</v>
      </c>
      <c r="AX500" s="1799">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2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22"/>
      <c r="AV501" s="1799">
        <f t="shared" si="294"/>
        <v>0</v>
      </c>
      <c r="AW501" s="1799">
        <f t="shared" si="295"/>
        <v>0</v>
      </c>
      <c r="AX501" s="1799">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2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22"/>
      <c r="AV502" s="1799">
        <f t="shared" si="294"/>
        <v>0</v>
      </c>
      <c r="AW502" s="1799">
        <f t="shared" si="295"/>
        <v>0</v>
      </c>
      <c r="AX502" s="1799">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2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22"/>
      <c r="AV503" s="1799">
        <f t="shared" si="294"/>
        <v>0</v>
      </c>
      <c r="AW503" s="1799">
        <f t="shared" si="295"/>
        <v>0</v>
      </c>
      <c r="AX503" s="1799">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2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22"/>
      <c r="AV504" s="1799">
        <f t="shared" si="294"/>
        <v>0</v>
      </c>
      <c r="AW504" s="1799">
        <f t="shared" si="295"/>
        <v>0</v>
      </c>
      <c r="AX504" s="1799">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2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22"/>
      <c r="AV505" s="1799">
        <f t="shared" si="294"/>
        <v>0</v>
      </c>
      <c r="AW505" s="1799">
        <f t="shared" si="295"/>
        <v>0</v>
      </c>
      <c r="AX505" s="1799">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2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22"/>
      <c r="AV506" s="1799">
        <f t="shared" si="294"/>
        <v>0</v>
      </c>
      <c r="AW506" s="1799">
        <f t="shared" si="295"/>
        <v>0</v>
      </c>
      <c r="AX506" s="1799">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2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22"/>
      <c r="AV507" s="1799">
        <f t="shared" si="294"/>
        <v>0</v>
      </c>
      <c r="AW507" s="1799">
        <f t="shared" si="295"/>
        <v>0</v>
      </c>
      <c r="AX507" s="1799">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2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22"/>
      <c r="AV508" s="1799">
        <f t="shared" si="294"/>
        <v>0</v>
      </c>
      <c r="AW508" s="1799">
        <f t="shared" si="295"/>
        <v>0</v>
      </c>
      <c r="AX508" s="1799">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2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22"/>
      <c r="AV509" s="1799">
        <f t="shared" si="294"/>
        <v>0</v>
      </c>
      <c r="AW509" s="1799">
        <f t="shared" si="295"/>
        <v>0</v>
      </c>
      <c r="AX509" s="1799">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2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22"/>
      <c r="AV510" s="1799">
        <f t="shared" si="294"/>
        <v>0</v>
      </c>
      <c r="AW510" s="1799">
        <f t="shared" si="295"/>
        <v>0</v>
      </c>
      <c r="AX510" s="1799">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2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22"/>
      <c r="AV511" s="1799">
        <f t="shared" si="294"/>
        <v>0</v>
      </c>
      <c r="AW511" s="1799">
        <f t="shared" si="295"/>
        <v>0</v>
      </c>
      <c r="AX511" s="1799">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2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22"/>
      <c r="AV512" s="1799">
        <f t="shared" si="294"/>
        <v>0</v>
      </c>
      <c r="AW512" s="1799">
        <f t="shared" si="295"/>
        <v>0</v>
      </c>
      <c r="AX512" s="1799">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2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22"/>
      <c r="AV513" s="1799">
        <f t="shared" si="294"/>
        <v>0</v>
      </c>
      <c r="AW513" s="1799">
        <f t="shared" si="295"/>
        <v>0</v>
      </c>
      <c r="AX513" s="1799">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2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22"/>
      <c r="AV514" s="1799">
        <f t="shared" si="294"/>
        <v>0</v>
      </c>
      <c r="AW514" s="1799">
        <f t="shared" si="295"/>
        <v>0</v>
      </c>
      <c r="AX514" s="1799">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2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22"/>
      <c r="AV515" s="1799">
        <f t="shared" si="294"/>
        <v>0</v>
      </c>
      <c r="AW515" s="1799">
        <f t="shared" si="295"/>
        <v>0</v>
      </c>
      <c r="AX515" s="1799">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2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22"/>
      <c r="AV516" s="1799">
        <f t="shared" si="294"/>
        <v>0</v>
      </c>
      <c r="AW516" s="1799">
        <f t="shared" si="295"/>
        <v>0</v>
      </c>
      <c r="AX516" s="1799">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2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22"/>
      <c r="AV517" s="1799">
        <f t="shared" si="294"/>
        <v>0</v>
      </c>
      <c r="AW517" s="1799">
        <f t="shared" si="295"/>
        <v>0</v>
      </c>
      <c r="AX517" s="1799">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2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22"/>
      <c r="AV518" s="1799">
        <f t="shared" si="294"/>
        <v>0</v>
      </c>
      <c r="AW518" s="1799">
        <f t="shared" si="295"/>
        <v>0</v>
      </c>
      <c r="AX518" s="1799">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2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22"/>
      <c r="AV519" s="1799">
        <f t="shared" si="294"/>
        <v>0</v>
      </c>
      <c r="AW519" s="1799">
        <f t="shared" si="295"/>
        <v>0</v>
      </c>
      <c r="AX519" s="1799">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2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22"/>
      <c r="AV520" s="1799">
        <f t="shared" si="294"/>
        <v>0</v>
      </c>
      <c r="AW520" s="1799">
        <f t="shared" si="295"/>
        <v>0</v>
      </c>
      <c r="AX520" s="1799">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2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22"/>
      <c r="AV521" s="1799">
        <f t="shared" ref="AV521:AV552" si="298">A521</f>
        <v>0</v>
      </c>
      <c r="AW521" s="1799">
        <f t="shared" ref="AW521:AW552" si="299">B521</f>
        <v>0</v>
      </c>
      <c r="AX521" s="1799">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2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22"/>
      <c r="AV522" s="1799">
        <f t="shared" si="298"/>
        <v>0</v>
      </c>
      <c r="AW522" s="1799">
        <f t="shared" si="299"/>
        <v>0</v>
      </c>
      <c r="AX522" s="1799">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2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22"/>
      <c r="AV523" s="1799">
        <f t="shared" si="298"/>
        <v>0</v>
      </c>
      <c r="AW523" s="1799">
        <f t="shared" si="299"/>
        <v>0</v>
      </c>
      <c r="AX523" s="1799">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2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22"/>
      <c r="AV524" s="1799">
        <f t="shared" si="298"/>
        <v>0</v>
      </c>
      <c r="AW524" s="1799">
        <f t="shared" si="299"/>
        <v>0</v>
      </c>
      <c r="AX524" s="1799">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2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22"/>
      <c r="AV525" s="1799">
        <f t="shared" si="298"/>
        <v>0</v>
      </c>
      <c r="AW525" s="1799">
        <f t="shared" si="299"/>
        <v>0</v>
      </c>
      <c r="AX525" s="1799">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2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22"/>
      <c r="AV526" s="1799">
        <f t="shared" si="298"/>
        <v>0</v>
      </c>
      <c r="AW526" s="1799">
        <f t="shared" si="299"/>
        <v>0</v>
      </c>
      <c r="AX526" s="1799">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2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22"/>
      <c r="AV527" s="1799">
        <f t="shared" si="298"/>
        <v>0</v>
      </c>
      <c r="AW527" s="1799">
        <f t="shared" si="299"/>
        <v>0</v>
      </c>
      <c r="AX527" s="1799">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2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22"/>
      <c r="AV528" s="1799">
        <f t="shared" si="298"/>
        <v>0</v>
      </c>
      <c r="AW528" s="1799">
        <f t="shared" si="299"/>
        <v>0</v>
      </c>
      <c r="AX528" s="1799">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2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22"/>
      <c r="AV529" s="1799">
        <f t="shared" si="298"/>
        <v>0</v>
      </c>
      <c r="AW529" s="1799">
        <f t="shared" si="299"/>
        <v>0</v>
      </c>
      <c r="AX529" s="1799">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2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22"/>
      <c r="AV530" s="1799">
        <f t="shared" si="298"/>
        <v>0</v>
      </c>
      <c r="AW530" s="1799">
        <f t="shared" si="299"/>
        <v>0</v>
      </c>
      <c r="AX530" s="1799">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2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22"/>
      <c r="AV531" s="1799">
        <f t="shared" si="298"/>
        <v>0</v>
      </c>
      <c r="AW531" s="1799">
        <f t="shared" si="299"/>
        <v>0</v>
      </c>
      <c r="AX531" s="1799">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2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22"/>
      <c r="AV532" s="1799">
        <f t="shared" si="298"/>
        <v>0</v>
      </c>
      <c r="AW532" s="1799">
        <f t="shared" si="299"/>
        <v>0</v>
      </c>
      <c r="AX532" s="1799">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2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22"/>
      <c r="AV533" s="1799">
        <f t="shared" si="298"/>
        <v>0</v>
      </c>
      <c r="AW533" s="1799">
        <f t="shared" si="299"/>
        <v>0</v>
      </c>
      <c r="AX533" s="1799">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2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22"/>
      <c r="AV534" s="1799">
        <f t="shared" si="298"/>
        <v>0</v>
      </c>
      <c r="AW534" s="1799">
        <f t="shared" si="299"/>
        <v>0</v>
      </c>
      <c r="AX534" s="1799">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2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22"/>
      <c r="AV535" s="1799">
        <f t="shared" si="298"/>
        <v>0</v>
      </c>
      <c r="AW535" s="1799">
        <f t="shared" si="299"/>
        <v>0</v>
      </c>
      <c r="AX535" s="1799">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2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22"/>
      <c r="AV536" s="1799">
        <f t="shared" si="298"/>
        <v>0</v>
      </c>
      <c r="AW536" s="1799">
        <f t="shared" si="299"/>
        <v>0</v>
      </c>
      <c r="AX536" s="1799">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2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22"/>
      <c r="AV537" s="1799">
        <f t="shared" si="298"/>
        <v>0</v>
      </c>
      <c r="AW537" s="1799">
        <f t="shared" si="299"/>
        <v>0</v>
      </c>
      <c r="AX537" s="1799">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2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22"/>
      <c r="AV538" s="1799">
        <f t="shared" si="298"/>
        <v>0</v>
      </c>
      <c r="AW538" s="1799">
        <f t="shared" si="299"/>
        <v>0</v>
      </c>
      <c r="AX538" s="1799">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2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22"/>
      <c r="AV539" s="1799">
        <f t="shared" si="298"/>
        <v>0</v>
      </c>
      <c r="AW539" s="1799">
        <f t="shared" si="299"/>
        <v>0</v>
      </c>
      <c r="AX539" s="1799">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2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22"/>
      <c r="AV540" s="1799">
        <f t="shared" si="298"/>
        <v>0</v>
      </c>
      <c r="AW540" s="1799">
        <f t="shared" si="299"/>
        <v>0</v>
      </c>
      <c r="AX540" s="1799">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2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22"/>
      <c r="AV541" s="1799">
        <f t="shared" si="298"/>
        <v>0</v>
      </c>
      <c r="AW541" s="1799">
        <f t="shared" si="299"/>
        <v>0</v>
      </c>
      <c r="AX541" s="1799">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2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22"/>
      <c r="AV542" s="1799">
        <f t="shared" si="298"/>
        <v>0</v>
      </c>
      <c r="AW542" s="1799">
        <f t="shared" si="299"/>
        <v>0</v>
      </c>
      <c r="AX542" s="1799">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2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22"/>
      <c r="AV543" s="1799">
        <f t="shared" si="298"/>
        <v>0</v>
      </c>
      <c r="AW543" s="1799">
        <f t="shared" si="299"/>
        <v>0</v>
      </c>
      <c r="AX543" s="1799">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2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22"/>
      <c r="AV544" s="1799">
        <f t="shared" si="298"/>
        <v>0</v>
      </c>
      <c r="AW544" s="1799">
        <f t="shared" si="299"/>
        <v>0</v>
      </c>
      <c r="AX544" s="1799">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2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22"/>
      <c r="AV545" s="1799">
        <f t="shared" si="298"/>
        <v>0</v>
      </c>
      <c r="AW545" s="1799">
        <f t="shared" si="299"/>
        <v>0</v>
      </c>
      <c r="AX545" s="1799">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2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22"/>
      <c r="AV546" s="1799">
        <f t="shared" si="298"/>
        <v>0</v>
      </c>
      <c r="AW546" s="1799">
        <f t="shared" si="299"/>
        <v>0</v>
      </c>
      <c r="AX546" s="1799">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2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22"/>
      <c r="AV547" s="1799">
        <f t="shared" si="298"/>
        <v>0</v>
      </c>
      <c r="AW547" s="1799">
        <f t="shared" si="299"/>
        <v>0</v>
      </c>
      <c r="AX547" s="1799">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2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22"/>
      <c r="AV548" s="1799">
        <f t="shared" si="298"/>
        <v>0</v>
      </c>
      <c r="AW548" s="1799">
        <f t="shared" si="299"/>
        <v>0</v>
      </c>
      <c r="AX548" s="1799">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2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22"/>
      <c r="AV549" s="1799">
        <f t="shared" si="298"/>
        <v>0</v>
      </c>
      <c r="AW549" s="1799">
        <f t="shared" si="299"/>
        <v>0</v>
      </c>
      <c r="AX549" s="1799">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2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22"/>
      <c r="AV550" s="1799">
        <f t="shared" si="298"/>
        <v>0</v>
      </c>
      <c r="AW550" s="1799">
        <f t="shared" si="299"/>
        <v>0</v>
      </c>
      <c r="AX550" s="1799">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2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22"/>
      <c r="AV551" s="1799">
        <f t="shared" si="298"/>
        <v>0</v>
      </c>
      <c r="AW551" s="1799">
        <f t="shared" si="299"/>
        <v>0</v>
      </c>
      <c r="AX551" s="1799">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2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22"/>
      <c r="AV552" s="1799">
        <f t="shared" si="298"/>
        <v>0</v>
      </c>
      <c r="AW552" s="1799">
        <f t="shared" si="299"/>
        <v>0</v>
      </c>
      <c r="AX552" s="1799">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2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22"/>
      <c r="AV553" s="1799">
        <f t="shared" ref="AV553:AV587" si="330">A553</f>
        <v>0</v>
      </c>
      <c r="AW553" s="1799">
        <f t="shared" ref="AW553:AW587" si="331">B553</f>
        <v>0</v>
      </c>
      <c r="AX553" s="1799">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2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22"/>
      <c r="AV554" s="1799">
        <f t="shared" si="330"/>
        <v>0</v>
      </c>
      <c r="AW554" s="1799">
        <f t="shared" si="331"/>
        <v>0</v>
      </c>
      <c r="AX554" s="1799">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2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22"/>
      <c r="AV555" s="1799">
        <f t="shared" si="330"/>
        <v>0</v>
      </c>
      <c r="AW555" s="1799">
        <f t="shared" si="331"/>
        <v>0</v>
      </c>
      <c r="AX555" s="1799">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2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22"/>
      <c r="AV556" s="1799">
        <f t="shared" si="330"/>
        <v>0</v>
      </c>
      <c r="AW556" s="1799">
        <f t="shared" si="331"/>
        <v>0</v>
      </c>
      <c r="AX556" s="1799">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2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22"/>
      <c r="AV557" s="1799">
        <f t="shared" si="330"/>
        <v>0</v>
      </c>
      <c r="AW557" s="1799">
        <f t="shared" si="331"/>
        <v>0</v>
      </c>
      <c r="AX557" s="1799">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2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22"/>
      <c r="AV558" s="1799">
        <f t="shared" si="330"/>
        <v>0</v>
      </c>
      <c r="AW558" s="1799">
        <f t="shared" si="331"/>
        <v>0</v>
      </c>
      <c r="AX558" s="1799">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2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22"/>
      <c r="AV559" s="1799">
        <f t="shared" si="330"/>
        <v>0</v>
      </c>
      <c r="AW559" s="1799">
        <f t="shared" si="331"/>
        <v>0</v>
      </c>
      <c r="AX559" s="1799">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2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22"/>
      <c r="AV560" s="1799">
        <f t="shared" si="330"/>
        <v>0</v>
      </c>
      <c r="AW560" s="1799">
        <f t="shared" si="331"/>
        <v>0</v>
      </c>
      <c r="AX560" s="1799">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2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22"/>
      <c r="AV561" s="1799">
        <f t="shared" si="330"/>
        <v>0</v>
      </c>
      <c r="AW561" s="1799">
        <f t="shared" si="331"/>
        <v>0</v>
      </c>
      <c r="AX561" s="1799">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2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22"/>
      <c r="AV562" s="1799">
        <f t="shared" si="330"/>
        <v>0</v>
      </c>
      <c r="AW562" s="1799">
        <f t="shared" si="331"/>
        <v>0</v>
      </c>
      <c r="AX562" s="1799">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2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22"/>
      <c r="AV563" s="1799">
        <f t="shared" si="330"/>
        <v>0</v>
      </c>
      <c r="AW563" s="1799">
        <f t="shared" si="331"/>
        <v>0</v>
      </c>
      <c r="AX563" s="1799">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2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22"/>
      <c r="AV564" s="1799">
        <f t="shared" si="330"/>
        <v>0</v>
      </c>
      <c r="AW564" s="1799">
        <f t="shared" si="331"/>
        <v>0</v>
      </c>
      <c r="AX564" s="1799">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2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22"/>
      <c r="AV565" s="1799">
        <f t="shared" si="330"/>
        <v>0</v>
      </c>
      <c r="AW565" s="1799">
        <f t="shared" si="331"/>
        <v>0</v>
      </c>
      <c r="AX565" s="1799">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2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22"/>
      <c r="AV566" s="1799">
        <f t="shared" si="330"/>
        <v>0</v>
      </c>
      <c r="AW566" s="1799">
        <f t="shared" si="331"/>
        <v>0</v>
      </c>
      <c r="AX566" s="1799">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2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22"/>
      <c r="AV567" s="1799">
        <f t="shared" si="330"/>
        <v>0</v>
      </c>
      <c r="AW567" s="1799">
        <f t="shared" si="331"/>
        <v>0</v>
      </c>
      <c r="AX567" s="1799">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2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22"/>
      <c r="AV568" s="1799">
        <f t="shared" si="330"/>
        <v>0</v>
      </c>
      <c r="AW568" s="1799">
        <f t="shared" si="331"/>
        <v>0</v>
      </c>
      <c r="AX568" s="1799">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2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22"/>
      <c r="AV569" s="1799">
        <f t="shared" si="330"/>
        <v>0</v>
      </c>
      <c r="AW569" s="1799">
        <f t="shared" si="331"/>
        <v>0</v>
      </c>
      <c r="AX569" s="1799">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2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22"/>
      <c r="AV570" s="1799">
        <f t="shared" si="330"/>
        <v>0</v>
      </c>
      <c r="AW570" s="1799">
        <f t="shared" si="331"/>
        <v>0</v>
      </c>
      <c r="AX570" s="1799">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2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22"/>
      <c r="AV571" s="1799">
        <f t="shared" si="330"/>
        <v>0</v>
      </c>
      <c r="AW571" s="1799">
        <f t="shared" si="331"/>
        <v>0</v>
      </c>
      <c r="AX571" s="1799">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2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22"/>
      <c r="AV572" s="1799">
        <f t="shared" si="330"/>
        <v>0</v>
      </c>
      <c r="AW572" s="1799">
        <f t="shared" si="331"/>
        <v>0</v>
      </c>
      <c r="AX572" s="1799">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2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22"/>
      <c r="AV573" s="1799">
        <f t="shared" si="330"/>
        <v>0</v>
      </c>
      <c r="AW573" s="1799">
        <f t="shared" si="331"/>
        <v>0</v>
      </c>
      <c r="AX573" s="1799">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2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22"/>
      <c r="AV574" s="1799">
        <f t="shared" si="330"/>
        <v>0</v>
      </c>
      <c r="AW574" s="1799">
        <f t="shared" si="331"/>
        <v>0</v>
      </c>
      <c r="AX574" s="1799">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2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22"/>
      <c r="AV575" s="1799">
        <f t="shared" si="330"/>
        <v>0</v>
      </c>
      <c r="AW575" s="1799">
        <f t="shared" si="331"/>
        <v>0</v>
      </c>
      <c r="AX575" s="1799">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2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22"/>
      <c r="AV576" s="1799">
        <f t="shared" si="330"/>
        <v>0</v>
      </c>
      <c r="AW576" s="1799">
        <f t="shared" si="331"/>
        <v>0</v>
      </c>
      <c r="AX576" s="1799">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2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22"/>
      <c r="AV577" s="1799">
        <f t="shared" si="330"/>
        <v>0</v>
      </c>
      <c r="AW577" s="1799">
        <f t="shared" si="331"/>
        <v>0</v>
      </c>
      <c r="AX577" s="1799">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2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22"/>
      <c r="AV578" s="1799">
        <f t="shared" si="330"/>
        <v>0</v>
      </c>
      <c r="AW578" s="1799">
        <f t="shared" si="331"/>
        <v>0</v>
      </c>
      <c r="AX578" s="1799">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2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22"/>
      <c r="AV579" s="1799">
        <f t="shared" si="330"/>
        <v>0</v>
      </c>
      <c r="AW579" s="1799">
        <f t="shared" si="331"/>
        <v>0</v>
      </c>
      <c r="AX579" s="1799">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2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22"/>
      <c r="AV580" s="1799">
        <f t="shared" si="330"/>
        <v>0</v>
      </c>
      <c r="AW580" s="1799">
        <f t="shared" si="331"/>
        <v>0</v>
      </c>
      <c r="AX580" s="1799">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2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22"/>
      <c r="AV581" s="1799">
        <f t="shared" si="330"/>
        <v>0</v>
      </c>
      <c r="AW581" s="1799">
        <f t="shared" si="331"/>
        <v>0</v>
      </c>
      <c r="AX581" s="1799">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2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22"/>
      <c r="AV582" s="1799">
        <f t="shared" si="330"/>
        <v>0</v>
      </c>
      <c r="AW582" s="1799">
        <f t="shared" si="331"/>
        <v>0</v>
      </c>
      <c r="AX582" s="1799">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2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22"/>
      <c r="AV583" s="1799">
        <f t="shared" si="330"/>
        <v>0</v>
      </c>
      <c r="AW583" s="1799">
        <f t="shared" si="331"/>
        <v>0</v>
      </c>
      <c r="AX583" s="1799">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2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22"/>
      <c r="AV584" s="1799">
        <f t="shared" si="330"/>
        <v>0</v>
      </c>
      <c r="AW584" s="1799">
        <f t="shared" si="331"/>
        <v>0</v>
      </c>
      <c r="AX584" s="1799">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2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7"/>
      <c r="AV585" s="1799">
        <f t="shared" si="330"/>
        <v>0</v>
      </c>
      <c r="AW585" s="1799">
        <f t="shared" si="331"/>
        <v>0</v>
      </c>
      <c r="AX585" s="1799">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2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7"/>
      <c r="AV586" s="1799">
        <f t="shared" si="330"/>
        <v>0</v>
      </c>
      <c r="AW586" s="1799">
        <f t="shared" si="331"/>
        <v>0</v>
      </c>
      <c r="AX586" s="1799">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2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7"/>
      <c r="AV587" s="1799">
        <f t="shared" si="330"/>
        <v>0</v>
      </c>
      <c r="AW587" s="1799">
        <f t="shared" si="331"/>
        <v>0</v>
      </c>
      <c r="AX587" s="1799">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6" t="s">
        <v>0</v>
      </c>
      <c r="B1" s="3126" t="s">
        <v>4</v>
      </c>
      <c r="C1" s="3126" t="s">
        <v>5</v>
      </c>
      <c r="D1" s="3127" t="s">
        <v>53</v>
      </c>
      <c r="E1" s="3127" t="s">
        <v>54</v>
      </c>
      <c r="F1" s="3127"/>
      <c r="G1" s="3127"/>
      <c r="H1" s="3127"/>
      <c r="I1" s="3127"/>
      <c r="J1" s="3127"/>
      <c r="K1" s="3127"/>
      <c r="L1" s="3127"/>
      <c r="M1" s="3127"/>
    </row>
    <row r="2" spans="1:13" ht="27" customHeight="1">
      <c r="A2" s="3126"/>
      <c r="B2" s="3126"/>
      <c r="C2" s="3126"/>
      <c r="D2" s="3127"/>
      <c r="E2" s="3127" t="s">
        <v>37</v>
      </c>
      <c r="F2" s="3127" t="s">
        <v>38</v>
      </c>
      <c r="G2" s="3127"/>
      <c r="H2" s="3127"/>
      <c r="I2" s="3127"/>
      <c r="J2" s="3127" t="s">
        <v>39</v>
      </c>
      <c r="K2" s="3127"/>
      <c r="L2" s="3127"/>
      <c r="M2" s="3127"/>
    </row>
    <row r="3" spans="1:13" ht="28.5">
      <c r="A3" s="3126"/>
      <c r="B3" s="3126"/>
      <c r="C3" s="3126"/>
      <c r="D3" s="3127"/>
      <c r="E3" s="31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7" t="s">
        <v>55</v>
      </c>
      <c r="B9" s="3127"/>
      <c r="C9" s="31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3" sqref="G33"/>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1938</v>
      </c>
      <c r="B1" s="1395"/>
      <c r="C1" s="1395"/>
      <c r="D1" s="1395"/>
      <c r="E1" s="1395"/>
      <c r="F1" s="1395"/>
      <c r="G1" s="1395"/>
      <c r="H1" s="1395"/>
      <c r="I1" s="1395"/>
      <c r="J1" s="1395"/>
      <c r="K1" s="1395"/>
      <c r="L1" s="1395"/>
      <c r="M1" s="1395"/>
      <c r="N1" s="1395"/>
      <c r="O1" s="1395"/>
      <c r="P1" s="1395"/>
    </row>
    <row r="2" spans="1:16" ht="15">
      <c r="A2" s="3137" t="s">
        <v>1939</v>
      </c>
      <c r="B2" s="3137"/>
      <c r="C2" s="3137"/>
      <c r="D2" s="970" t="s">
        <v>1915</v>
      </c>
      <c r="E2" s="2230" t="s">
        <v>1916</v>
      </c>
      <c r="F2" s="1395"/>
      <c r="G2" s="2231"/>
      <c r="H2" s="2232"/>
      <c r="I2" s="2233" t="s">
        <v>1940</v>
      </c>
      <c r="J2" s="1395"/>
      <c r="K2" s="1395"/>
      <c r="L2" s="1395"/>
      <c r="M2" s="1395"/>
      <c r="N2" s="1430"/>
      <c r="O2" s="1395"/>
      <c r="P2" s="1395"/>
    </row>
    <row r="3" spans="1:16" ht="15.75" thickBot="1">
      <c r="A3" s="3138" t="s">
        <v>1913</v>
      </c>
      <c r="B3" s="3138"/>
      <c r="C3" s="3138"/>
      <c r="D3" s="45">
        <f>'数据-基础表'!AY6</f>
        <v>38167.26</v>
      </c>
      <c r="E3" s="45">
        <f>'数据-基础表'!AZ5</f>
        <v>25430.71</v>
      </c>
      <c r="F3" s="1395"/>
      <c r="G3" s="1402"/>
      <c r="H3" s="1250" t="s">
        <v>1914</v>
      </c>
      <c r="I3" s="54">
        <f>ROUND('数据-基础表'!B3/'数据-基础表'!A3,2)</f>
        <v>0.67</v>
      </c>
      <c r="J3" s="1395"/>
      <c r="K3" s="1395"/>
      <c r="L3" s="1395"/>
      <c r="M3" s="1395"/>
      <c r="N3" s="1430"/>
      <c r="O3" s="1395"/>
      <c r="P3" s="1395"/>
    </row>
    <row r="4" spans="1:16" ht="15">
      <c r="A4" s="3139"/>
      <c r="B4" s="3140"/>
      <c r="C4" s="3141"/>
      <c r="D4" s="2234" t="s">
        <v>1915</v>
      </c>
      <c r="E4" s="2235" t="s">
        <v>1916</v>
      </c>
      <c r="F4" s="1395"/>
      <c r="G4" s="2236" t="s">
        <v>1941</v>
      </c>
      <c r="H4" s="1250" t="s">
        <v>1921</v>
      </c>
      <c r="I4" s="54">
        <f>ROUND(SUMIF('数据-基础表'!I9:AS9,"地上",'数据-基础表'!I5:AS5)/'数据-基础表'!A3,2)</f>
        <v>0.67</v>
      </c>
      <c r="J4" s="1395"/>
      <c r="K4" s="1395"/>
      <c r="L4" s="1395"/>
      <c r="M4" s="1395"/>
      <c r="N4" s="1430"/>
      <c r="O4" s="1395"/>
      <c r="P4" s="1395"/>
    </row>
    <row r="5" spans="1:16">
      <c r="A5" s="46" t="s">
        <v>1917</v>
      </c>
      <c r="B5" s="3142" t="s">
        <v>1918</v>
      </c>
      <c r="C5" s="3142"/>
      <c r="D5" s="47">
        <f>ROUND($D$3*E5/$E$3,2)</f>
        <v>0</v>
      </c>
      <c r="E5" s="48">
        <f>SUMIF('数据-基础表'!$11:$11,"住宅",'数据-基础表'!$5:$5)</f>
        <v>0</v>
      </c>
      <c r="F5" s="1395"/>
      <c r="G5" s="1402"/>
      <c r="H5" s="1250" t="s">
        <v>1914</v>
      </c>
      <c r="I5" s="54">
        <f>ROUND(E31/D31,2)</f>
        <v>0.67</v>
      </c>
      <c r="J5" s="1395"/>
      <c r="K5" s="1395"/>
      <c r="L5" s="1395"/>
      <c r="M5" s="1395"/>
      <c r="N5" s="1395"/>
      <c r="O5" s="1395"/>
      <c r="P5" s="1395"/>
    </row>
    <row r="6" spans="1:16" ht="15" thickBot="1">
      <c r="A6" s="2237"/>
      <c r="B6" s="3142" t="s">
        <v>1919</v>
      </c>
      <c r="C6" s="3142"/>
      <c r="D6" s="47">
        <f>ROUND($D$3*E6/$E$3,2)</f>
        <v>38167.26</v>
      </c>
      <c r="E6" s="48">
        <f>E3-E5</f>
        <v>25430.71</v>
      </c>
      <c r="F6" s="1395"/>
      <c r="G6" s="2238" t="s">
        <v>1920</v>
      </c>
      <c r="H6" s="1402" t="s">
        <v>1921</v>
      </c>
      <c r="I6" s="942">
        <f>ROUND(F31/D31,2)</f>
        <v>0.67</v>
      </c>
      <c r="J6" s="1395"/>
      <c r="K6" s="1395"/>
      <c r="L6" s="1395"/>
      <c r="M6" s="1395"/>
      <c r="N6" s="1395"/>
      <c r="O6" s="1395"/>
      <c r="P6" s="1395"/>
    </row>
    <row r="7" spans="1:16" ht="15">
      <c r="A7" s="3134"/>
      <c r="B7" s="3135"/>
      <c r="C7" s="3136"/>
      <c r="D7" s="2234" t="s">
        <v>1915</v>
      </c>
      <c r="E7" s="2239" t="s">
        <v>1922</v>
      </c>
      <c r="F7" s="1395"/>
      <c r="G7" s="2231" t="s">
        <v>1923</v>
      </c>
      <c r="H7" s="63"/>
      <c r="I7" s="420"/>
      <c r="J7" s="1395"/>
      <c r="K7" s="1395"/>
      <c r="L7" s="1395"/>
      <c r="M7" s="1395"/>
      <c r="N7" s="1395"/>
      <c r="O7" s="1395"/>
      <c r="P7" s="1395"/>
    </row>
    <row r="8" spans="1:16">
      <c r="A8" s="46" t="s">
        <v>1924</v>
      </c>
      <c r="B8" s="49" t="s">
        <v>1925</v>
      </c>
      <c r="C8" s="47" t="s">
        <v>1926</v>
      </c>
      <c r="D8" s="47">
        <f t="shared" ref="D8:D15" si="0">ROUND($D$3*E8/$E$3,2)</f>
        <v>38167.26</v>
      </c>
      <c r="E8" s="50">
        <f>SUMIF('数据-基础表'!BB10:BK10,"地上",'数据-基础表'!BB5:BK5)</f>
        <v>25430.71</v>
      </c>
      <c r="F8" s="1395"/>
      <c r="G8" s="2240"/>
      <c r="H8" s="2240"/>
      <c r="I8" s="1395"/>
      <c r="J8" s="1395"/>
      <c r="K8" s="1395"/>
      <c r="L8" s="1395"/>
      <c r="M8" s="1395"/>
      <c r="N8" s="1395"/>
      <c r="O8" s="1395"/>
      <c r="P8" s="1395"/>
    </row>
    <row r="9" spans="1:16">
      <c r="A9" s="2241"/>
      <c r="B9" s="2242"/>
      <c r="C9" s="47" t="s">
        <v>1927</v>
      </c>
      <c r="D9" s="47">
        <f t="shared" si="0"/>
        <v>0</v>
      </c>
      <c r="E9" s="51">
        <v>0</v>
      </c>
      <c r="F9" s="1395"/>
      <c r="G9" s="2240"/>
      <c r="H9" s="2240"/>
      <c r="I9" s="1395"/>
      <c r="J9" s="1395"/>
      <c r="K9" s="1395"/>
      <c r="L9" s="1395"/>
      <c r="M9" s="1395"/>
      <c r="N9" s="1395"/>
      <c r="O9" s="1395"/>
      <c r="P9" s="1395"/>
    </row>
    <row r="10" spans="1:16">
      <c r="A10" s="2241"/>
      <c r="B10" s="2242"/>
      <c r="C10" s="47" t="s">
        <v>1936</v>
      </c>
      <c r="D10" s="47">
        <f t="shared" si="0"/>
        <v>0</v>
      </c>
      <c r="E10" s="50">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7" t="s">
        <v>1928</v>
      </c>
      <c r="D11" s="47">
        <f t="shared" si="0"/>
        <v>0</v>
      </c>
      <c r="E11" s="50">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7" t="s">
        <v>1929</v>
      </c>
      <c r="D12" s="47">
        <f t="shared" si="0"/>
        <v>0</v>
      </c>
      <c r="E12" s="50">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7" t="s">
        <v>1930</v>
      </c>
      <c r="D13" s="47">
        <f t="shared" si="0"/>
        <v>0</v>
      </c>
      <c r="E13" s="50">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7" t="s">
        <v>1942</v>
      </c>
      <c r="D14" s="47">
        <f t="shared" si="0"/>
        <v>0</v>
      </c>
      <c r="E14" s="50">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7" t="s">
        <v>1937</v>
      </c>
      <c r="D15" s="47">
        <f t="shared" si="0"/>
        <v>0</v>
      </c>
      <c r="E15" s="50">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49" t="s">
        <v>1931</v>
      </c>
      <c r="D16" s="49">
        <f>SUM(D8:D15)</f>
        <v>38167.26</v>
      </c>
      <c r="E16" s="52">
        <f>SUM(E8:E15)</f>
        <v>25430.71</v>
      </c>
      <c r="F16" s="1395"/>
      <c r="G16" s="2240"/>
      <c r="H16" s="2243" t="s">
        <v>1943</v>
      </c>
      <c r="I16" s="2244"/>
      <c r="J16" s="1395"/>
      <c r="K16" s="3131" t="s">
        <v>1943</v>
      </c>
      <c r="L16" s="3132"/>
      <c r="M16" s="3132"/>
      <c r="N16" s="3132"/>
      <c r="O16" s="3132"/>
      <c r="P16" s="3133"/>
    </row>
    <row r="17" spans="1:19" ht="15">
      <c r="A17" s="2245" t="s">
        <v>1944</v>
      </c>
      <c r="B17" s="2246" t="s">
        <v>1945</v>
      </c>
      <c r="C17" s="2247" t="s">
        <v>1946</v>
      </c>
      <c r="D17" s="2248" t="s">
        <v>1934</v>
      </c>
      <c r="E17" s="2249" t="s">
        <v>1935</v>
      </c>
      <c r="F17" s="2250"/>
      <c r="G17" s="2251"/>
      <c r="H17" s="2252" t="s">
        <v>1947</v>
      </c>
      <c r="I17" s="2253" t="s">
        <v>1932</v>
      </c>
      <c r="J17" s="1395"/>
      <c r="K17" s="3128" t="s">
        <v>1948</v>
      </c>
      <c r="L17" s="3129"/>
      <c r="M17" s="3130"/>
      <c r="N17" s="3128" t="s">
        <v>1949</v>
      </c>
      <c r="O17" s="3129"/>
      <c r="P17" s="3130"/>
      <c r="R17" s="2231" t="s">
        <v>1950</v>
      </c>
      <c r="S17" s="63"/>
    </row>
    <row r="18" spans="1:19" ht="15">
      <c r="A18" s="2241"/>
      <c r="B18" s="2254"/>
      <c r="C18" s="2255"/>
      <c r="D18" s="2256"/>
      <c r="E18" s="2257" t="s">
        <v>1951</v>
      </c>
      <c r="F18" s="2258" t="s">
        <v>1952</v>
      </c>
      <c r="G18" s="2259" t="s">
        <v>1953</v>
      </c>
      <c r="H18" s="1265" t="s">
        <v>1954</v>
      </c>
      <c r="I18" s="2260" t="s">
        <v>1955</v>
      </c>
      <c r="J18" s="1395"/>
      <c r="K18" s="1265" t="s">
        <v>1956</v>
      </c>
      <c r="L18" s="2261" t="s">
        <v>1957</v>
      </c>
      <c r="M18" s="1049" t="s">
        <v>1958</v>
      </c>
      <c r="N18" s="1265" t="s">
        <v>1956</v>
      </c>
      <c r="O18" s="2261" t="s">
        <v>1957</v>
      </c>
      <c r="P18" s="1049" t="s">
        <v>1958</v>
      </c>
      <c r="R18" s="1250" t="s">
        <v>1959</v>
      </c>
      <c r="S18" s="1250" t="s">
        <v>1960</v>
      </c>
    </row>
    <row r="19" spans="1:19">
      <c r="A19" s="2262"/>
      <c r="B19" s="49" t="s">
        <v>1933</v>
      </c>
      <c r="C19" s="3032"/>
      <c r="D19" s="47">
        <f>ROUND($D$3*E19/$E$3,2)</f>
        <v>0</v>
      </c>
      <c r="E19" s="55">
        <f t="shared" ref="E19:E26" si="1">SUM(F19:G19)</f>
        <v>0</v>
      </c>
      <c r="F19" s="56"/>
      <c r="G19" s="57"/>
      <c r="H19" s="723">
        <f>ROUND($D$3*I19/$E$3,2)</f>
        <v>0</v>
      </c>
      <c r="I19" s="50">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0</v>
      </c>
      <c r="S19" s="1251">
        <f t="shared" si="5"/>
        <v>0</v>
      </c>
    </row>
    <row r="20" spans="1:19">
      <c r="A20" s="2265"/>
      <c r="B20" s="49" t="s">
        <v>1961</v>
      </c>
      <c r="C20" s="3032" t="s">
        <v>3258</v>
      </c>
      <c r="D20" s="47">
        <f t="shared" ref="D20:D26" si="6">ROUND($D$3*E20/$E$3,2)</f>
        <v>19646.93</v>
      </c>
      <c r="E20" s="55">
        <f t="shared" si="1"/>
        <v>13090.679999999998</v>
      </c>
      <c r="F20" s="56">
        <f>办公区域租金整理!H60</f>
        <v>13090.679999999998</v>
      </c>
      <c r="G20" s="57"/>
      <c r="H20" s="723">
        <f t="shared" ref="H20:H26" si="7">ROUND($D$3*I20/$E$3,2)</f>
        <v>0</v>
      </c>
      <c r="I20" s="50">
        <f t="shared" si="2"/>
        <v>0</v>
      </c>
      <c r="J20" s="1395"/>
      <c r="K20" s="1394">
        <f t="shared" si="3"/>
        <v>0</v>
      </c>
      <c r="L20" s="1250">
        <f t="shared" si="4"/>
        <v>0</v>
      </c>
      <c r="M20" s="1406">
        <f t="shared" ref="M20:M26" si="8">K20+L20</f>
        <v>0</v>
      </c>
      <c r="N20" s="2263"/>
      <c r="O20" s="2264"/>
      <c r="P20" s="1406">
        <f t="shared" ref="P20:P26" si="9">N20+O20</f>
        <v>0</v>
      </c>
      <c r="R20" s="1250">
        <f t="shared" si="5"/>
        <v>19646.93</v>
      </c>
      <c r="S20" s="1251">
        <f t="shared" si="5"/>
        <v>13090.679999999998</v>
      </c>
    </row>
    <row r="21" spans="1:19">
      <c r="A21" s="2265"/>
      <c r="B21" s="49" t="s">
        <v>1961</v>
      </c>
      <c r="C21" s="3032" t="s">
        <v>3260</v>
      </c>
      <c r="D21" s="47">
        <f t="shared" si="6"/>
        <v>2506.84</v>
      </c>
      <c r="E21" s="55">
        <f t="shared" si="1"/>
        <v>1670.3</v>
      </c>
      <c r="F21" s="56">
        <f>办公区域租金整理!H66</f>
        <v>1670.3</v>
      </c>
      <c r="G21" s="57"/>
      <c r="H21" s="723">
        <f t="shared" si="7"/>
        <v>0</v>
      </c>
      <c r="I21" s="50">
        <f t="shared" si="2"/>
        <v>0</v>
      </c>
      <c r="J21" s="1395"/>
      <c r="K21" s="1394">
        <f t="shared" si="3"/>
        <v>0</v>
      </c>
      <c r="L21" s="1250">
        <f t="shared" si="4"/>
        <v>0</v>
      </c>
      <c r="M21" s="1406">
        <f t="shared" si="8"/>
        <v>0</v>
      </c>
      <c r="N21" s="2263"/>
      <c r="O21" s="2264"/>
      <c r="P21" s="1406">
        <f t="shared" si="9"/>
        <v>0</v>
      </c>
      <c r="R21" s="1250">
        <f t="shared" si="5"/>
        <v>2506.84</v>
      </c>
      <c r="S21" s="1251">
        <f t="shared" si="5"/>
        <v>1670.3</v>
      </c>
    </row>
    <row r="22" spans="1:19">
      <c r="A22" s="2265"/>
      <c r="B22" s="49" t="s">
        <v>1961</v>
      </c>
      <c r="C22" s="3040" t="s">
        <v>3263</v>
      </c>
      <c r="D22" s="47">
        <f t="shared" si="6"/>
        <v>16013.49</v>
      </c>
      <c r="E22" s="55">
        <f t="shared" si="1"/>
        <v>10669.729999999998</v>
      </c>
      <c r="F22" s="60">
        <f>办公区域租金整理!H57-办公区域租金整理!H60-办公区域租金整理!H66</f>
        <v>10669.729999999998</v>
      </c>
      <c r="G22" s="61"/>
      <c r="H22" s="723">
        <f t="shared" si="7"/>
        <v>0</v>
      </c>
      <c r="I22" s="50">
        <f t="shared" si="2"/>
        <v>0</v>
      </c>
      <c r="J22" s="1395"/>
      <c r="K22" s="1394">
        <f t="shared" si="3"/>
        <v>0</v>
      </c>
      <c r="L22" s="1250">
        <f t="shared" si="4"/>
        <v>0</v>
      </c>
      <c r="M22" s="1406">
        <f t="shared" si="8"/>
        <v>0</v>
      </c>
      <c r="N22" s="2263"/>
      <c r="O22" s="2264"/>
      <c r="P22" s="1406">
        <f t="shared" si="9"/>
        <v>0</v>
      </c>
      <c r="R22" s="1250">
        <f t="shared" si="5"/>
        <v>16013.49</v>
      </c>
      <c r="S22" s="1251">
        <f t="shared" si="5"/>
        <v>10669.729999999998</v>
      </c>
    </row>
    <row r="23" spans="1:19">
      <c r="A23" s="2265"/>
      <c r="B23" s="49" t="s">
        <v>1961</v>
      </c>
      <c r="C23" s="59"/>
      <c r="D23" s="47">
        <f>ROUND($D$3*E23/$E$3,2)</f>
        <v>0</v>
      </c>
      <c r="E23" s="55">
        <f>SUM(F23:G23)</f>
        <v>0</v>
      </c>
      <c r="F23" s="60"/>
      <c r="G23" s="61"/>
      <c r="H23" s="723">
        <f>ROUND($D$3*I23/$E$3,2)</f>
        <v>0</v>
      </c>
      <c r="I23" s="50">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49" t="s">
        <v>1961</v>
      </c>
      <c r="C24" s="59"/>
      <c r="D24" s="47">
        <f>ROUND($D$3*E24/$E$3,2)</f>
        <v>0</v>
      </c>
      <c r="E24" s="55">
        <f>SUM(F24:G24)</f>
        <v>0</v>
      </c>
      <c r="F24" s="60"/>
      <c r="G24" s="61"/>
      <c r="H24" s="723">
        <f>ROUND($D$3*I24/$E$3,2)</f>
        <v>0</v>
      </c>
      <c r="I24" s="50">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49" t="s">
        <v>1961</v>
      </c>
      <c r="C25" s="59"/>
      <c r="D25" s="47">
        <f t="shared" si="6"/>
        <v>0</v>
      </c>
      <c r="E25" s="55">
        <f t="shared" si="1"/>
        <v>0</v>
      </c>
      <c r="F25" s="60"/>
      <c r="G25" s="61"/>
      <c r="H25" s="46">
        <f t="shared" si="7"/>
        <v>0</v>
      </c>
      <c r="I25" s="50">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49" t="s">
        <v>1961</v>
      </c>
      <c r="C26" s="62"/>
      <c r="D26" s="47">
        <f t="shared" si="6"/>
        <v>0</v>
      </c>
      <c r="E26" s="55">
        <f t="shared" si="1"/>
        <v>0</v>
      </c>
      <c r="F26" s="60"/>
      <c r="G26" s="61"/>
      <c r="H26" s="46">
        <f t="shared" si="7"/>
        <v>0</v>
      </c>
      <c r="I26" s="50">
        <f t="shared" si="2"/>
        <v>0</v>
      </c>
      <c r="J26" s="1395"/>
      <c r="K26" s="1401">
        <f t="shared" si="3"/>
        <v>0</v>
      </c>
      <c r="L26" s="1402">
        <f t="shared" si="4"/>
        <v>0</v>
      </c>
      <c r="M26" s="66">
        <f t="shared" si="8"/>
        <v>0</v>
      </c>
      <c r="N26" s="2266"/>
      <c r="O26" s="2267"/>
      <c r="P26" s="66">
        <f t="shared" si="9"/>
        <v>0</v>
      </c>
      <c r="R26" s="1250">
        <f t="shared" si="5"/>
        <v>0</v>
      </c>
      <c r="S26" s="1251">
        <f t="shared" si="5"/>
        <v>0</v>
      </c>
    </row>
    <row r="27" spans="1:19" ht="15.75" thickBot="1">
      <c r="A27" s="2265"/>
      <c r="B27" s="47"/>
      <c r="C27" s="2268" t="s">
        <v>1962</v>
      </c>
      <c r="D27" s="1396">
        <f>SUM(D19:D26)</f>
        <v>38167.26</v>
      </c>
      <c r="E27" s="1397">
        <f>IF(SUM(E19:E26)='数据-基础表'!BA5,SUM(E19:E26),IF(F27="地上面积有误","面积有误","地下面积有误"))</f>
        <v>25430.709999999995</v>
      </c>
      <c r="F27" s="1396">
        <f>IF(SUM(F19:F26)=E8,SUM(F19:F26),"地上面积有误")</f>
        <v>25430.709999999995</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38167.26</v>
      </c>
      <c r="S27" s="1250">
        <f>IF(SUM(S19:S26)=$E$3,SUM(S19:S26),SUM(S19:S26)&amp;"误差"&amp;ROUND(SUM(S19:S26)-E3,2))</f>
        <v>25430.709999999995</v>
      </c>
    </row>
    <row r="28" spans="1:19">
      <c r="A28" s="2265"/>
      <c r="B28" s="49" t="s">
        <v>1963</v>
      </c>
      <c r="C28" s="1262" t="s">
        <v>1964</v>
      </c>
      <c r="D28" s="47">
        <f>ROUND($D$3*E28/$E$3,2)</f>
        <v>0</v>
      </c>
      <c r="E28" s="55">
        <f>SUM(F28:G28)</f>
        <v>0</v>
      </c>
      <c r="F28" s="63">
        <f>'数据-基础表'!BQ5+'数据-基础表'!BS5</f>
        <v>0</v>
      </c>
      <c r="G28" s="64">
        <f>'数据-基础表'!BR5+'数据-基础表'!BT5</f>
        <v>0</v>
      </c>
      <c r="H28" s="1395"/>
      <c r="I28" s="1395"/>
      <c r="J28" s="1395"/>
      <c r="K28" s="1395"/>
      <c r="L28" s="1395"/>
      <c r="M28" s="1395"/>
      <c r="N28" s="1395"/>
      <c r="O28" s="1395"/>
      <c r="P28" s="1395"/>
    </row>
    <row r="29" spans="1:19">
      <c r="A29" s="2265"/>
      <c r="B29" s="49" t="s">
        <v>1963</v>
      </c>
      <c r="C29" s="2269" t="s">
        <v>1965</v>
      </c>
      <c r="D29" s="47">
        <f>ROUND($D$3*E29/$E$3,2)</f>
        <v>0</v>
      </c>
      <c r="E29" s="55">
        <f>SUM(F29:G29)</f>
        <v>0</v>
      </c>
      <c r="F29" s="65">
        <f>'数据-基础表'!BM5+'数据-基础表'!BO5</f>
        <v>0</v>
      </c>
      <c r="G29" s="66">
        <f>'数据-基础表'!BN5+'数据-基础表'!BP5</f>
        <v>0</v>
      </c>
      <c r="H29" s="1395"/>
      <c r="I29" s="1395"/>
      <c r="J29" s="1395"/>
      <c r="K29" s="1395"/>
      <c r="L29" s="1395"/>
      <c r="M29" s="1395"/>
      <c r="N29" s="1395"/>
      <c r="O29" s="1395"/>
      <c r="P29" s="1395"/>
    </row>
    <row r="30" spans="1:19" ht="15">
      <c r="A30" s="2265"/>
      <c r="B30" s="49"/>
      <c r="C30" s="2270" t="s">
        <v>1962</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1966</v>
      </c>
      <c r="D31" s="729">
        <f>D27+D30</f>
        <v>38167.26</v>
      </c>
      <c r="E31" s="729">
        <f>E27+E30</f>
        <v>25430.709999999995</v>
      </c>
      <c r="F31" s="730">
        <f>F27+F30</f>
        <v>25430.709999999995</v>
      </c>
      <c r="G31" s="731">
        <f>G27+G30</f>
        <v>0</v>
      </c>
      <c r="H31" s="1395"/>
      <c r="I31" s="1395"/>
      <c r="J31" s="1395"/>
      <c r="K31" s="1395"/>
      <c r="L31" s="1395"/>
      <c r="M31" s="1395"/>
      <c r="N31" s="1395"/>
      <c r="O31" s="1395"/>
      <c r="P31" s="1395"/>
    </row>
    <row r="32" spans="1:19">
      <c r="A32" s="2236"/>
      <c r="B32" s="2236" t="s">
        <v>1967</v>
      </c>
      <c r="C32" s="2236"/>
      <c r="D32" s="2236"/>
      <c r="E32" s="1277">
        <f>SUMIF(C19:C26,"*住宅*",E19:E26)</f>
        <v>0</v>
      </c>
      <c r="F32" s="2236"/>
      <c r="G32" s="2236"/>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6" priority="1" stopIfTrue="1" operator="containsText" text="面积有误">
      <formula>NOT(ISERROR(SEARCH("面积有误",E27)))</formula>
    </cfRule>
    <cfRule type="cellIs" dxfId="185" priority="3" stopIfTrue="1" operator="equal">
      <formula>"地下面积有误"</formula>
    </cfRule>
  </conditionalFormatting>
  <conditionalFormatting sqref="F27">
    <cfRule type="cellIs" dxfId="18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3" activePane="bottomRight" state="frozen"/>
      <selection activeCell="C50" sqref="C50"/>
      <selection pane="topRight" activeCell="C50" sqref="C50"/>
      <selection pane="bottomLeft" activeCell="C50" sqref="C50"/>
      <selection pane="bottomRight" activeCell="C45" sqref="C45"/>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1968</v>
      </c>
      <c r="B1" s="732"/>
      <c r="C1" s="1585"/>
      <c r="D1" s="2275"/>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8" t="s">
        <v>1969</v>
      </c>
      <c r="B2" s="1269">
        <f>项目基本情况!D3</f>
        <v>43047</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5" customFormat="1" ht="15" thickBot="1">
      <c r="A3" s="2033"/>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5" customFormat="1" ht="15" thickBot="1">
      <c r="A4" s="67" t="s">
        <v>1970</v>
      </c>
      <c r="B4" s="2283"/>
      <c r="C4" s="2284"/>
      <c r="D4" s="2285"/>
      <c r="E4" s="2284" t="s">
        <v>1971</v>
      </c>
      <c r="F4" s="2284"/>
      <c r="G4" s="2284"/>
      <c r="H4" s="2284"/>
      <c r="I4" s="2284"/>
      <c r="J4" s="2286"/>
      <c r="K4" s="2287"/>
      <c r="L4" s="2288"/>
      <c r="M4" s="2284"/>
      <c r="N4" s="2284" t="s">
        <v>1972</v>
      </c>
      <c r="O4" s="2284"/>
      <c r="P4" s="2284"/>
      <c r="Q4" s="2284"/>
      <c r="R4" s="2284"/>
      <c r="S4" s="2286"/>
      <c r="T4" s="2289" t="str">
        <f>'数据-汇总表'!I17</f>
        <v>按面积比例</v>
      </c>
      <c r="U4" s="2283" t="s">
        <v>1973</v>
      </c>
      <c r="V4" s="2284"/>
      <c r="W4" s="2284"/>
      <c r="X4" s="2284"/>
      <c r="Y4" s="2286"/>
      <c r="Z4" s="2247" t="s">
        <v>1974</v>
      </c>
      <c r="AA4" s="2247"/>
      <c r="AB4" s="2247"/>
      <c r="AC4" s="2247"/>
      <c r="AD4" s="2247"/>
      <c r="AE4" s="2245" t="s">
        <v>1975</v>
      </c>
      <c r="AF4" s="2247"/>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6" customFormat="1" ht="42">
      <c r="A5" s="2291" t="s">
        <v>1976</v>
      </c>
      <c r="B5" s="2292" t="s">
        <v>1977</v>
      </c>
      <c r="C5" s="2293" t="s">
        <v>1978</v>
      </c>
      <c r="D5" s="2294" t="s">
        <v>1979</v>
      </c>
      <c r="E5" s="1271" t="s">
        <v>1980</v>
      </c>
      <c r="F5" s="2295" t="s">
        <v>1981</v>
      </c>
      <c r="G5" s="1271" t="s">
        <v>1982</v>
      </c>
      <c r="H5" s="1271" t="s">
        <v>1983</v>
      </c>
      <c r="I5" s="1271" t="s">
        <v>1984</v>
      </c>
      <c r="J5" s="2296" t="s">
        <v>1985</v>
      </c>
      <c r="K5" s="2297" t="s">
        <v>1986</v>
      </c>
      <c r="L5" s="2298" t="s">
        <v>1987</v>
      </c>
      <c r="M5" s="2299" t="s">
        <v>1988</v>
      </c>
      <c r="N5" s="2300" t="s">
        <v>3239</v>
      </c>
      <c r="O5" s="2298" t="s">
        <v>1989</v>
      </c>
      <c r="P5" s="2301" t="s">
        <v>1990</v>
      </c>
      <c r="Q5" s="68" t="s">
        <v>1991</v>
      </c>
      <c r="R5" s="2302" t="s">
        <v>1992</v>
      </c>
      <c r="S5" s="2303" t="s">
        <v>1993</v>
      </c>
      <c r="T5" s="2304" t="s">
        <v>1994</v>
      </c>
      <c r="U5" s="1270" t="s">
        <v>1995</v>
      </c>
      <c r="V5" s="1271" t="s">
        <v>1996</v>
      </c>
      <c r="W5" s="1271" t="s">
        <v>1997</v>
      </c>
      <c r="X5" s="70"/>
      <c r="Y5" s="69" t="s">
        <v>1998</v>
      </c>
      <c r="Z5" s="2305" t="s">
        <v>1995</v>
      </c>
      <c r="AA5" s="1271" t="s">
        <v>1996</v>
      </c>
      <c r="AB5" s="1271" t="s">
        <v>1997</v>
      </c>
      <c r="AC5" s="70"/>
      <c r="AD5" s="70" t="s">
        <v>1998</v>
      </c>
      <c r="AE5" s="1270" t="s">
        <v>1999</v>
      </c>
      <c r="AF5" s="1271" t="s">
        <v>2000</v>
      </c>
      <c r="AG5" s="69" t="s">
        <v>2001</v>
      </c>
      <c r="AH5" s="1270" t="s">
        <v>2002</v>
      </c>
      <c r="AI5" s="2305" t="s">
        <v>2003</v>
      </c>
      <c r="AJ5" s="2305" t="s">
        <v>2004</v>
      </c>
      <c r="AK5" s="1271" t="s">
        <v>2005</v>
      </c>
      <c r="AL5" s="1271" t="s">
        <v>2006</v>
      </c>
      <c r="AM5" s="69" t="s">
        <v>2007</v>
      </c>
      <c r="AN5" s="2306" t="s">
        <v>2008</v>
      </c>
      <c r="AO5" s="2077" t="s">
        <v>2009</v>
      </c>
      <c r="AP5" s="1252" t="s">
        <v>2010</v>
      </c>
      <c r="AQ5" s="2307" t="s">
        <v>2011</v>
      </c>
      <c r="AR5" s="2307" t="s">
        <v>2012</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5" customFormat="1" ht="14.25">
      <c r="A6" s="2308">
        <f>'数据-汇总表'!C19</f>
        <v>0</v>
      </c>
      <c r="B6" s="2309" t="str">
        <f>IF(A6=0,"","经营性")</f>
        <v/>
      </c>
      <c r="C6" s="2310"/>
      <c r="D6" s="1054">
        <f>SUMIF(项目基本情况!D$12:I$12,C6,项目基本情况!D$14:I$14)</f>
        <v>0</v>
      </c>
      <c r="E6" s="1051" t="str">
        <f>IF(B6="","",SUMIF(项目基本情况!D$12:I$12,C6,项目基本情况!D$13:I$13))</f>
        <v/>
      </c>
      <c r="F6" s="71">
        <f>SUMIF(项目基本情况!D$12:I$12,C6,项目基本情况!D$15:I$15)</f>
        <v>0</v>
      </c>
      <c r="G6" s="72">
        <f>IF(ISERROR(ROUND(POWER(1+H6,D6-F6)*(POWER(1+H6,F6)-1)/(POWER(1+H6,D6)-1),3)),0,ROUND(POWER(1+H6,D6-F6)*(POWER(1+H6,F6)-1)/(POWER(1+H6,D6)-1),3))</f>
        <v>0</v>
      </c>
      <c r="H6" s="802"/>
      <c r="I6" s="802"/>
      <c r="J6" s="73"/>
      <c r="K6" s="1254">
        <f>SUMIF('数据-汇总表'!C$19:C$33,A6,'数据-汇总表'!E$19:E$33)</f>
        <v>0</v>
      </c>
      <c r="L6" s="803"/>
      <c r="M6" s="74">
        <f t="shared" ref="M6:M14" si="0">ROUND(K6*L6/10000,0)</f>
        <v>0</v>
      </c>
      <c r="N6" s="801"/>
      <c r="O6" s="74" t="str">
        <f>IF($N$5="成新度","——",ROUND(M6*N6,0))</f>
        <v>——</v>
      </c>
      <c r="P6" s="75" t="str">
        <f>IF($N$5="成新度","——",M6-O6)</f>
        <v>——</v>
      </c>
      <c r="Q6" s="804"/>
      <c r="R6" s="76">
        <f ca="1">SUMIF('数据-汇总表'!C$19:C$33,A6,'数据-汇总表'!R$19:R$27)</f>
        <v>0</v>
      </c>
      <c r="S6" s="53">
        <f>IF('数据-汇总表'!$I$17="按面积比例",SUMIF('数据-汇总表'!C$19:C$33,A6,'数据-汇总表'!K$19:K$33),SUMIF('数据-汇总表'!C$19:C$33,A6,'数据-汇总表'!N$19:N$33))</f>
        <v>0</v>
      </c>
      <c r="T6" s="1446">
        <f>ROUND($L$14*S6/10000,0)</f>
        <v>0</v>
      </c>
      <c r="U6" s="77"/>
      <c r="V6" s="78"/>
      <c r="W6" s="78"/>
      <c r="X6" s="1264"/>
      <c r="Y6" s="79"/>
      <c r="Z6" s="80"/>
      <c r="AA6" s="73"/>
      <c r="AB6" s="73"/>
      <c r="AC6" s="1264"/>
      <c r="AD6" s="81"/>
      <c r="AE6" s="1265">
        <f ca="1">IF(AN6="",0,SUMIF(INDIRECT("'"&amp;AN6&amp;"'"&amp;"!E:E"),$AE$5,INDIRECT("'"&amp;AN6&amp;"'"&amp;"!F:F")))</f>
        <v>0</v>
      </c>
      <c r="AF6" s="1808"/>
      <c r="AG6" s="146">
        <f>IF(AF6="",0,AE6-AF6)</f>
        <v>0</v>
      </c>
      <c r="AH6" s="82"/>
      <c r="AI6" s="84"/>
      <c r="AJ6" s="85"/>
      <c r="AK6" s="86"/>
      <c r="AL6" s="87"/>
      <c r="AM6" s="88"/>
      <c r="AN6" s="2311"/>
      <c r="AO6" s="54" t="e">
        <f ca="1">SUMIF(INDIRECT("'"&amp;AN6&amp;"'"&amp;"!A:A"),"总价",INDIRECT("'"&amp;AN6&amp;"'"&amp;"!B:B"))</f>
        <v>#REF!</v>
      </c>
      <c r="AP6" s="2312">
        <f>IF(C6="住宅",K6*L6,0)</f>
        <v>0</v>
      </c>
      <c r="AQ6" s="54">
        <f>ROUND($L$14*$N$14*S6/10000,0)</f>
        <v>0</v>
      </c>
      <c r="AR6" s="54">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5" customFormat="1" ht="14.25">
      <c r="A7" s="2308" t="str">
        <f>'数据-汇总表'!C20</f>
        <v>办公短租约</v>
      </c>
      <c r="B7" s="2309" t="str">
        <f t="shared" ref="B7:B13" si="1">IF(A7=0,"","经营性")</f>
        <v>经营性</v>
      </c>
      <c r="C7" s="2310" t="s">
        <v>6</v>
      </c>
      <c r="D7" s="1054">
        <f>SUMIF(项目基本情况!D$12:I$12,C7,项目基本情况!D$14:I$14)</f>
        <v>50</v>
      </c>
      <c r="E7" s="1051">
        <f>IF(B7="","",SUMIF(项目基本情况!D$12:I$12,C7,项目基本情况!D$13:I$13))</f>
        <v>55865</v>
      </c>
      <c r="F7" s="71">
        <f>SUMIF(项目基本情况!D$12:I$12,C7,项目基本情况!D$15:I$15)</f>
        <v>35.11</v>
      </c>
      <c r="G7" s="72">
        <f t="shared" ref="G7:G11" si="2">IF(ISERROR(ROUND(POWER(1+H7,D7-F7)*(POWER(1+H7,F7)-1)/(POWER(1+H7,D7)-1),3)),0,ROUND(POWER(1+H7,D7-F7)*(POWER(1+H7,F7)-1)/(POWER(1+H7,D7)-1),3))</f>
        <v>0.88500000000000001</v>
      </c>
      <c r="H7" s="802">
        <v>4.4999999999999998E-2</v>
      </c>
      <c r="I7" s="802">
        <v>0.05</v>
      </c>
      <c r="J7" s="73">
        <v>8.5000000000000006E-2</v>
      </c>
      <c r="K7" s="1254">
        <f>SUMIF('数据-汇总表'!C$19:C$33,A7,'数据-汇总表'!E$19:E$33)</f>
        <v>13090.679999999998</v>
      </c>
      <c r="L7" s="3382">
        <v>1800</v>
      </c>
      <c r="M7" s="74">
        <f>ROUND(K7*L7/10000,0)</f>
        <v>2356</v>
      </c>
      <c r="N7" s="3383">
        <f>市场租金整理!A5</f>
        <v>0.75</v>
      </c>
      <c r="O7" s="74" t="str">
        <f t="shared" ref="O7:O14" si="3">IF($N$5="成新度","——",ROUND(M7*N7,0))</f>
        <v>——</v>
      </c>
      <c r="P7" s="75" t="str">
        <f t="shared" ref="P7:P14" si="4">IF($N$5="成新度","——",M7-O7)</f>
        <v>——</v>
      </c>
      <c r="Q7" s="804">
        <v>0.15</v>
      </c>
      <c r="R7" s="76">
        <f ca="1">SUMIF('数据-汇总表'!C$19:C$33,A7,'数据-汇总表'!R$19:R$27)</f>
        <v>19646.93</v>
      </c>
      <c r="S7" s="53">
        <f>IF('数据-汇总表'!$I$17="按面积比例",SUMIF('数据-汇总表'!C$19:C$33,A7,'数据-汇总表'!K$19:K$33),SUMIF('数据-汇总表'!C$19:C$33,A7,'数据-汇总表'!N$19:N$33))</f>
        <v>0</v>
      </c>
      <c r="T7" s="1446">
        <f t="shared" ref="T7:T13" si="5">ROUND($L$14*S7/10000,0)</f>
        <v>0</v>
      </c>
      <c r="U7" s="77">
        <f>办公区域租金整理!H61</f>
        <v>7.65</v>
      </c>
      <c r="V7" s="78">
        <v>0</v>
      </c>
      <c r="W7" s="78">
        <v>0</v>
      </c>
      <c r="X7" s="1264"/>
      <c r="Y7" s="79">
        <f>N7</f>
        <v>0.75</v>
      </c>
      <c r="Z7" s="80">
        <f>市场租金整理!F4</f>
        <v>6.26</v>
      </c>
      <c r="AA7" s="73">
        <f>市场租金整理!B2</f>
        <v>0.03</v>
      </c>
      <c r="AB7" s="73">
        <f>W9</f>
        <v>0.1</v>
      </c>
      <c r="AC7" s="1264"/>
      <c r="AD7" s="81">
        <f>市场租金整理!F5</f>
        <v>0.67</v>
      </c>
      <c r="AE7" s="1265">
        <f t="shared" ref="AE7:AE13" ca="1" si="6">IF(AN7="",0,SUMIF(INDIRECT("'"&amp;AN7&amp;"'"&amp;"!E:E"),$AE$5,INDIRECT("'"&amp;AN7&amp;"'"&amp;"!F:F")))</f>
        <v>35.11</v>
      </c>
      <c r="AF7" s="1808">
        <f>办公区域租金整理!H62</f>
        <v>5.07</v>
      </c>
      <c r="AG7" s="146">
        <f t="shared" ref="AG7:AG13" ca="1" si="7">IF(AF7="",0,AE7-AF7)</f>
        <v>30.04</v>
      </c>
      <c r="AH7" s="82"/>
      <c r="AI7" s="84">
        <v>365</v>
      </c>
      <c r="AJ7" s="85"/>
      <c r="AK7" s="86">
        <v>1.4999999999999999E-2</v>
      </c>
      <c r="AL7" s="87">
        <v>1.5E-3</v>
      </c>
      <c r="AM7" s="88">
        <v>0.01</v>
      </c>
      <c r="AN7" s="2311" t="s">
        <v>3271</v>
      </c>
      <c r="AO7" s="54">
        <f t="shared" ref="AO7:AO13" ca="1" si="8">SUMIF(INDIRECT("'"&amp;AN7&amp;"'"&amp;"!A:A"),"总价",INDIRECT("'"&amp;AN7&amp;"'"&amp;"!B:B"))</f>
        <v>55711</v>
      </c>
      <c r="AP7" s="2312">
        <f>IF(C7="住宅",K7*L7,0)</f>
        <v>0</v>
      </c>
      <c r="AQ7" s="54">
        <f t="shared" ref="AQ7:AQ13" si="9">ROUND($L$14*$N$14*S7/10000,0)</f>
        <v>0</v>
      </c>
      <c r="AR7" s="54">
        <f t="shared" ref="AR7:AR13" si="10">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5" customFormat="1" ht="14.25">
      <c r="A8" s="2308" t="str">
        <f>'数据-汇总表'!C21</f>
        <v>办公长租约</v>
      </c>
      <c r="B8" s="2309" t="str">
        <f t="shared" si="1"/>
        <v>经营性</v>
      </c>
      <c r="C8" s="2310" t="s">
        <v>6</v>
      </c>
      <c r="D8" s="1054">
        <f>SUMIF(项目基本情况!D$12:I$12,C8,项目基本情况!D$14:I$14)</f>
        <v>50</v>
      </c>
      <c r="E8" s="1051">
        <f>IF(B8="","",SUMIF(项目基本情况!D$12:I$12,C8,项目基本情况!D$13:I$13))</f>
        <v>55865</v>
      </c>
      <c r="F8" s="71">
        <f>SUMIF(项目基本情况!D$12:I$12,C8,项目基本情况!D$15:I$15)</f>
        <v>35.11</v>
      </c>
      <c r="G8" s="72">
        <f t="shared" si="2"/>
        <v>0.88500000000000001</v>
      </c>
      <c r="H8" s="802">
        <f t="shared" ref="H8:J9" si="11">H7</f>
        <v>4.4999999999999998E-2</v>
      </c>
      <c r="I8" s="802">
        <f t="shared" si="11"/>
        <v>0.05</v>
      </c>
      <c r="J8" s="73">
        <f t="shared" si="11"/>
        <v>8.5000000000000006E-2</v>
      </c>
      <c r="K8" s="1254">
        <f>SUMIF('数据-汇总表'!C$19:C$33,A8,'数据-汇总表'!E$19:E$33)</f>
        <v>1670.3</v>
      </c>
      <c r="L8" s="3382">
        <v>1800</v>
      </c>
      <c r="M8" s="74">
        <f>ROUND(K8*L8/10000,0)</f>
        <v>301</v>
      </c>
      <c r="N8" s="3383">
        <f>N7</f>
        <v>0.75</v>
      </c>
      <c r="O8" s="74" t="str">
        <f t="shared" si="3"/>
        <v>——</v>
      </c>
      <c r="P8" s="75" t="str">
        <f t="shared" si="4"/>
        <v>——</v>
      </c>
      <c r="Q8" s="804">
        <v>0.15</v>
      </c>
      <c r="R8" s="76">
        <f ca="1">SUMIF('数据-汇总表'!C$19:C$33,A8,'数据-汇总表'!R$19:R$27)</f>
        <v>2506.84</v>
      </c>
      <c r="S8" s="53">
        <f>IF('数据-汇总表'!$I$17="按面积比例",SUMIF('数据-汇总表'!C$19:C$33,A8,'数据-汇总表'!K$19:K$33),SUMIF('数据-汇总表'!C$19:C$33,A8,'数据-汇总表'!N$19:N$33))</f>
        <v>0</v>
      </c>
      <c r="T8" s="1446">
        <f t="shared" si="5"/>
        <v>0</v>
      </c>
      <c r="U8" s="805">
        <f>办公区域租金整理!H67</f>
        <v>0.8</v>
      </c>
      <c r="V8" s="806">
        <v>0</v>
      </c>
      <c r="W8" s="806">
        <v>0</v>
      </c>
      <c r="X8" s="1264"/>
      <c r="Y8" s="807">
        <f>N8</f>
        <v>0.75</v>
      </c>
      <c r="Z8" s="80">
        <f>市场租金整理!O4</f>
        <v>8.1999999999999993</v>
      </c>
      <c r="AA8" s="73">
        <f>市场租金整理!B2</f>
        <v>0.03</v>
      </c>
      <c r="AB8" s="73">
        <f>W9</f>
        <v>0.1</v>
      </c>
      <c r="AC8" s="1264"/>
      <c r="AD8" s="81">
        <f>市场租金整理!O5</f>
        <v>0.52</v>
      </c>
      <c r="AE8" s="1265">
        <f t="shared" ca="1" si="6"/>
        <v>35.11</v>
      </c>
      <c r="AF8" s="1808">
        <f>办公区域租金整理!H68</f>
        <v>14.15</v>
      </c>
      <c r="AG8" s="146">
        <f t="shared" ca="1" si="7"/>
        <v>20.96</v>
      </c>
      <c r="AH8" s="808"/>
      <c r="AI8" s="84">
        <v>365</v>
      </c>
      <c r="AJ8" s="85"/>
      <c r="AK8" s="809">
        <v>1.4999999999999999E-2</v>
      </c>
      <c r="AL8" s="810">
        <v>1.5E-3</v>
      </c>
      <c r="AM8" s="811">
        <v>0.01</v>
      </c>
      <c r="AN8" s="2311" t="s">
        <v>3273</v>
      </c>
      <c r="AO8" s="54">
        <f t="shared" ca="1" si="8"/>
        <v>3684</v>
      </c>
      <c r="AP8" s="2312">
        <f t="shared" ref="AP8:AP13" si="12">IF(C8="住宅",K8*L8,0)</f>
        <v>0</v>
      </c>
      <c r="AQ8" s="54">
        <f t="shared" si="9"/>
        <v>0</v>
      </c>
      <c r="AR8" s="54">
        <f t="shared" si="10"/>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5" customFormat="1" ht="14.25">
      <c r="A9" s="2308" t="str">
        <f>'数据-汇总表'!C22</f>
        <v>办公未出租</v>
      </c>
      <c r="B9" s="2309" t="str">
        <f t="shared" si="1"/>
        <v>经营性</v>
      </c>
      <c r="C9" s="2310" t="s">
        <v>6</v>
      </c>
      <c r="D9" s="1054">
        <f>SUMIF(项目基本情况!D$12:I$12,C9,项目基本情况!D$14:I$14)</f>
        <v>50</v>
      </c>
      <c r="E9" s="1051">
        <f>IF(B9="","",SUMIF(项目基本情况!D$12:I$12,C9,项目基本情况!D$13:I$13))</f>
        <v>55865</v>
      </c>
      <c r="F9" s="71">
        <f>SUMIF(项目基本情况!D$12:I$12,C9,项目基本情况!D$15:I$15)</f>
        <v>35.11</v>
      </c>
      <c r="G9" s="72">
        <f t="shared" si="2"/>
        <v>0.88500000000000001</v>
      </c>
      <c r="H9" s="73">
        <f t="shared" si="11"/>
        <v>4.4999999999999998E-2</v>
      </c>
      <c r="I9" s="73">
        <f t="shared" si="11"/>
        <v>0.05</v>
      </c>
      <c r="J9" s="73">
        <f t="shared" si="11"/>
        <v>8.5000000000000006E-2</v>
      </c>
      <c r="K9" s="1254">
        <f>SUMIF('数据-汇总表'!C$19:C$33,A9,'数据-汇总表'!E$19:E$33)</f>
        <v>10669.729999999998</v>
      </c>
      <c r="L9" s="3382">
        <v>1800</v>
      </c>
      <c r="M9" s="74">
        <f>ROUND(K9*L9/10000,0)</f>
        <v>1921</v>
      </c>
      <c r="N9" s="3383">
        <f>N7</f>
        <v>0.75</v>
      </c>
      <c r="O9" s="74" t="str">
        <f t="shared" si="3"/>
        <v>——</v>
      </c>
      <c r="P9" s="75" t="str">
        <f t="shared" si="4"/>
        <v>——</v>
      </c>
      <c r="Q9" s="89">
        <v>0.15</v>
      </c>
      <c r="R9" s="76">
        <f ca="1">SUMIF('数据-汇总表'!C$19:C$33,A9,'数据-汇总表'!R$19:R$27)</f>
        <v>16013.49</v>
      </c>
      <c r="S9" s="53">
        <f>IF('数据-汇总表'!$I$17="按面积比例",SUMIF('数据-汇总表'!C$19:C$33,A9,'数据-汇总表'!K$19:K$33),SUMIF('数据-汇总表'!C$19:C$33,A9,'数据-汇总表'!N$19:N$33))</f>
        <v>0</v>
      </c>
      <c r="T9" s="1446">
        <f t="shared" si="5"/>
        <v>0</v>
      </c>
      <c r="U9" s="77">
        <f>市场租金整理!A4</f>
        <v>5.4</v>
      </c>
      <c r="V9" s="78">
        <f>市场租金整理!B2</f>
        <v>0.03</v>
      </c>
      <c r="W9" s="78">
        <v>0.1</v>
      </c>
      <c r="X9" s="1264"/>
      <c r="Y9" s="79">
        <f>N9</f>
        <v>0.75</v>
      </c>
      <c r="Z9" s="80"/>
      <c r="AA9" s="73"/>
      <c r="AB9" s="73"/>
      <c r="AC9" s="1264"/>
      <c r="AD9" s="81"/>
      <c r="AE9" s="1265">
        <f t="shared" ca="1" si="6"/>
        <v>35.11</v>
      </c>
      <c r="AF9" s="1808"/>
      <c r="AG9" s="146">
        <f t="shared" si="7"/>
        <v>0</v>
      </c>
      <c r="AH9" s="82"/>
      <c r="AI9" s="84">
        <v>365</v>
      </c>
      <c r="AJ9" s="85"/>
      <c r="AK9" s="86">
        <v>1.4999999999999999E-2</v>
      </c>
      <c r="AL9" s="87">
        <v>1.5E-3</v>
      </c>
      <c r="AM9" s="88">
        <v>0.01</v>
      </c>
      <c r="AN9" s="2311" t="s">
        <v>3275</v>
      </c>
      <c r="AO9" s="54">
        <f t="shared" ca="1" si="8"/>
        <v>41142</v>
      </c>
      <c r="AP9" s="2312">
        <f>IF(C9="住宅",K9*L9,0)</f>
        <v>0</v>
      </c>
      <c r="AQ9" s="54">
        <f t="shared" si="9"/>
        <v>0</v>
      </c>
      <c r="AR9" s="54">
        <f t="shared" si="10"/>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5"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1">
        <f>SUMIF(项目基本情况!D$12:I$12,C10,项目基本情况!D$15:I$15)</f>
        <v>0</v>
      </c>
      <c r="G10" s="72">
        <f t="shared" si="2"/>
        <v>0</v>
      </c>
      <c r="H10" s="73"/>
      <c r="I10" s="73"/>
      <c r="J10" s="73"/>
      <c r="K10" s="1254">
        <f>SUMIF('数据-汇总表'!C$19:C$33,A10,'数据-汇总表'!E$19:E$33)</f>
        <v>0</v>
      </c>
      <c r="L10" s="803"/>
      <c r="M10" s="74">
        <f t="shared" si="0"/>
        <v>0</v>
      </c>
      <c r="N10" s="801"/>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6">
        <f t="shared" si="5"/>
        <v>0</v>
      </c>
      <c r="U10" s="77"/>
      <c r="V10" s="78"/>
      <c r="W10" s="78"/>
      <c r="X10" s="1264"/>
      <c r="Y10" s="79"/>
      <c r="Z10" s="80"/>
      <c r="AA10" s="73"/>
      <c r="AB10" s="73"/>
      <c r="AC10" s="1264"/>
      <c r="AD10" s="81"/>
      <c r="AE10" s="1265">
        <f t="shared" ca="1" si="6"/>
        <v>0</v>
      </c>
      <c r="AF10" s="1808"/>
      <c r="AG10" s="146">
        <f t="shared" si="7"/>
        <v>0</v>
      </c>
      <c r="AH10" s="82"/>
      <c r="AI10" s="84"/>
      <c r="AJ10" s="85"/>
      <c r="AK10" s="86"/>
      <c r="AL10" s="87"/>
      <c r="AM10" s="88"/>
      <c r="AN10" s="2311"/>
      <c r="AO10" s="54" t="e">
        <f t="shared" ca="1" si="8"/>
        <v>#REF!</v>
      </c>
      <c r="AP10" s="2312">
        <f t="shared" si="12"/>
        <v>0</v>
      </c>
      <c r="AQ10" s="54">
        <f t="shared" si="9"/>
        <v>0</v>
      </c>
      <c r="AR10" s="54">
        <f t="shared" si="10"/>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5"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1">
        <f>SUMIF(项目基本情况!D$12:I$12,C11,项目基本情况!D$15:I$15)</f>
        <v>0</v>
      </c>
      <c r="G11" s="72">
        <f t="shared" si="2"/>
        <v>0</v>
      </c>
      <c r="H11" s="73"/>
      <c r="I11" s="73"/>
      <c r="J11" s="73"/>
      <c r="K11" s="1254">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6">
        <f t="shared" si="5"/>
        <v>0</v>
      </c>
      <c r="U11" s="82"/>
      <c r="V11" s="73"/>
      <c r="W11" s="73"/>
      <c r="X11" s="1264"/>
      <c r="Y11" s="79"/>
      <c r="Z11" s="92"/>
      <c r="AA11" s="73"/>
      <c r="AB11" s="73"/>
      <c r="AC11" s="1264"/>
      <c r="AD11" s="81"/>
      <c r="AE11" s="1265">
        <f t="shared" ca="1" si="6"/>
        <v>0</v>
      </c>
      <c r="AF11" s="1808"/>
      <c r="AG11" s="146">
        <f t="shared" si="7"/>
        <v>0</v>
      </c>
      <c r="AH11" s="82"/>
      <c r="AI11" s="84"/>
      <c r="AJ11" s="85"/>
      <c r="AK11" s="93"/>
      <c r="AL11" s="94"/>
      <c r="AM11" s="95"/>
      <c r="AN11" s="2311"/>
      <c r="AO11" s="54" t="e">
        <f t="shared" ca="1" si="8"/>
        <v>#REF!</v>
      </c>
      <c r="AP11" s="2312">
        <f t="shared" si="12"/>
        <v>0</v>
      </c>
      <c r="AQ11" s="54">
        <f t="shared" si="9"/>
        <v>0</v>
      </c>
      <c r="AR11" s="54">
        <f t="shared" si="10"/>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5"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4">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6">
        <f t="shared" si="5"/>
        <v>0</v>
      </c>
      <c r="U12" s="82"/>
      <c r="V12" s="73"/>
      <c r="W12" s="73"/>
      <c r="X12" s="1264"/>
      <c r="Y12" s="79"/>
      <c r="Z12" s="92"/>
      <c r="AA12" s="73"/>
      <c r="AB12" s="73"/>
      <c r="AC12" s="1264"/>
      <c r="AD12" s="81"/>
      <c r="AE12" s="1265">
        <f t="shared" ca="1" si="6"/>
        <v>0</v>
      </c>
      <c r="AF12" s="1808"/>
      <c r="AG12" s="146">
        <f t="shared" si="7"/>
        <v>0</v>
      </c>
      <c r="AH12" s="82"/>
      <c r="AI12" s="84"/>
      <c r="AJ12" s="85"/>
      <c r="AK12" s="93"/>
      <c r="AL12" s="94"/>
      <c r="AM12" s="95"/>
      <c r="AN12" s="2311"/>
      <c r="AO12" s="54" t="e">
        <f t="shared" ca="1" si="8"/>
        <v>#REF!</v>
      </c>
      <c r="AP12" s="2312">
        <f t="shared" si="12"/>
        <v>0</v>
      </c>
      <c r="AQ12" s="54">
        <f t="shared" si="9"/>
        <v>0</v>
      </c>
      <c r="AR12" s="54">
        <f t="shared" si="10"/>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5"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4">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6">
        <f t="shared" si="5"/>
        <v>0</v>
      </c>
      <c r="U13" s="77"/>
      <c r="V13" s="78"/>
      <c r="W13" s="78"/>
      <c r="X13" s="1264"/>
      <c r="Y13" s="79"/>
      <c r="Z13" s="80"/>
      <c r="AA13" s="73"/>
      <c r="AB13" s="73"/>
      <c r="AC13" s="1264"/>
      <c r="AD13" s="81"/>
      <c r="AE13" s="1265">
        <f t="shared" ca="1" si="6"/>
        <v>0</v>
      </c>
      <c r="AF13" s="1808"/>
      <c r="AG13" s="146">
        <f t="shared" si="7"/>
        <v>0</v>
      </c>
      <c r="AH13" s="82"/>
      <c r="AI13" s="84"/>
      <c r="AJ13" s="85"/>
      <c r="AK13" s="86"/>
      <c r="AL13" s="87"/>
      <c r="AM13" s="88"/>
      <c r="AN13" s="2311"/>
      <c r="AO13" s="54" t="e">
        <f t="shared" ca="1" si="8"/>
        <v>#REF!</v>
      </c>
      <c r="AP13" s="2312">
        <f t="shared" si="12"/>
        <v>0</v>
      </c>
      <c r="AQ13" s="54">
        <f t="shared" si="9"/>
        <v>0</v>
      </c>
      <c r="AR13" s="54">
        <f t="shared" si="10"/>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5" customFormat="1" ht="14.25">
      <c r="A14" s="2313" t="s">
        <v>2013</v>
      </c>
      <c r="B14" s="2309" t="s">
        <v>2014</v>
      </c>
      <c r="C14" s="2314" t="s">
        <v>2013</v>
      </c>
      <c r="D14" s="1054"/>
      <c r="E14" s="1051"/>
      <c r="F14" s="71"/>
      <c r="G14" s="72"/>
      <c r="H14" s="1253"/>
      <c r="I14" s="1253"/>
      <c r="J14" s="1253"/>
      <c r="K14" s="1254">
        <f>SUMIF('数据-汇总表'!C$19:C$33,A14,'数据-汇总表'!E$19:E$33)</f>
        <v>0</v>
      </c>
      <c r="L14" s="90"/>
      <c r="M14" s="74">
        <f t="shared" si="0"/>
        <v>0</v>
      </c>
      <c r="N14" s="91"/>
      <c r="O14" s="74" t="str">
        <f t="shared" si="3"/>
        <v>——</v>
      </c>
      <c r="P14" s="75" t="str">
        <f t="shared" si="4"/>
        <v>——</v>
      </c>
      <c r="Q14" s="1257"/>
      <c r="R14" s="76"/>
      <c r="S14" s="53"/>
      <c r="T14" s="1446"/>
      <c r="U14" s="723"/>
      <c r="V14" s="1259"/>
      <c r="W14" s="1259"/>
      <c r="X14" s="1260"/>
      <c r="Y14" s="1261"/>
      <c r="Z14" s="1262"/>
      <c r="AA14" s="1263"/>
      <c r="AB14" s="1263"/>
      <c r="AC14" s="1264"/>
      <c r="AD14" s="1260"/>
      <c r="AE14" s="1265"/>
      <c r="AF14" s="54"/>
      <c r="AG14" s="146"/>
      <c r="AH14" s="1265"/>
      <c r="AI14" s="1819"/>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5" customFormat="1" ht="27">
      <c r="A15" s="2313" t="s">
        <v>2015</v>
      </c>
      <c r="B15" s="2309" t="s">
        <v>2014</v>
      </c>
      <c r="C15" s="2314" t="s">
        <v>2016</v>
      </c>
      <c r="D15" s="1054"/>
      <c r="E15" s="1051"/>
      <c r="F15" s="71"/>
      <c r="G15" s="72"/>
      <c r="H15" s="1253"/>
      <c r="I15" s="1253"/>
      <c r="J15" s="1253"/>
      <c r="K15" s="1254">
        <f>SUMIF('数据-汇总表'!C$19:C$33,A15,'数据-汇总表'!E$19:E$33)</f>
        <v>0</v>
      </c>
      <c r="L15" s="1255"/>
      <c r="M15" s="74"/>
      <c r="N15" s="1256"/>
      <c r="O15" s="74"/>
      <c r="P15" s="75"/>
      <c r="Q15" s="1257"/>
      <c r="R15" s="76"/>
      <c r="S15" s="53"/>
      <c r="T15" s="1446"/>
      <c r="U15" s="723"/>
      <c r="V15" s="1259"/>
      <c r="W15" s="1259"/>
      <c r="X15" s="1260"/>
      <c r="Y15" s="1261"/>
      <c r="Z15" s="1262"/>
      <c r="AA15" s="1263"/>
      <c r="AB15" s="1263"/>
      <c r="AC15" s="1264"/>
      <c r="AD15" s="1260"/>
      <c r="AE15" s="1265"/>
      <c r="AF15" s="54"/>
      <c r="AG15" s="146"/>
      <c r="AH15" s="1265"/>
      <c r="AI15" s="1819"/>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5" customFormat="1" ht="15.75" thickBot="1">
      <c r="A16" s="2315" t="s">
        <v>2017</v>
      </c>
      <c r="B16" s="96"/>
      <c r="C16" s="1008"/>
      <c r="D16" s="2316"/>
      <c r="E16" s="96"/>
      <c r="F16" s="96"/>
      <c r="G16" s="97">
        <f>ROUND(SUMPRODUCT(G6:G13,K6:K13)/SUMPRODUCT((G6:G13&gt;0)*(K6:K13)),3)</f>
        <v>0.88500000000000001</v>
      </c>
      <c r="H16" s="98">
        <f>ROUND(SUMPRODUCT(H6:H13,K6:K13)/SUMPRODUCT((H6:H13&gt;0)*(K6:K13)),3)</f>
        <v>4.4999999999999998E-2</v>
      </c>
      <c r="I16" s="99"/>
      <c r="J16" s="99"/>
      <c r="K16" s="100">
        <f>SUM(K6:K15)</f>
        <v>25430.709999999995</v>
      </c>
      <c r="L16" s="101">
        <f>ROUND(M16*10000/SUM(K6:K14),0)</f>
        <v>1800</v>
      </c>
      <c r="M16" s="101">
        <f>SUM(M6:M14)</f>
        <v>4578</v>
      </c>
      <c r="N16" s="102">
        <f>ROUND(SUMPRODUCT(M6:M14,N6:N14)/M16,3)</f>
        <v>0.75</v>
      </c>
      <c r="O16" s="101">
        <f>SUM(O6:O14)</f>
        <v>0</v>
      </c>
      <c r="P16" s="101">
        <f>SUM(P6:P14)</f>
        <v>0</v>
      </c>
      <c r="Q16" s="103">
        <f>ROUND(SUMPRODUCT(Q6:Q13,K6:K13)/SUMPRODUCT((Q6:Q13&gt;0)*(K6:K13)),2)</f>
        <v>0.15</v>
      </c>
      <c r="R16" s="1258">
        <f ca="1">SUM(R6:R13)</f>
        <v>38167.26</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5"/>
      <c r="D17" s="2275"/>
      <c r="E17" s="2275"/>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7" t="s">
        <v>2018</v>
      </c>
      <c r="B18" s="2282"/>
      <c r="C18" s="2279"/>
      <c r="D18" s="2280"/>
      <c r="E18" s="2279"/>
      <c r="F18" s="2279"/>
      <c r="G18" s="2279"/>
      <c r="H18" s="2279"/>
      <c r="I18" s="2279"/>
      <c r="J18" s="2279"/>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8" t="s">
        <v>2019</v>
      </c>
      <c r="B19" s="111">
        <v>0</v>
      </c>
      <c r="C19" s="2279" t="s">
        <v>2020</v>
      </c>
      <c r="D19" s="2280"/>
      <c r="E19" s="2279"/>
      <c r="F19" s="2279"/>
      <c r="G19" s="2279"/>
      <c r="H19" s="2279"/>
      <c r="I19" s="2279"/>
      <c r="J19" s="2279"/>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9" t="s">
        <v>2021</v>
      </c>
      <c r="B20" s="3384">
        <v>1</v>
      </c>
      <c r="C20" s="2279" t="s">
        <v>2022</v>
      </c>
      <c r="D20" s="2280"/>
      <c r="E20" s="2279"/>
      <c r="F20" s="2279"/>
      <c r="G20" s="2279"/>
      <c r="H20" s="2279"/>
      <c r="I20" s="2279"/>
      <c r="J20" s="2279"/>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0" t="s">
        <v>2023</v>
      </c>
      <c r="B21" s="112">
        <v>1</v>
      </c>
      <c r="C21" s="2279"/>
      <c r="D21" s="2280"/>
      <c r="E21" s="2279"/>
      <c r="F21" s="2279"/>
      <c r="G21" s="2279"/>
      <c r="H21" s="2279"/>
      <c r="I21" s="2279"/>
      <c r="J21" s="2279"/>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9" t="s">
        <v>2024</v>
      </c>
      <c r="B22" s="113">
        <f>B19+B20</f>
        <v>1</v>
      </c>
      <c r="C22" s="2279"/>
      <c r="D22" s="2280"/>
      <c r="E22" s="2279"/>
      <c r="F22" s="2279"/>
      <c r="G22" s="2279"/>
      <c r="H22" s="2279"/>
      <c r="I22" s="2279"/>
      <c r="J22" s="2279"/>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0" t="s">
        <v>2025</v>
      </c>
      <c r="B23" s="113">
        <f>B19+B21</f>
        <v>1</v>
      </c>
      <c r="C23" s="2279"/>
      <c r="D23" s="2280"/>
      <c r="E23" s="2279"/>
      <c r="F23" s="2279"/>
      <c r="G23" s="2279"/>
      <c r="H23" s="2279"/>
      <c r="I23" s="2279"/>
      <c r="J23" s="2279"/>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1" t="s">
        <v>2026</v>
      </c>
      <c r="B24" s="114">
        <f>B20-B21</f>
        <v>0</v>
      </c>
      <c r="C24" s="2279"/>
      <c r="D24" s="2280"/>
      <c r="E24" s="2279"/>
      <c r="F24" s="2279"/>
      <c r="G24" s="2279"/>
      <c r="H24" s="2279"/>
      <c r="I24" s="2279"/>
      <c r="J24" s="2279"/>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2"/>
      <c r="C25" s="2279"/>
      <c r="D25" s="2280"/>
      <c r="E25" s="2279"/>
      <c r="F25" s="2279"/>
      <c r="G25" s="2279"/>
      <c r="H25" s="2279"/>
      <c r="I25" s="2279"/>
      <c r="J25" s="2279"/>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8" t="s">
        <v>2027</v>
      </c>
      <c r="B26" s="2322" t="s">
        <v>2028</v>
      </c>
      <c r="C26" s="2323" t="s">
        <v>2029</v>
      </c>
      <c r="D26" s="2280"/>
      <c r="E26" s="2279"/>
      <c r="F26" s="2279"/>
      <c r="G26" s="2279"/>
      <c r="H26" s="2279"/>
      <c r="I26" s="2279"/>
      <c r="J26" s="2279"/>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6" customFormat="1" ht="27.75">
      <c r="A27" s="2324" t="s">
        <v>2030</v>
      </c>
      <c r="B27" s="115"/>
      <c r="C27" s="1768" t="s">
        <v>2031</v>
      </c>
      <c r="D27" s="2325"/>
      <c r="E27" s="1430"/>
      <c r="F27" s="1430"/>
      <c r="G27" s="2279"/>
      <c r="H27" s="2279"/>
      <c r="I27" s="2279"/>
      <c r="J27" s="2279"/>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2032</v>
      </c>
      <c r="B28" s="118">
        <v>200</v>
      </c>
      <c r="C28" s="2328"/>
      <c r="D28" s="2325"/>
      <c r="E28" s="1430"/>
      <c r="F28" s="1430"/>
      <c r="G28" s="2279"/>
      <c r="H28" s="2279"/>
      <c r="I28" s="2279"/>
      <c r="J28" s="2279"/>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2033</v>
      </c>
      <c r="B29" s="120">
        <f ca="1">'成本法-办公'!C10</f>
        <v>509</v>
      </c>
      <c r="C29" s="1768" t="s">
        <v>2034</v>
      </c>
      <c r="D29" s="2325"/>
      <c r="E29" s="1430"/>
      <c r="F29" s="1430"/>
      <c r="G29" s="2279"/>
      <c r="H29" s="2279"/>
      <c r="I29" s="2279"/>
      <c r="J29" s="2279"/>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2035</v>
      </c>
      <c r="B30" s="724">
        <v>200</v>
      </c>
      <c r="C30" s="2328"/>
      <c r="D30" s="2325"/>
      <c r="E30" s="1430"/>
      <c r="F30" s="1430"/>
      <c r="G30" s="2279"/>
      <c r="H30" s="2279"/>
      <c r="I30" s="2279"/>
      <c r="J30" s="2279"/>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2036</v>
      </c>
      <c r="B31" s="119">
        <f>B30-B32</f>
        <v>200</v>
      </c>
      <c r="C31" s="1768"/>
      <c r="D31" s="2325"/>
      <c r="E31" s="1430"/>
      <c r="F31" s="1430"/>
      <c r="G31" s="2279"/>
      <c r="H31" s="2279"/>
      <c r="I31" s="2279"/>
      <c r="J31" s="2279"/>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2037</v>
      </c>
      <c r="B32" s="725">
        <v>0</v>
      </c>
      <c r="C32" s="2328"/>
      <c r="D32" s="2280"/>
      <c r="E32" s="2279"/>
      <c r="F32" s="2279"/>
      <c r="G32" s="2279"/>
      <c r="H32" s="2279"/>
      <c r="I32" s="2279"/>
      <c r="J32" s="2279"/>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2038</v>
      </c>
      <c r="B33" s="726">
        <v>0.04</v>
      </c>
      <c r="C33" s="1767" t="s">
        <v>2039</v>
      </c>
      <c r="D33" s="2280"/>
      <c r="E33" s="2279"/>
      <c r="F33" s="2279"/>
      <c r="G33" s="2279"/>
      <c r="H33" s="2279"/>
      <c r="I33" s="2279"/>
      <c r="J33" s="2279"/>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2040</v>
      </c>
      <c r="B34" s="121">
        <v>0</v>
      </c>
      <c r="C34" s="1767" t="s">
        <v>2041</v>
      </c>
      <c r="D34" s="2280" t="s">
        <v>2042</v>
      </c>
      <c r="E34" s="732"/>
      <c r="F34" s="2279"/>
      <c r="G34" s="2279"/>
      <c r="H34" s="2279"/>
      <c r="I34" s="2279"/>
      <c r="J34" s="2279"/>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2043</v>
      </c>
      <c r="B35" s="118">
        <v>200</v>
      </c>
      <c r="C35" s="1767" t="s">
        <v>2044</v>
      </c>
      <c r="D35" s="2325"/>
      <c r="E35" s="1430"/>
      <c r="F35" s="1430"/>
      <c r="G35" s="2279"/>
      <c r="H35" s="2279"/>
      <c r="I35" s="2279"/>
      <c r="J35" s="2279"/>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2045</v>
      </c>
      <c r="B36" s="122">
        <v>1.4999999999999999E-2</v>
      </c>
      <c r="C36" s="1767" t="s">
        <v>2046</v>
      </c>
      <c r="D36" s="2280"/>
      <c r="E36" s="2279"/>
      <c r="F36" s="2279"/>
      <c r="G36" s="2279"/>
      <c r="H36" s="2279"/>
      <c r="I36" s="2279"/>
      <c r="J36" s="2279"/>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0" t="s">
        <v>2047</v>
      </c>
      <c r="B37" s="123">
        <v>0.02</v>
      </c>
      <c r="C37" s="1767" t="s">
        <v>2048</v>
      </c>
      <c r="D37" s="2280"/>
      <c r="E37" s="2279"/>
      <c r="F37" s="2279"/>
      <c r="G37" s="2279"/>
      <c r="H37" s="2279"/>
      <c r="I37" s="2279"/>
      <c r="J37" s="2279"/>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7" t="s">
        <v>2049</v>
      </c>
      <c r="B38" s="121">
        <v>0.02</v>
      </c>
      <c r="C38" s="1767" t="s">
        <v>2048</v>
      </c>
      <c r="D38" s="2280"/>
      <c r="E38" s="2279"/>
      <c r="F38" s="2279"/>
      <c r="G38" s="2279"/>
      <c r="H38" s="2279"/>
      <c r="I38" s="2279"/>
      <c r="J38" s="2279"/>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1" t="s">
        <v>2050</v>
      </c>
      <c r="B39" s="362">
        <f ca="1">存贷款利率!I1</f>
        <v>1.4999999999999999E-2</v>
      </c>
      <c r="C39" s="1767"/>
      <c r="D39" s="2280"/>
      <c r="E39" s="2279"/>
      <c r="F39" s="2279"/>
      <c r="G39" s="2279"/>
      <c r="H39" s="2279"/>
      <c r="I39" s="2279"/>
      <c r="J39" s="2279"/>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1" t="s">
        <v>2051</v>
      </c>
      <c r="B40" s="1303">
        <f ca="1">存贷款利率!G1</f>
        <v>4.3499999999999997E-2</v>
      </c>
      <c r="C40" s="1767" t="s">
        <v>2052</v>
      </c>
      <c r="D40" s="1585"/>
      <c r="E40" s="2280"/>
      <c r="F40" s="2279"/>
      <c r="G40" s="2279"/>
      <c r="H40" s="2279"/>
      <c r="I40" s="2279"/>
      <c r="J40" s="2279"/>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4" t="s">
        <v>2053</v>
      </c>
      <c r="B41" s="124">
        <f>B42+B43</f>
        <v>5.6000000000000001E-2</v>
      </c>
      <c r="C41" s="1768"/>
      <c r="D41" s="1585"/>
      <c r="E41" s="2280"/>
      <c r="F41" s="2279"/>
      <c r="G41" s="2279"/>
      <c r="H41" s="2279"/>
      <c r="I41" s="2279"/>
      <c r="J41" s="2279"/>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2" t="s">
        <v>2054</v>
      </c>
      <c r="B42" s="125">
        <v>0.05</v>
      </c>
      <c r="C42" s="2333">
        <f>IF(B2&lt;DATE(2016,5,1),0,B42)</f>
        <v>0.05</v>
      </c>
      <c r="D42" s="2280"/>
      <c r="E42" s="2279"/>
      <c r="F42" s="2279"/>
      <c r="G42" s="2279"/>
      <c r="H42" s="2279"/>
      <c r="I42" s="2279"/>
      <c r="J42" s="2279"/>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2" t="s">
        <v>2055</v>
      </c>
      <c r="B43" s="126">
        <f>B42*(B44+B45+B46)+B47</f>
        <v>6.000000000000001E-3</v>
      </c>
      <c r="C43" s="1768"/>
      <c r="D43" s="2280"/>
      <c r="E43" s="2279"/>
      <c r="F43" s="2279"/>
      <c r="G43" s="2279"/>
      <c r="H43" s="2279"/>
      <c r="I43" s="2279"/>
      <c r="J43" s="2279"/>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4" t="s">
        <v>2056</v>
      </c>
      <c r="B44" s="127">
        <v>7.0000000000000007E-2</v>
      </c>
      <c r="C44" s="1767" t="s">
        <v>2057</v>
      </c>
      <c r="D44" s="2280"/>
      <c r="E44" s="2279"/>
      <c r="F44" s="2279"/>
      <c r="G44" s="2279"/>
      <c r="H44" s="2279"/>
      <c r="I44" s="2279"/>
      <c r="J44" s="2279"/>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4" t="s">
        <v>2058</v>
      </c>
      <c r="B45" s="125">
        <v>0.03</v>
      </c>
      <c r="C45" s="1768" t="s">
        <v>2059</v>
      </c>
      <c r="D45" s="2280"/>
      <c r="E45" s="2279"/>
      <c r="F45" s="2279"/>
      <c r="G45" s="2279"/>
      <c r="H45" s="2279"/>
      <c r="I45" s="2279"/>
      <c r="J45" s="2279"/>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4" t="s">
        <v>2060</v>
      </c>
      <c r="B46" s="125">
        <v>0.02</v>
      </c>
      <c r="C46" s="1768" t="s">
        <v>2061</v>
      </c>
      <c r="D46" s="2280"/>
      <c r="E46" s="2279"/>
      <c r="F46" s="2279"/>
      <c r="G46" s="2279"/>
      <c r="H46" s="2279"/>
      <c r="I46" s="2279"/>
      <c r="J46" s="2279"/>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5" t="s">
        <v>2062</v>
      </c>
      <c r="B47" s="128">
        <v>0</v>
      </c>
      <c r="C47" s="1768" t="s">
        <v>2063</v>
      </c>
      <c r="D47" s="2280"/>
      <c r="E47" s="2279"/>
      <c r="F47" s="2279"/>
      <c r="G47" s="2279"/>
      <c r="H47" s="2279"/>
      <c r="I47" s="2279"/>
      <c r="J47" s="2279"/>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6" t="s">
        <v>2064</v>
      </c>
      <c r="B48" s="129">
        <v>0.03</v>
      </c>
      <c r="C48" s="1775" t="s">
        <v>2065</v>
      </c>
      <c r="D48" s="2280"/>
      <c r="E48" s="2279"/>
      <c r="F48" s="2279"/>
      <c r="G48" s="2279"/>
      <c r="H48" s="2279"/>
      <c r="I48" s="2279"/>
      <c r="J48" s="2279"/>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1" t="s">
        <v>2066</v>
      </c>
      <c r="B49" s="125">
        <v>5.0000000000000001E-4</v>
      </c>
      <c r="C49" s="1775" t="s">
        <v>2067</v>
      </c>
      <c r="D49" s="2280"/>
      <c r="E49" s="2279"/>
      <c r="F49" s="2279"/>
      <c r="G49" s="2279"/>
      <c r="H49" s="2279"/>
      <c r="I49" s="2279"/>
      <c r="J49" s="2279"/>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7" t="s">
        <v>2068</v>
      </c>
      <c r="B50" s="130">
        <v>1.2E-2</v>
      </c>
      <c r="C50" s="1430"/>
      <c r="D50" s="2280"/>
      <c r="E50" s="2279"/>
      <c r="F50" s="2279"/>
      <c r="G50" s="2279"/>
      <c r="H50" s="2279"/>
      <c r="I50" s="2279"/>
      <c r="J50" s="2279"/>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9" t="s">
        <v>2069</v>
      </c>
      <c r="B51" s="131">
        <v>0.12</v>
      </c>
      <c r="C51" s="1430"/>
      <c r="D51" s="2280"/>
      <c r="E51" s="2279"/>
      <c r="F51" s="2279"/>
      <c r="G51" s="2279"/>
      <c r="H51" s="2279"/>
      <c r="I51" s="2279"/>
      <c r="J51" s="2279"/>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7" t="s">
        <v>2070</v>
      </c>
      <c r="B52" s="132">
        <f>SUMIF(A54:A63,B53,B54:B63)</f>
        <v>18</v>
      </c>
      <c r="C52" s="1430"/>
      <c r="D52" s="2280"/>
      <c r="E52" s="2279"/>
      <c r="F52" s="2279"/>
      <c r="G52" s="2279"/>
      <c r="H52" s="2279"/>
      <c r="I52" s="2279"/>
      <c r="J52" s="2279"/>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7" t="s">
        <v>2071</v>
      </c>
      <c r="B53" s="2338" t="s">
        <v>442</v>
      </c>
      <c r="C53" s="1430" t="s">
        <v>2072</v>
      </c>
      <c r="D53" s="2339" t="s">
        <v>2073</v>
      </c>
      <c r="E53" s="2279"/>
      <c r="F53" s="2279"/>
      <c r="G53" s="2279"/>
      <c r="H53" s="2279"/>
      <c r="I53" s="2279"/>
      <c r="J53" s="2279"/>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0" t="s">
        <v>2074</v>
      </c>
      <c r="B54" s="83"/>
      <c r="C54" s="1430">
        <v>30</v>
      </c>
      <c r="D54" s="2280"/>
      <c r="E54" s="2279"/>
      <c r="F54" s="2279"/>
      <c r="G54" s="2279"/>
      <c r="H54" s="2279"/>
      <c r="I54" s="2279"/>
      <c r="J54" s="2279"/>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0" t="s">
        <v>2075</v>
      </c>
      <c r="B55" s="83"/>
      <c r="C55" s="1430">
        <v>24</v>
      </c>
      <c r="D55" s="2280"/>
      <c r="E55" s="2279"/>
      <c r="F55" s="2279"/>
      <c r="G55" s="2279"/>
      <c r="H55" s="2279"/>
      <c r="I55" s="2341"/>
      <c r="J55" s="2279"/>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0" t="s">
        <v>2076</v>
      </c>
      <c r="B56" s="83">
        <v>18</v>
      </c>
      <c r="C56" s="1430">
        <v>18</v>
      </c>
      <c r="D56" s="2280"/>
      <c r="E56" s="2279"/>
      <c r="F56" s="2279"/>
      <c r="G56" s="2279"/>
      <c r="H56" s="2279"/>
      <c r="I56" s="2279"/>
      <c r="J56" s="2279"/>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0" t="s">
        <v>2077</v>
      </c>
      <c r="B57" s="83"/>
      <c r="C57" s="1430">
        <v>12</v>
      </c>
      <c r="D57" s="2280"/>
      <c r="E57" s="2279"/>
      <c r="F57" s="2279"/>
      <c r="G57" s="2279"/>
      <c r="H57" s="2279"/>
      <c r="I57" s="2279"/>
      <c r="J57" s="2279"/>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0" t="s">
        <v>2078</v>
      </c>
      <c r="B58" s="83"/>
      <c r="C58" s="1430">
        <v>3</v>
      </c>
      <c r="D58" s="2280"/>
      <c r="E58" s="2279"/>
      <c r="F58" s="2279"/>
      <c r="G58" s="2279"/>
      <c r="H58" s="2279"/>
      <c r="I58" s="2279"/>
      <c r="J58" s="2279"/>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0" t="s">
        <v>2079</v>
      </c>
      <c r="B59" s="83"/>
      <c r="C59" s="1430">
        <v>1.5</v>
      </c>
      <c r="D59" s="2280"/>
      <c r="E59" s="2279"/>
      <c r="F59" s="2279"/>
      <c r="G59" s="2279"/>
      <c r="H59" s="2279"/>
      <c r="I59" s="2279"/>
      <c r="J59" s="2279"/>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0" t="s">
        <v>2080</v>
      </c>
      <c r="B60" s="83"/>
      <c r="C60" s="2279"/>
      <c r="D60" s="2280"/>
      <c r="E60" s="2279"/>
      <c r="F60" s="2279"/>
      <c r="G60" s="2279"/>
      <c r="H60" s="2279"/>
      <c r="I60" s="2279"/>
      <c r="J60" s="2279"/>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0" t="s">
        <v>2081</v>
      </c>
      <c r="B61" s="83"/>
      <c r="C61" s="2279"/>
      <c r="D61" s="2280"/>
      <c r="E61" s="2279"/>
      <c r="F61" s="2279"/>
      <c r="G61" s="2279"/>
      <c r="H61" s="2279"/>
      <c r="I61" s="2279"/>
      <c r="J61" s="2279"/>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0" t="s">
        <v>2082</v>
      </c>
      <c r="B62" s="83"/>
      <c r="C62" s="2279"/>
      <c r="D62" s="2280"/>
      <c r="E62" s="2279"/>
      <c r="F62" s="2279"/>
      <c r="G62" s="2279"/>
      <c r="H62" s="2279"/>
      <c r="I62" s="2279"/>
      <c r="J62" s="2279"/>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2" t="s">
        <v>2083</v>
      </c>
      <c r="B63" s="133"/>
      <c r="C63" s="2279"/>
      <c r="D63" s="2280"/>
      <c r="E63" s="2279"/>
      <c r="F63" s="2279"/>
      <c r="G63" s="2279"/>
      <c r="H63" s="2279"/>
      <c r="I63" s="2279"/>
      <c r="J63" s="2279"/>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6"/>
      <c r="L134" s="26"/>
    </row>
    <row r="135" spans="1:12" s="2276" customFormat="1">
      <c r="A135" s="2345"/>
      <c r="D135" s="2346"/>
      <c r="K135" s="26"/>
      <c r="L135" s="26"/>
    </row>
    <row r="136" spans="1:12" s="2276" customFormat="1">
      <c r="A136" s="2345"/>
      <c r="D136" s="2346"/>
      <c r="K136" s="26"/>
      <c r="L136" s="26"/>
    </row>
    <row r="137" spans="1:12" s="2276" customFormat="1">
      <c r="A137" s="2345"/>
      <c r="D137" s="2346"/>
      <c r="K137" s="26"/>
      <c r="L137" s="26"/>
    </row>
    <row r="138" spans="1:12" s="2276" customFormat="1">
      <c r="A138" s="2345"/>
      <c r="D138" s="2346"/>
      <c r="K138" s="26"/>
      <c r="L138" s="26"/>
    </row>
    <row r="139" spans="1:12" s="2276" customFormat="1">
      <c r="A139" s="2345"/>
      <c r="D139" s="2346"/>
      <c r="K139" s="26"/>
      <c r="L139" s="26"/>
    </row>
    <row r="140" spans="1:12" s="2276" customFormat="1">
      <c r="A140" s="2345"/>
      <c r="D140" s="2346"/>
      <c r="K140" s="26"/>
      <c r="L140" s="26"/>
    </row>
    <row r="141" spans="1:12" s="2276" customFormat="1">
      <c r="A141" s="2345"/>
      <c r="D141" s="2346"/>
      <c r="K141" s="26"/>
      <c r="L141" s="26"/>
    </row>
    <row r="142" spans="1:12" s="2276" customFormat="1">
      <c r="A142" s="2345"/>
      <c r="D142" s="2346"/>
      <c r="K142" s="26"/>
      <c r="L142" s="26"/>
    </row>
    <row r="143" spans="1:12" s="2276" customFormat="1">
      <c r="A143" s="2345"/>
      <c r="D143" s="2346"/>
      <c r="K143" s="26"/>
      <c r="L143" s="26"/>
    </row>
    <row r="144" spans="1:12" s="2276" customFormat="1">
      <c r="A144" s="2345"/>
      <c r="D144" s="2346"/>
      <c r="K144" s="26"/>
      <c r="L144" s="26"/>
    </row>
    <row r="145" spans="1:12" s="2276" customFormat="1">
      <c r="A145" s="2345"/>
      <c r="D145" s="2346"/>
      <c r="K145" s="26"/>
      <c r="L145" s="26"/>
    </row>
    <row r="146" spans="1:12" s="2276" customFormat="1">
      <c r="A146" s="2345"/>
      <c r="D146" s="2346"/>
      <c r="K146" s="26"/>
      <c r="L146" s="26"/>
    </row>
    <row r="147" spans="1:12" s="2276" customFormat="1">
      <c r="A147" s="2345"/>
      <c r="D147" s="2346"/>
      <c r="K147" s="26"/>
      <c r="L147" s="26"/>
    </row>
    <row r="148" spans="1:12" s="2276" customFormat="1">
      <c r="A148" s="2345"/>
      <c r="D148" s="2346"/>
      <c r="K148" s="26"/>
      <c r="L148" s="26"/>
    </row>
    <row r="149" spans="1:12" s="2276" customFormat="1">
      <c r="A149" s="2345"/>
      <c r="D149" s="2346"/>
      <c r="K149" s="26"/>
      <c r="L149" s="26"/>
    </row>
    <row r="150" spans="1:12" s="2276" customFormat="1">
      <c r="A150" s="2345"/>
      <c r="D150" s="2346"/>
      <c r="K150" s="26"/>
      <c r="L150" s="26"/>
    </row>
    <row r="151" spans="1:12" s="2276" customFormat="1">
      <c r="A151" s="2345"/>
      <c r="D151" s="2346"/>
      <c r="K151" s="26"/>
      <c r="L151" s="26"/>
    </row>
    <row r="152" spans="1:12" s="2276" customFormat="1">
      <c r="A152" s="2345"/>
      <c r="D152" s="2346"/>
      <c r="K152" s="26"/>
      <c r="L152" s="26"/>
    </row>
    <row r="153" spans="1:12" s="2276" customFormat="1">
      <c r="A153" s="2345"/>
      <c r="D153" s="2346"/>
      <c r="K153" s="26"/>
      <c r="L153" s="26"/>
    </row>
    <row r="154" spans="1:12" s="2276" customFormat="1">
      <c r="A154" s="2345"/>
      <c r="D154" s="2346"/>
      <c r="K154" s="26"/>
      <c r="L154" s="26"/>
    </row>
    <row r="155" spans="1:12" s="2276" customFormat="1">
      <c r="A155" s="2345"/>
      <c r="D155" s="2346"/>
      <c r="K155" s="26"/>
      <c r="L155" s="26"/>
    </row>
    <row r="156" spans="1:12" s="2276" customFormat="1">
      <c r="A156" s="2345"/>
      <c r="D156" s="2346"/>
      <c r="K156" s="26"/>
      <c r="L156" s="26"/>
    </row>
    <row r="157" spans="1:12" s="2276" customFormat="1">
      <c r="A157" s="2345"/>
      <c r="D157" s="2346"/>
      <c r="K157" s="26"/>
      <c r="L157" s="26"/>
    </row>
    <row r="158" spans="1:12" s="2276" customFormat="1">
      <c r="A158" s="2345"/>
      <c r="D158" s="2346"/>
      <c r="K158" s="26"/>
      <c r="L158" s="26"/>
    </row>
    <row r="159" spans="1:12" s="2276" customFormat="1">
      <c r="A159" s="2345"/>
      <c r="D159" s="2346"/>
      <c r="K159" s="26"/>
      <c r="L159" s="26"/>
    </row>
    <row r="160" spans="1:12" s="2276" customFormat="1">
      <c r="A160" s="2345"/>
      <c r="D160" s="2346"/>
      <c r="K160" s="26"/>
      <c r="L160" s="26"/>
    </row>
    <row r="161" spans="1:12" s="2276" customFormat="1">
      <c r="A161" s="2345"/>
      <c r="D161" s="2346"/>
      <c r="K161" s="26"/>
      <c r="L161" s="26"/>
    </row>
    <row r="162" spans="1:12" s="2276" customFormat="1">
      <c r="A162" s="2345"/>
      <c r="D162" s="2346"/>
      <c r="K162" s="26"/>
      <c r="L162" s="26"/>
    </row>
    <row r="163" spans="1:12" s="2276" customFormat="1">
      <c r="A163" s="2345"/>
      <c r="D163" s="2346"/>
      <c r="K163" s="26"/>
      <c r="L163" s="26"/>
    </row>
    <row r="164" spans="1:12" s="2276" customFormat="1">
      <c r="A164" s="2345"/>
      <c r="D164" s="2346"/>
      <c r="K164" s="26"/>
      <c r="L164" s="26"/>
    </row>
    <row r="165" spans="1:12" s="2276" customFormat="1">
      <c r="A165" s="2345"/>
      <c r="D165" s="2346"/>
      <c r="K165" s="26"/>
      <c r="L165" s="26"/>
    </row>
    <row r="166" spans="1:12" s="2276" customFormat="1">
      <c r="A166" s="2345"/>
      <c r="D166" s="2346"/>
      <c r="K166" s="26"/>
      <c r="L166" s="26"/>
    </row>
    <row r="167" spans="1:12" s="2276" customFormat="1">
      <c r="A167" s="2345"/>
      <c r="D167" s="2346"/>
      <c r="K167" s="26"/>
      <c r="L167" s="26"/>
    </row>
    <row r="168" spans="1:12" s="2276" customFormat="1">
      <c r="A168" s="2345"/>
      <c r="D168" s="2346"/>
      <c r="K168" s="26"/>
      <c r="L168" s="26"/>
    </row>
    <row r="169" spans="1:12" s="2276" customFormat="1">
      <c r="A169" s="2345"/>
      <c r="D169" s="2346"/>
      <c r="K169" s="26"/>
      <c r="L169" s="26"/>
    </row>
    <row r="170" spans="1:12" s="2276" customFormat="1">
      <c r="A170" s="2345"/>
      <c r="D170" s="2346"/>
      <c r="K170" s="26"/>
      <c r="L170" s="26"/>
    </row>
    <row r="171" spans="1:12" s="2276" customFormat="1">
      <c r="A171" s="2345"/>
      <c r="D171" s="2346"/>
      <c r="K171" s="26"/>
      <c r="L171" s="26"/>
    </row>
    <row r="172" spans="1:12" s="2276" customFormat="1">
      <c r="A172" s="2345"/>
      <c r="D172" s="2346"/>
      <c r="K172" s="26"/>
      <c r="L172" s="26"/>
    </row>
    <row r="173" spans="1:12" s="2276" customFormat="1">
      <c r="A173" s="2345"/>
      <c r="D173" s="2346"/>
      <c r="K173" s="26"/>
      <c r="L173" s="26"/>
    </row>
    <row r="174" spans="1:12" s="2276" customFormat="1">
      <c r="A174" s="2345"/>
      <c r="D174" s="234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RowHeight="14.25"/>
  <cols>
    <col min="1" max="1" width="9.5" style="2371"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70"/>
    <col min="30" max="16384" width="9" style="2371"/>
  </cols>
  <sheetData>
    <row r="1" spans="1:29" s="2364" customFormat="1" ht="19.5" thickBot="1">
      <c r="A1" s="3143" t="s">
        <v>2084</v>
      </c>
      <c r="B1" s="3144"/>
      <c r="C1" s="3144"/>
      <c r="D1" s="3144"/>
      <c r="E1" s="3144"/>
      <c r="F1" s="3144"/>
      <c r="G1" s="3144"/>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2085</v>
      </c>
      <c r="D2" s="2368"/>
      <c r="E2" s="2369"/>
      <c r="F2" s="2288"/>
      <c r="G2" s="2367" t="s">
        <v>2086</v>
      </c>
      <c r="H2" s="2370"/>
      <c r="I2" s="2370"/>
      <c r="J2" s="2370"/>
      <c r="K2" s="2370"/>
      <c r="L2" s="2370"/>
      <c r="M2" s="2370"/>
      <c r="N2" s="2370"/>
      <c r="O2" s="2370"/>
      <c r="P2" s="2370"/>
      <c r="Q2" s="2370"/>
      <c r="R2" s="2370"/>
    </row>
    <row r="3" spans="1:29" ht="54">
      <c r="A3" s="415" t="s">
        <v>2087</v>
      </c>
      <c r="B3" s="1271" t="s">
        <v>2088</v>
      </c>
      <c r="C3" s="2372" t="s">
        <v>2089</v>
      </c>
      <c r="D3" s="2373"/>
      <c r="E3" s="431" t="s">
        <v>2087</v>
      </c>
      <c r="F3" s="2374" t="s">
        <v>2090</v>
      </c>
      <c r="G3" s="3049" t="s">
        <v>3342</v>
      </c>
      <c r="H3" s="2370"/>
      <c r="I3" s="2370"/>
      <c r="J3" s="2370"/>
      <c r="K3" s="2370"/>
      <c r="L3" s="2370"/>
      <c r="M3" s="2370"/>
      <c r="N3" s="2370"/>
      <c r="O3" s="2370"/>
      <c r="P3" s="2370"/>
      <c r="Q3" s="2370"/>
      <c r="R3" s="2370"/>
    </row>
    <row r="4" spans="1:29" ht="67.5">
      <c r="A4" s="431"/>
      <c r="B4" s="1799" t="s">
        <v>2091</v>
      </c>
      <c r="C4" s="2375" t="s">
        <v>2092</v>
      </c>
      <c r="D4" s="2373"/>
      <c r="E4" s="2376"/>
      <c r="F4" s="41" t="s">
        <v>2093</v>
      </c>
      <c r="G4" s="3042" t="s">
        <v>3281</v>
      </c>
      <c r="H4" s="2370"/>
      <c r="I4" s="2370"/>
      <c r="J4" s="2370"/>
      <c r="K4" s="2370"/>
      <c r="L4" s="2370"/>
      <c r="M4" s="2370"/>
      <c r="N4" s="2370"/>
      <c r="O4" s="2370"/>
      <c r="P4" s="2370"/>
      <c r="Q4" s="2370"/>
      <c r="R4" s="2370"/>
    </row>
    <row r="5" spans="1:29" ht="94.5">
      <c r="A5" s="431"/>
      <c r="B5" s="1799" t="s">
        <v>2094</v>
      </c>
      <c r="C5" s="3041" t="s">
        <v>3280</v>
      </c>
      <c r="D5" s="2373"/>
      <c r="E5" s="2376"/>
      <c r="F5" s="1799" t="s">
        <v>2095</v>
      </c>
      <c r="G5" s="3042" t="s">
        <v>3282</v>
      </c>
      <c r="H5" s="2370"/>
      <c r="I5" s="2370"/>
      <c r="J5" s="2370"/>
      <c r="K5" s="2370"/>
      <c r="L5" s="2370"/>
      <c r="M5" s="2370"/>
      <c r="N5" s="2370"/>
      <c r="O5" s="2370"/>
      <c r="P5" s="2370"/>
      <c r="Q5" s="2370"/>
      <c r="R5" s="2370"/>
    </row>
    <row r="6" spans="1:29" ht="67.5">
      <c r="A6" s="431"/>
      <c r="B6" s="1799" t="s">
        <v>2096</v>
      </c>
      <c r="C6" s="3042" t="s">
        <v>3281</v>
      </c>
      <c r="D6" s="2373"/>
      <c r="E6" s="2376"/>
      <c r="F6" s="1799" t="s">
        <v>2097</v>
      </c>
      <c r="G6" s="3042" t="s">
        <v>3343</v>
      </c>
      <c r="H6" s="2370"/>
      <c r="I6" s="2370"/>
      <c r="J6" s="2370"/>
      <c r="K6" s="2370"/>
      <c r="L6" s="2370"/>
      <c r="M6" s="2370"/>
      <c r="N6" s="2370"/>
      <c r="O6" s="2370"/>
      <c r="P6" s="2370"/>
      <c r="Q6" s="2370"/>
      <c r="R6" s="2370"/>
    </row>
    <row r="7" spans="1:29" ht="108.75" thickBot="1">
      <c r="A7" s="431"/>
      <c r="B7" s="1799" t="s">
        <v>2095</v>
      </c>
      <c r="C7" s="3042" t="s">
        <v>3282</v>
      </c>
      <c r="D7" s="2377"/>
      <c r="E7" s="2378"/>
      <c r="F7" s="2379" t="s">
        <v>2098</v>
      </c>
      <c r="G7" s="3050" t="s">
        <v>3344</v>
      </c>
      <c r="H7" s="2370"/>
      <c r="I7" s="2370"/>
      <c r="J7" s="2370"/>
      <c r="K7" s="2370"/>
      <c r="L7" s="2370"/>
      <c r="M7" s="2370"/>
      <c r="N7" s="2370"/>
      <c r="O7" s="2370"/>
      <c r="P7" s="2370"/>
      <c r="Q7" s="2370"/>
      <c r="R7" s="2370"/>
    </row>
    <row r="8" spans="1:29" ht="27">
      <c r="A8" s="431"/>
      <c r="B8" s="1799" t="s">
        <v>2097</v>
      </c>
      <c r="C8" s="3042" t="s">
        <v>3343</v>
      </c>
      <c r="D8" s="2377"/>
      <c r="E8" s="2377"/>
      <c r="F8" s="1136"/>
      <c r="G8" s="1136"/>
      <c r="H8" s="2370"/>
      <c r="I8" s="2370"/>
      <c r="J8" s="2370"/>
      <c r="K8" s="2370"/>
      <c r="L8" s="2370"/>
      <c r="M8" s="2370"/>
      <c r="N8" s="2370"/>
      <c r="O8" s="2370"/>
      <c r="P8" s="2370"/>
      <c r="Q8" s="2370"/>
      <c r="R8" s="2370"/>
    </row>
    <row r="9" spans="1:29" ht="81">
      <c r="A9" s="431"/>
      <c r="B9" s="1799" t="s">
        <v>2099</v>
      </c>
      <c r="C9" s="3041" t="s">
        <v>3283</v>
      </c>
      <c r="D9" s="2373"/>
      <c r="E9" s="2377"/>
      <c r="F9" s="1136"/>
      <c r="G9" s="1136"/>
      <c r="H9" s="2370"/>
      <c r="I9" s="2370"/>
      <c r="J9" s="2370"/>
      <c r="K9" s="2370"/>
      <c r="L9" s="2370"/>
      <c r="M9" s="2370"/>
      <c r="N9" s="2370"/>
      <c r="O9" s="2370"/>
      <c r="P9" s="2370"/>
      <c r="Q9" s="2370"/>
      <c r="R9" s="2370"/>
    </row>
    <row r="10" spans="1:29" s="116" customFormat="1" ht="15.75" thickBot="1">
      <c r="A10" s="2380"/>
      <c r="B10" s="2381" t="s">
        <v>2100</v>
      </c>
      <c r="C10" s="2382"/>
      <c r="D10" s="2373"/>
      <c r="E10" s="2373"/>
      <c r="F10" s="1136"/>
      <c r="G10" s="1136"/>
      <c r="H10" s="2383"/>
      <c r="I10" s="2384"/>
      <c r="J10" s="2385"/>
      <c r="K10" s="2383"/>
      <c r="L10" s="2384"/>
      <c r="M10" s="2385"/>
      <c r="N10" s="2383"/>
      <c r="O10" s="2384"/>
      <c r="P10" s="2385"/>
      <c r="Q10" s="2383"/>
      <c r="R10" s="2384"/>
      <c r="S10" s="2370"/>
      <c r="T10" s="2370"/>
      <c r="U10" s="2370"/>
      <c r="V10" s="2370"/>
      <c r="W10" s="2370"/>
      <c r="X10" s="2370"/>
      <c r="Y10" s="2370"/>
      <c r="Z10" s="2370"/>
      <c r="AA10" s="2370"/>
      <c r="AB10" s="2370"/>
      <c r="AC10" s="2370"/>
    </row>
    <row r="11" spans="1:29" s="116" customFormat="1" ht="15">
      <c r="A11" s="2386"/>
      <c r="B11" s="2377"/>
      <c r="C11" s="2373"/>
      <c r="D11" s="2373"/>
      <c r="E11" s="2373"/>
      <c r="F11" s="2377"/>
      <c r="G11" s="1154"/>
      <c r="H11" s="2383"/>
      <c r="I11" s="2384"/>
      <c r="J11" s="2385"/>
      <c r="K11" s="2383"/>
      <c r="L11" s="2384"/>
      <c r="M11" s="2385"/>
      <c r="N11" s="2383"/>
      <c r="O11" s="2384"/>
      <c r="P11" s="2385"/>
      <c r="Q11" s="2383"/>
      <c r="R11" s="2384"/>
      <c r="S11" s="2370"/>
      <c r="T11" s="2370"/>
      <c r="U11" s="2370"/>
      <c r="V11" s="2370"/>
      <c r="W11" s="2370"/>
      <c r="X11" s="2370"/>
      <c r="Y11" s="2370"/>
      <c r="Z11" s="2370"/>
      <c r="AA11" s="2370"/>
      <c r="AB11" s="2370"/>
      <c r="AC11" s="2370"/>
    </row>
    <row r="12" spans="1:29" s="2364" customFormat="1" ht="18">
      <c r="A12" s="2386"/>
      <c r="B12" s="2377"/>
      <c r="C12" s="2373"/>
      <c r="D12" s="2387"/>
      <c r="E12" s="2373"/>
      <c r="F12" s="2377"/>
      <c r="G12" s="1154"/>
      <c r="H12" s="2388"/>
      <c r="I12" s="2389"/>
      <c r="J12" s="2388"/>
      <c r="K12" s="2388"/>
      <c r="L12" s="2390"/>
      <c r="M12" s="2388"/>
      <c r="N12" s="2391"/>
      <c r="O12" s="2392"/>
      <c r="P12" s="2391"/>
      <c r="Q12" s="2391"/>
      <c r="R12" s="2362"/>
      <c r="S12" s="2363"/>
      <c r="T12" s="2363"/>
      <c r="U12" s="2363"/>
      <c r="V12" s="2363"/>
      <c r="W12" s="2363"/>
      <c r="X12" s="2363"/>
      <c r="Y12" s="2363"/>
      <c r="Z12" s="2363"/>
      <c r="AA12" s="2363"/>
      <c r="AB12" s="2363"/>
      <c r="AC12" s="2363"/>
    </row>
    <row r="13" spans="1:29" ht="19.5" thickBot="1">
      <c r="A13" s="2393" t="s">
        <v>2101</v>
      </c>
      <c r="B13" s="2387"/>
      <c r="C13" s="2387"/>
      <c r="D13" s="2394"/>
      <c r="E13" s="2387"/>
      <c r="F13" s="2387"/>
      <c r="G13" s="2387"/>
    </row>
    <row r="14" spans="1:29" ht="15.75" thickBot="1">
      <c r="A14" s="2398"/>
      <c r="B14" s="2399"/>
      <c r="C14" s="2400" t="s">
        <v>2102</v>
      </c>
      <c r="D14" s="2373"/>
      <c r="E14" s="2401"/>
      <c r="F14" s="2401"/>
      <c r="G14" s="2367" t="s">
        <v>2103</v>
      </c>
    </row>
    <row r="15" spans="1:29" ht="57">
      <c r="A15" s="67" t="s">
        <v>2104</v>
      </c>
      <c r="B15" s="1270" t="s">
        <v>2088</v>
      </c>
      <c r="C15" s="2402" t="str">
        <f>C3</f>
        <v>估价对象周边居住用地比例、居住小区规模和社区发展完善程度，综合评价居住社区成熟度一般</v>
      </c>
      <c r="D15" s="2373"/>
      <c r="E15" s="2403" t="s">
        <v>2105</v>
      </c>
      <c r="F15" s="1270" t="s">
        <v>2106</v>
      </c>
      <c r="G15" s="134" t="str">
        <f>G3</f>
        <v>估价对象位于三里屯，园区建设成熟度一般，产业集聚程度较差</v>
      </c>
    </row>
    <row r="16" spans="1:29" ht="71.25">
      <c r="A16" s="645"/>
      <c r="B16" s="2404" t="s">
        <v>2091</v>
      </c>
      <c r="C16" s="2405" t="str">
        <f>C4</f>
        <v>估价对象位于XX商圈，周边商业氛围成熟，人流量大，商业繁华度好</v>
      </c>
      <c r="D16" s="2373"/>
      <c r="E16" s="2406"/>
      <c r="F16" s="2407" t="s">
        <v>2093</v>
      </c>
      <c r="G16" s="135" t="str">
        <f>G4</f>
        <v>估价对象周边有113路、115路、117路等多条公交线路，有地铁团结湖站，路网较密集，停车便捷程度较好，综合评价交通便捷度较好。</v>
      </c>
    </row>
    <row r="17" spans="1:18" ht="42.75">
      <c r="A17" s="645"/>
      <c r="B17" s="2404" t="s">
        <v>2094</v>
      </c>
      <c r="C17" s="2405" t="str">
        <f>C5</f>
        <v>估价对象位于三里屯，周边办公楼项目较多，入驻率较高，办公集聚程度较好。</v>
      </c>
      <c r="D17" s="2377"/>
      <c r="E17" s="2406"/>
      <c r="F17" s="2407" t="s">
        <v>2107</v>
      </c>
      <c r="G17" s="1573"/>
    </row>
    <row r="18" spans="1:18" ht="71.25">
      <c r="A18" s="645"/>
      <c r="B18" s="2407" t="s">
        <v>2096</v>
      </c>
      <c r="C18" s="135" t="str">
        <f>C6</f>
        <v>估价对象周边有113路、115路、117路等多条公交线路，有地铁团结湖站，路网较密集，停车便捷程度较好，综合评价交通便捷度较好。</v>
      </c>
      <c r="D18" s="2377"/>
      <c r="E18" s="2406"/>
      <c r="F18" s="2407" t="s">
        <v>2098</v>
      </c>
      <c r="G18" s="135" t="str">
        <f>G7</f>
        <v>该园区内是否有污染型企业，绿化情况较好，卫生条件较好，整体环境状况较好。</v>
      </c>
    </row>
    <row r="19" spans="1:18" ht="99.75">
      <c r="A19" s="645"/>
      <c r="B19" s="2407" t="s">
        <v>2108</v>
      </c>
      <c r="C19" s="1573"/>
      <c r="D19" s="2373"/>
      <c r="E19" s="2406"/>
      <c r="F19" s="1799" t="s">
        <v>2095</v>
      </c>
      <c r="G19" s="135" t="str">
        <f>G5</f>
        <v>估价对象所在区域有银行（中国银行长虹桥支行）、医院（武警北京总队医院）、超市（京客隆三里屯店）、学校（北京市朝阳区白家庄小学）、餐饮（石塘嘴）等公共配套设施，公共配套设施齐备情况较好。</v>
      </c>
    </row>
    <row r="20" spans="1:18" ht="85.5">
      <c r="A20" s="645"/>
      <c r="B20" s="2407" t="s">
        <v>2109</v>
      </c>
      <c r="C20" s="2405" t="str">
        <f>C9</f>
        <v>估价对象所在区域有团结湖公园，自然情况较好；有农业展览馆、北京联合大学机电学院等人文设施，人文情况较好；综合评价自然及人文环境较好。</v>
      </c>
      <c r="D20" s="2377"/>
      <c r="E20" s="2406"/>
      <c r="F20" s="1799" t="s">
        <v>2110</v>
      </c>
      <c r="G20" s="135" t="str">
        <f>G6</f>
        <v>估价对象所在区域基础设施水平达“七通”。</v>
      </c>
    </row>
    <row r="21" spans="1:18" ht="114">
      <c r="A21" s="645"/>
      <c r="B21" s="1799" t="s">
        <v>2095</v>
      </c>
      <c r="C21" s="135" t="str">
        <f>C7</f>
        <v>估价对象所在区域有银行（中国银行长虹桥支行）、医院（武警北京总队医院）、超市（京客隆三里屯店）、学校（北京市朝阳区白家庄小学）、餐饮（石塘嘴）等公共配套设施，公共配套设施齐备情况较好。</v>
      </c>
      <c r="D21" s="2373"/>
      <c r="E21" s="2406"/>
      <c r="F21" s="2407" t="s">
        <v>2111</v>
      </c>
      <c r="G21" s="2408"/>
    </row>
    <row r="22" spans="1:18" ht="13.5" customHeight="1">
      <c r="A22" s="645"/>
      <c r="B22" s="1799" t="s">
        <v>2097</v>
      </c>
      <c r="C22" s="135" t="str">
        <f>C8</f>
        <v>估价对象所在区域基础设施水平达“七通”。</v>
      </c>
      <c r="D22" s="2373"/>
      <c r="E22" s="2406"/>
      <c r="F22" s="2407" t="s">
        <v>2100</v>
      </c>
      <c r="G22" s="1573"/>
    </row>
    <row r="23" spans="1:18" s="2370" customFormat="1" ht="15.75" thickBot="1">
      <c r="A23" s="645"/>
      <c r="B23" s="2407" t="s">
        <v>2111</v>
      </c>
      <c r="C23" s="2408"/>
      <c r="D23" s="2395"/>
      <c r="E23" s="2409"/>
      <c r="F23" s="2410" t="s">
        <v>2112</v>
      </c>
      <c r="G23" s="2411"/>
      <c r="H23" s="2395"/>
      <c r="I23" s="2396"/>
      <c r="J23" s="2395"/>
      <c r="K23" s="2395"/>
      <c r="L23" s="2396"/>
      <c r="M23" s="2395"/>
      <c r="N23" s="2395"/>
      <c r="O23" s="2396"/>
      <c r="P23" s="2395"/>
      <c r="Q23" s="2395"/>
      <c r="R23" s="2397"/>
    </row>
    <row r="24" spans="1:18" s="2370" customFormat="1" ht="15.75" thickBot="1">
      <c r="A24" s="2412"/>
      <c r="B24" s="2410" t="s">
        <v>2113</v>
      </c>
      <c r="C24" s="136">
        <f>C10</f>
        <v>0</v>
      </c>
      <c r="D24" s="2395"/>
      <c r="E24" s="2413"/>
      <c r="F24" s="2413"/>
      <c r="G24" s="2414"/>
      <c r="H24" s="2395"/>
      <c r="I24" s="2396"/>
      <c r="J24" s="2395"/>
      <c r="K24" s="2395"/>
      <c r="L24" s="2396"/>
      <c r="M24" s="2395"/>
      <c r="N24" s="2395"/>
      <c r="O24" s="2396"/>
      <c r="P24" s="2395"/>
      <c r="Q24" s="2395"/>
      <c r="R24" s="2397"/>
    </row>
    <row r="25" spans="1:18" s="2370" customFormat="1">
      <c r="B25" s="2395"/>
      <c r="C25" s="2395"/>
      <c r="D25" s="2395"/>
      <c r="H25" s="2395"/>
      <c r="I25" s="2396"/>
      <c r="J25" s="2395"/>
      <c r="K25" s="2395"/>
      <c r="L25" s="2396"/>
      <c r="M25" s="2395"/>
      <c r="N25" s="2395"/>
      <c r="O25" s="2396"/>
      <c r="P25" s="2395"/>
      <c r="Q25" s="2395"/>
      <c r="R25" s="2397"/>
    </row>
    <row r="26" spans="1:18" s="2370" customFormat="1">
      <c r="B26" s="2395"/>
      <c r="C26" s="2395"/>
      <c r="D26" s="2395"/>
      <c r="H26" s="2395"/>
      <c r="I26" s="2396"/>
      <c r="J26" s="2395"/>
      <c r="K26" s="2395"/>
      <c r="L26" s="2396"/>
      <c r="M26" s="2395"/>
      <c r="N26" s="2395"/>
      <c r="O26" s="2396"/>
      <c r="P26" s="2395"/>
      <c r="Q26" s="2395"/>
      <c r="R26" s="2397"/>
    </row>
    <row r="27" spans="1:18" s="2370" customFormat="1">
      <c r="B27" s="2395"/>
      <c r="C27" s="2395"/>
      <c r="D27" s="2395"/>
      <c r="H27" s="2395"/>
      <c r="I27" s="2396"/>
      <c r="J27" s="2395"/>
      <c r="K27" s="2395"/>
      <c r="L27" s="2396"/>
      <c r="M27" s="2395"/>
      <c r="N27" s="2395"/>
      <c r="O27" s="2396"/>
      <c r="P27" s="2395"/>
      <c r="Q27" s="2395"/>
      <c r="R27" s="2397"/>
    </row>
    <row r="28" spans="1:18" s="2370" customFormat="1">
      <c r="B28" s="2395"/>
      <c r="C28" s="2395"/>
      <c r="D28" s="2395"/>
      <c r="H28" s="2395"/>
      <c r="I28" s="2396"/>
      <c r="J28" s="2395"/>
      <c r="K28" s="2395"/>
      <c r="L28" s="2396"/>
      <c r="M28" s="2395"/>
      <c r="N28" s="2395"/>
      <c r="O28" s="2396"/>
      <c r="P28" s="2395"/>
      <c r="Q28" s="2395"/>
      <c r="R28" s="2397"/>
    </row>
    <row r="29" spans="1:18" s="2370" customFormat="1">
      <c r="B29" s="2395"/>
      <c r="C29" s="2395"/>
      <c r="D29" s="2395"/>
      <c r="H29" s="2395"/>
      <c r="I29" s="2396"/>
      <c r="J29" s="2395"/>
      <c r="K29" s="2395"/>
      <c r="L29" s="2396"/>
      <c r="M29" s="2395"/>
      <c r="N29" s="2395"/>
      <c r="O29" s="2396"/>
      <c r="P29" s="2395"/>
      <c r="Q29" s="2395"/>
      <c r="R29" s="2397"/>
    </row>
    <row r="30" spans="1:18" s="2370" customFormat="1">
      <c r="B30" s="2395"/>
      <c r="C30" s="2395"/>
      <c r="D30" s="2395"/>
      <c r="H30" s="2395"/>
      <c r="I30" s="2396"/>
      <c r="J30" s="2395"/>
      <c r="K30" s="2395"/>
      <c r="L30" s="2396"/>
      <c r="M30" s="2395"/>
      <c r="N30" s="2395"/>
      <c r="O30" s="2396"/>
      <c r="P30" s="2395"/>
      <c r="Q30" s="2395"/>
      <c r="R30" s="2397"/>
    </row>
    <row r="31" spans="1:18" s="2370" customFormat="1">
      <c r="B31" s="2395"/>
      <c r="C31" s="2395"/>
      <c r="D31" s="2395"/>
      <c r="H31" s="2395"/>
      <c r="I31" s="2396"/>
      <c r="J31" s="2395"/>
      <c r="K31" s="2395"/>
      <c r="L31" s="2396"/>
      <c r="M31" s="2395"/>
      <c r="N31" s="2395"/>
      <c r="O31" s="2396"/>
      <c r="P31" s="2395"/>
      <c r="Q31" s="2395"/>
      <c r="R31" s="2397"/>
    </row>
    <row r="32" spans="1:18" s="2370" customFormat="1">
      <c r="B32" s="2395"/>
      <c r="C32" s="2395"/>
      <c r="D32" s="2395"/>
      <c r="H32" s="2395"/>
      <c r="I32" s="2396"/>
      <c r="J32" s="2395"/>
      <c r="K32" s="2395"/>
      <c r="L32" s="2396"/>
      <c r="M32" s="2395"/>
      <c r="N32" s="2395"/>
      <c r="O32" s="2396"/>
      <c r="P32" s="2395"/>
      <c r="Q32" s="2395"/>
      <c r="R32" s="2397"/>
    </row>
    <row r="33" spans="2:18" s="2370" customFormat="1">
      <c r="B33" s="2395"/>
      <c r="C33" s="2395"/>
      <c r="D33" s="2395"/>
      <c r="H33" s="2395"/>
      <c r="I33" s="2396"/>
      <c r="J33" s="2395"/>
      <c r="K33" s="2395"/>
      <c r="L33" s="2396"/>
      <c r="M33" s="2395"/>
      <c r="N33" s="2395"/>
      <c r="O33" s="2396"/>
      <c r="P33" s="2395"/>
      <c r="Q33" s="2395"/>
      <c r="R33" s="2397"/>
    </row>
    <row r="34" spans="2:18" s="2370" customFormat="1">
      <c r="B34" s="2395"/>
      <c r="C34" s="2395"/>
      <c r="D34" s="2395"/>
      <c r="H34" s="2395"/>
      <c r="I34" s="2396"/>
      <c r="J34" s="2395"/>
      <c r="K34" s="2395"/>
      <c r="L34" s="2396"/>
      <c r="M34" s="2395"/>
      <c r="N34" s="2395"/>
      <c r="O34" s="2396"/>
      <c r="P34" s="2395"/>
      <c r="Q34" s="2395"/>
      <c r="R34" s="2397"/>
    </row>
    <row r="35" spans="2:18" s="2370" customFormat="1">
      <c r="B35" s="2395"/>
      <c r="C35" s="2395"/>
      <c r="D35" s="2395"/>
      <c r="H35" s="2395"/>
      <c r="I35" s="2396"/>
      <c r="J35" s="2395"/>
      <c r="K35" s="2395"/>
      <c r="L35" s="2396"/>
      <c r="M35" s="2395"/>
      <c r="N35" s="2395"/>
      <c r="O35" s="2396"/>
      <c r="P35" s="2395"/>
      <c r="Q35" s="2395"/>
      <c r="R35" s="2397"/>
    </row>
    <row r="36" spans="2:18" s="2370" customFormat="1">
      <c r="B36" s="2395"/>
      <c r="C36" s="2395"/>
      <c r="D36" s="2395"/>
      <c r="H36" s="2395"/>
      <c r="I36" s="2396"/>
      <c r="J36" s="2395"/>
      <c r="K36" s="2395"/>
      <c r="L36" s="2396"/>
      <c r="M36" s="2395"/>
      <c r="N36" s="2395"/>
      <c r="O36" s="2396"/>
      <c r="P36" s="2395"/>
      <c r="Q36" s="2395"/>
      <c r="R36" s="2397"/>
    </row>
    <row r="37" spans="2:18" s="2370" customFormat="1">
      <c r="B37" s="2395"/>
      <c r="C37" s="2395"/>
      <c r="D37" s="2395"/>
      <c r="H37" s="2395"/>
      <c r="I37" s="2396"/>
      <c r="J37" s="2395"/>
      <c r="K37" s="2395"/>
      <c r="L37" s="2396"/>
      <c r="M37" s="2395"/>
      <c r="N37" s="2395"/>
      <c r="O37" s="2396"/>
      <c r="P37" s="2395"/>
      <c r="Q37" s="2395"/>
      <c r="R37" s="2397"/>
    </row>
    <row r="38" spans="2:18" s="2370" customFormat="1">
      <c r="B38" s="2395"/>
      <c r="C38" s="2395"/>
      <c r="D38" s="2395"/>
      <c r="E38" s="2395"/>
      <c r="F38" s="2395"/>
      <c r="G38" s="2396"/>
      <c r="H38" s="2395"/>
      <c r="I38" s="2396"/>
      <c r="J38" s="2395"/>
      <c r="K38" s="2395"/>
      <c r="L38" s="2396"/>
      <c r="M38" s="2395"/>
      <c r="N38" s="2395"/>
      <c r="O38" s="2396"/>
      <c r="P38" s="2395"/>
      <c r="Q38" s="2395"/>
      <c r="R38" s="2397"/>
    </row>
    <row r="39" spans="2:18" s="2370" customFormat="1">
      <c r="B39" s="2395"/>
      <c r="C39" s="2395"/>
      <c r="D39" s="2395"/>
      <c r="E39" s="2395"/>
      <c r="F39" s="2395"/>
      <c r="G39" s="2396"/>
      <c r="H39" s="2395"/>
      <c r="I39" s="2396"/>
      <c r="J39" s="2395"/>
      <c r="K39" s="2395"/>
      <c r="L39" s="2396"/>
      <c r="M39" s="2395"/>
      <c r="N39" s="2395"/>
      <c r="O39" s="2396"/>
      <c r="P39" s="2395"/>
      <c r="Q39" s="2395"/>
      <c r="R39" s="2397"/>
    </row>
    <row r="40" spans="2:18" s="2370" customFormat="1">
      <c r="B40" s="2395"/>
      <c r="C40" s="2395"/>
      <c r="D40" s="2395"/>
      <c r="E40" s="2395"/>
      <c r="F40" s="2395"/>
      <c r="G40" s="2396"/>
      <c r="H40" s="2395"/>
      <c r="I40" s="2396"/>
      <c r="J40" s="2395"/>
      <c r="K40" s="2395"/>
      <c r="L40" s="2396"/>
      <c r="M40" s="2395"/>
      <c r="N40" s="2395"/>
      <c r="O40" s="2396"/>
      <c r="P40" s="2395"/>
      <c r="Q40" s="2395"/>
      <c r="R40" s="2397"/>
    </row>
    <row r="41" spans="2:18" s="2370" customFormat="1">
      <c r="B41" s="2395"/>
      <c r="C41" s="2395"/>
      <c r="D41" s="2395"/>
      <c r="E41" s="2395"/>
      <c r="F41" s="2395"/>
      <c r="G41" s="2396"/>
      <c r="H41" s="2395"/>
      <c r="I41" s="2396"/>
      <c r="J41" s="2395"/>
      <c r="K41" s="2395"/>
      <c r="L41" s="2396"/>
      <c r="M41" s="2395"/>
      <c r="N41" s="2395"/>
      <c r="O41" s="2396"/>
      <c r="P41" s="2395"/>
      <c r="Q41" s="2395"/>
      <c r="R41" s="2397"/>
    </row>
    <row r="42" spans="2:18" s="2370" customFormat="1">
      <c r="B42" s="2395"/>
      <c r="C42" s="2395"/>
      <c r="D42" s="2395"/>
      <c r="E42" s="2395"/>
      <c r="F42" s="2395"/>
      <c r="G42" s="2396"/>
      <c r="H42" s="2395"/>
      <c r="I42" s="2396"/>
      <c r="J42" s="2395"/>
      <c r="K42" s="2395"/>
      <c r="L42" s="2396"/>
      <c r="M42" s="2395"/>
      <c r="N42" s="2395"/>
      <c r="O42" s="2396"/>
      <c r="P42" s="2395"/>
      <c r="Q42" s="2395"/>
      <c r="R42" s="2397"/>
    </row>
    <row r="43" spans="2:18" s="2370" customFormat="1">
      <c r="B43" s="2395"/>
      <c r="C43" s="2395"/>
      <c r="D43" s="2395"/>
      <c r="E43" s="2395"/>
      <c r="F43" s="2395"/>
      <c r="G43" s="2396"/>
      <c r="H43" s="2395"/>
      <c r="I43" s="2396"/>
      <c r="J43" s="2395"/>
      <c r="K43" s="2395"/>
      <c r="L43" s="2396"/>
      <c r="M43" s="2395"/>
      <c r="N43" s="2395"/>
      <c r="O43" s="2396"/>
      <c r="P43" s="2395"/>
      <c r="Q43" s="2395"/>
      <c r="R43" s="2397"/>
    </row>
    <row r="44" spans="2:18" s="2370" customFormat="1">
      <c r="B44" s="2395"/>
      <c r="C44" s="2395"/>
      <c r="D44" s="2395"/>
      <c r="E44" s="2395"/>
      <c r="F44" s="2395"/>
      <c r="G44" s="2396"/>
      <c r="H44" s="2395"/>
      <c r="I44" s="2396"/>
      <c r="J44" s="2395"/>
      <c r="K44" s="2395"/>
      <c r="L44" s="2396"/>
      <c r="M44" s="2395"/>
      <c r="N44" s="2395"/>
      <c r="O44" s="2396"/>
      <c r="P44" s="2395"/>
      <c r="Q44" s="2395"/>
      <c r="R44" s="2397"/>
    </row>
    <row r="45" spans="2:18" s="2370" customFormat="1">
      <c r="B45" s="2395"/>
      <c r="C45" s="2395"/>
      <c r="D45" s="2395"/>
      <c r="E45" s="2395"/>
      <c r="F45" s="2395"/>
      <c r="G45" s="2396"/>
      <c r="H45" s="2395"/>
      <c r="I45" s="2396"/>
      <c r="J45" s="2395"/>
      <c r="K45" s="2395"/>
      <c r="L45" s="2396"/>
      <c r="M45" s="2395"/>
      <c r="N45" s="2395"/>
      <c r="O45" s="2396"/>
      <c r="P45" s="2395"/>
      <c r="Q45" s="2395"/>
      <c r="R45" s="2397"/>
    </row>
    <row r="46" spans="2:18" s="2370" customFormat="1">
      <c r="B46" s="2395"/>
      <c r="C46" s="2395"/>
      <c r="D46" s="2395"/>
      <c r="E46" s="2395"/>
      <c r="F46" s="2395"/>
      <c r="G46" s="2396"/>
      <c r="H46" s="2395"/>
      <c r="I46" s="2396"/>
      <c r="J46" s="2395"/>
      <c r="K46" s="2395"/>
      <c r="L46" s="2396"/>
      <c r="M46" s="2395"/>
      <c r="N46" s="2395"/>
      <c r="O46" s="2396"/>
      <c r="P46" s="2395"/>
      <c r="Q46" s="2395"/>
      <c r="R46" s="2397"/>
    </row>
    <row r="47" spans="2:18" s="2370" customFormat="1">
      <c r="B47" s="2395"/>
      <c r="C47" s="2395"/>
      <c r="D47" s="2395"/>
      <c r="E47" s="2395"/>
      <c r="F47" s="2395"/>
      <c r="G47" s="2396"/>
      <c r="H47" s="2395"/>
      <c r="I47" s="2396"/>
      <c r="J47" s="2395"/>
      <c r="K47" s="2395"/>
      <c r="L47" s="2396"/>
      <c r="M47" s="2395"/>
      <c r="N47" s="2395"/>
      <c r="O47" s="2396"/>
      <c r="P47" s="2395"/>
      <c r="Q47" s="2395"/>
      <c r="R47" s="2397"/>
    </row>
    <row r="48" spans="2:18" s="2370" customFormat="1">
      <c r="B48" s="2395"/>
      <c r="C48" s="2395"/>
      <c r="D48" s="2395"/>
      <c r="E48" s="2395"/>
      <c r="F48" s="2395"/>
      <c r="G48" s="2396"/>
      <c r="H48" s="2395"/>
      <c r="I48" s="2396"/>
      <c r="J48" s="2395"/>
      <c r="K48" s="2395"/>
      <c r="L48" s="2396"/>
      <c r="M48" s="2395"/>
      <c r="N48" s="2395"/>
      <c r="O48" s="2396"/>
      <c r="P48" s="2395"/>
      <c r="Q48" s="2395"/>
      <c r="R48" s="2397"/>
    </row>
    <row r="49" spans="2:18" s="2370" customFormat="1">
      <c r="B49" s="2395"/>
      <c r="C49" s="2395"/>
      <c r="D49" s="2395"/>
      <c r="E49" s="2395"/>
      <c r="F49" s="2395"/>
      <c r="G49" s="2396"/>
      <c r="H49" s="2395"/>
      <c r="I49" s="2396"/>
      <c r="J49" s="2395"/>
      <c r="K49" s="2395"/>
      <c r="L49" s="2396"/>
      <c r="M49" s="2395"/>
      <c r="N49" s="2395"/>
      <c r="O49" s="2396"/>
      <c r="P49" s="2395"/>
      <c r="Q49" s="2395"/>
      <c r="R49" s="2397"/>
    </row>
    <row r="50" spans="2:18" s="2370" customFormat="1">
      <c r="B50" s="2395"/>
      <c r="C50" s="2395"/>
      <c r="D50" s="2395"/>
      <c r="E50" s="2395"/>
      <c r="F50" s="2395"/>
      <c r="G50" s="2396"/>
      <c r="H50" s="2395"/>
      <c r="I50" s="2396"/>
      <c r="J50" s="2395"/>
      <c r="K50" s="2395"/>
      <c r="L50" s="2396"/>
      <c r="M50" s="2395"/>
      <c r="N50" s="2395"/>
      <c r="O50" s="2396"/>
      <c r="P50" s="2395"/>
      <c r="Q50" s="2395"/>
      <c r="R50" s="2397"/>
    </row>
    <row r="51" spans="2:18" s="2370" customFormat="1">
      <c r="B51" s="2395"/>
      <c r="C51" s="2395"/>
      <c r="D51" s="2395"/>
      <c r="E51" s="2395"/>
      <c r="F51" s="2395"/>
      <c r="G51" s="2396"/>
      <c r="H51" s="2395"/>
      <c r="I51" s="2396"/>
      <c r="J51" s="2395"/>
      <c r="K51" s="2395"/>
      <c r="L51" s="2396"/>
      <c r="M51" s="2395"/>
      <c r="N51" s="2395"/>
      <c r="O51" s="2396"/>
      <c r="P51" s="2395"/>
      <c r="Q51" s="2395"/>
      <c r="R51" s="2397"/>
    </row>
    <row r="52" spans="2:18" s="2370" customFormat="1">
      <c r="B52" s="2395"/>
      <c r="C52" s="2395"/>
      <c r="D52" s="2395"/>
      <c r="E52" s="2395"/>
      <c r="F52" s="2395"/>
      <c r="G52" s="2396"/>
      <c r="H52" s="2395"/>
      <c r="I52" s="2396"/>
      <c r="J52" s="2395"/>
      <c r="K52" s="2395"/>
      <c r="L52" s="2396"/>
      <c r="M52" s="2395"/>
      <c r="N52" s="2395"/>
      <c r="O52" s="2396"/>
      <c r="P52" s="2395"/>
      <c r="Q52" s="2395"/>
      <c r="R52" s="2397"/>
    </row>
    <row r="53" spans="2:18" s="2370" customFormat="1">
      <c r="B53" s="2395"/>
      <c r="C53" s="2395"/>
      <c r="D53" s="2395"/>
      <c r="E53" s="2395"/>
      <c r="F53" s="2395"/>
      <c r="G53" s="2396"/>
      <c r="H53" s="2395"/>
      <c r="I53" s="2396"/>
      <c r="J53" s="2395"/>
      <c r="K53" s="2395"/>
      <c r="L53" s="2396"/>
      <c r="M53" s="2395"/>
      <c r="N53" s="2395"/>
      <c r="O53" s="2396"/>
      <c r="P53" s="2395"/>
      <c r="Q53" s="2395"/>
      <c r="R53" s="2397"/>
    </row>
    <row r="54" spans="2:18" s="2370" customFormat="1">
      <c r="B54" s="2395"/>
      <c r="C54" s="2395"/>
      <c r="D54" s="2395"/>
      <c r="E54" s="2395"/>
      <c r="F54" s="2395"/>
      <c r="G54" s="2396"/>
      <c r="H54" s="2395"/>
      <c r="I54" s="2396"/>
      <c r="J54" s="2395"/>
      <c r="K54" s="2395"/>
      <c r="L54" s="2396"/>
      <c r="M54" s="2395"/>
      <c r="N54" s="2395"/>
      <c r="O54" s="2396"/>
      <c r="P54" s="2395"/>
      <c r="Q54" s="2395"/>
      <c r="R54" s="2397"/>
    </row>
    <row r="55" spans="2:18" s="2370" customFormat="1">
      <c r="B55" s="2395"/>
      <c r="C55" s="2395"/>
      <c r="D55" s="2395"/>
      <c r="E55" s="2395"/>
      <c r="F55" s="2395"/>
      <c r="G55" s="2396"/>
      <c r="H55" s="2395"/>
      <c r="I55" s="2396"/>
      <c r="J55" s="2395"/>
      <c r="K55" s="2395"/>
      <c r="L55" s="2396"/>
      <c r="M55" s="2395"/>
      <c r="N55" s="2395"/>
      <c r="O55" s="2396"/>
      <c r="P55" s="2395"/>
      <c r="Q55" s="2395"/>
      <c r="R55" s="2397"/>
    </row>
    <row r="56" spans="2:18" s="2370" customFormat="1">
      <c r="B56" s="2395"/>
      <c r="C56" s="2395"/>
      <c r="D56" s="2395"/>
      <c r="E56" s="2395"/>
      <c r="F56" s="2395"/>
      <c r="G56" s="2396"/>
      <c r="H56" s="2395"/>
      <c r="I56" s="2396"/>
      <c r="J56" s="2395"/>
      <c r="K56" s="2395"/>
      <c r="L56" s="2396"/>
      <c r="M56" s="2395"/>
      <c r="N56" s="2395"/>
      <c r="O56" s="2396"/>
      <c r="P56" s="2395"/>
      <c r="Q56" s="2395"/>
      <c r="R56" s="2397"/>
    </row>
    <row r="57" spans="2:18" s="2370" customFormat="1">
      <c r="B57" s="2395"/>
      <c r="C57" s="2395"/>
      <c r="D57" s="2395"/>
      <c r="E57" s="2395"/>
      <c r="F57" s="2395"/>
      <c r="G57" s="2396"/>
      <c r="H57" s="2395"/>
      <c r="I57" s="2396"/>
      <c r="J57" s="2395"/>
      <c r="K57" s="2395"/>
      <c r="L57" s="2396"/>
      <c r="M57" s="2395"/>
      <c r="N57" s="2395"/>
      <c r="O57" s="2396"/>
      <c r="P57" s="2395"/>
      <c r="Q57" s="2395"/>
      <c r="R57" s="2397"/>
    </row>
    <row r="58" spans="2:18" s="2370" customFormat="1">
      <c r="B58" s="2395"/>
      <c r="C58" s="2395"/>
      <c r="D58" s="2395"/>
      <c r="E58" s="2395"/>
      <c r="F58" s="2395"/>
      <c r="G58" s="2396"/>
      <c r="H58" s="2395"/>
      <c r="I58" s="2396"/>
      <c r="J58" s="2395"/>
      <c r="K58" s="2395"/>
      <c r="L58" s="2396"/>
      <c r="M58" s="2395"/>
      <c r="N58" s="2395"/>
      <c r="O58" s="2396"/>
      <c r="P58" s="2395"/>
      <c r="Q58" s="2395"/>
      <c r="R58" s="2397"/>
    </row>
    <row r="59" spans="2:18" s="2370" customFormat="1">
      <c r="B59" s="2395"/>
      <c r="C59" s="2395"/>
      <c r="D59" s="2395"/>
      <c r="E59" s="2395"/>
      <c r="F59" s="2395"/>
      <c r="G59" s="2396"/>
      <c r="H59" s="2395"/>
      <c r="I59" s="2396"/>
      <c r="J59" s="2395"/>
      <c r="K59" s="2395"/>
      <c r="L59" s="2396"/>
      <c r="M59" s="2395"/>
      <c r="N59" s="2395"/>
      <c r="O59" s="2396"/>
      <c r="P59" s="2395"/>
      <c r="Q59" s="2395"/>
      <c r="R59" s="2397"/>
    </row>
    <row r="60" spans="2:18" s="2370" customFormat="1">
      <c r="B60" s="2395"/>
      <c r="C60" s="2395"/>
      <c r="D60" s="2395"/>
      <c r="E60" s="2395"/>
      <c r="F60" s="2395"/>
      <c r="G60" s="2396"/>
      <c r="H60" s="2395"/>
      <c r="I60" s="2396"/>
      <c r="J60" s="2395"/>
      <c r="K60" s="2395"/>
      <c r="L60" s="2396"/>
      <c r="M60" s="2395"/>
      <c r="N60" s="2395"/>
      <c r="O60" s="2396"/>
      <c r="P60" s="2395"/>
      <c r="Q60" s="2395"/>
      <c r="R60" s="2397"/>
    </row>
    <row r="61" spans="2:18" s="2370" customFormat="1">
      <c r="B61" s="2395"/>
      <c r="C61" s="2395"/>
      <c r="D61" s="2395"/>
      <c r="E61" s="2395"/>
      <c r="F61" s="2395"/>
      <c r="G61" s="2396"/>
      <c r="H61" s="2395"/>
      <c r="I61" s="2396"/>
      <c r="J61" s="2395"/>
      <c r="K61" s="2395"/>
      <c r="L61" s="2396"/>
      <c r="M61" s="2395"/>
      <c r="N61" s="2395"/>
      <c r="O61" s="2396"/>
      <c r="P61" s="2395"/>
      <c r="Q61" s="2395"/>
      <c r="R61" s="2397"/>
    </row>
    <row r="62" spans="2:18" s="2370" customFormat="1">
      <c r="B62" s="2395"/>
      <c r="C62" s="2395"/>
      <c r="D62" s="2395"/>
      <c r="E62" s="2395"/>
      <c r="F62" s="2395"/>
      <c r="G62" s="2396"/>
      <c r="H62" s="2395"/>
      <c r="I62" s="2396"/>
      <c r="J62" s="2395"/>
      <c r="K62" s="2395"/>
      <c r="L62" s="2396"/>
      <c r="M62" s="2395"/>
      <c r="N62" s="2395"/>
      <c r="O62" s="2396"/>
      <c r="P62" s="2395"/>
      <c r="Q62" s="2395"/>
      <c r="R62" s="2397"/>
    </row>
    <row r="63" spans="2:18" s="2370" customFormat="1">
      <c r="B63" s="2395"/>
      <c r="C63" s="2395"/>
      <c r="D63" s="2395"/>
      <c r="E63" s="2395"/>
      <c r="F63" s="2395"/>
      <c r="G63" s="2396"/>
      <c r="H63" s="2395"/>
      <c r="I63" s="2396"/>
      <c r="J63" s="2395"/>
      <c r="K63" s="2395"/>
      <c r="L63" s="2396"/>
      <c r="M63" s="2395"/>
      <c r="N63" s="2395"/>
      <c r="O63" s="2396"/>
      <c r="P63" s="2395"/>
      <c r="Q63" s="2395"/>
      <c r="R63" s="2397"/>
    </row>
    <row r="64" spans="2:18" s="2370" customFormat="1">
      <c r="B64" s="2395"/>
      <c r="C64" s="2395"/>
      <c r="D64" s="2395"/>
      <c r="E64" s="2395"/>
      <c r="F64" s="2395"/>
      <c r="G64" s="2396"/>
      <c r="H64" s="2395"/>
      <c r="I64" s="2396"/>
      <c r="J64" s="2395"/>
      <c r="K64" s="2395"/>
      <c r="L64" s="2396"/>
      <c r="M64" s="2395"/>
      <c r="N64" s="2395"/>
      <c r="O64" s="2396"/>
      <c r="P64" s="2395"/>
      <c r="Q64" s="2395"/>
      <c r="R64" s="2397"/>
    </row>
    <row r="65" spans="2:18" s="2370" customFormat="1">
      <c r="B65" s="2395"/>
      <c r="C65" s="2395"/>
      <c r="D65" s="2395"/>
      <c r="E65" s="2395"/>
      <c r="F65" s="2395"/>
      <c r="G65" s="2396"/>
      <c r="H65" s="2395"/>
      <c r="I65" s="2396"/>
      <c r="J65" s="2395"/>
      <c r="K65" s="2395"/>
      <c r="L65" s="2396"/>
      <c r="M65" s="2395"/>
      <c r="N65" s="2395"/>
      <c r="O65" s="2396"/>
      <c r="P65" s="2395"/>
      <c r="Q65" s="2395"/>
      <c r="R65" s="2397"/>
    </row>
    <row r="66" spans="2:18" s="2370" customFormat="1">
      <c r="B66" s="2395"/>
      <c r="C66" s="2395"/>
      <c r="D66" s="2395"/>
      <c r="E66" s="2395"/>
      <c r="F66" s="2395"/>
      <c r="G66" s="2396"/>
      <c r="H66" s="2395"/>
      <c r="I66" s="2396"/>
      <c r="J66" s="2395"/>
      <c r="K66" s="2395"/>
      <c r="L66" s="2396"/>
      <c r="M66" s="2395"/>
      <c r="N66" s="2395"/>
      <c r="O66" s="2396"/>
      <c r="P66" s="2395"/>
      <c r="Q66" s="2395"/>
      <c r="R66" s="2397"/>
    </row>
    <row r="67" spans="2:18" s="2370" customFormat="1">
      <c r="B67" s="2395"/>
      <c r="C67" s="2395"/>
      <c r="D67" s="2395"/>
      <c r="E67" s="2395"/>
      <c r="F67" s="2395"/>
      <c r="G67" s="2396"/>
      <c r="H67" s="2395"/>
      <c r="I67" s="2396"/>
      <c r="J67" s="2395"/>
      <c r="K67" s="2395"/>
      <c r="L67" s="2396"/>
      <c r="M67" s="2395"/>
      <c r="N67" s="2395"/>
      <c r="O67" s="2396"/>
      <c r="P67" s="2395"/>
      <c r="Q67" s="2395"/>
      <c r="R67" s="2397"/>
    </row>
    <row r="68" spans="2:18" s="2370" customFormat="1">
      <c r="B68" s="2395"/>
      <c r="C68" s="2395"/>
      <c r="D68" s="2395"/>
      <c r="E68" s="2395"/>
      <c r="F68" s="2395"/>
      <c r="G68" s="2396"/>
      <c r="H68" s="2395"/>
      <c r="I68" s="2396"/>
      <c r="J68" s="2395"/>
      <c r="K68" s="2395"/>
      <c r="L68" s="2396"/>
      <c r="M68" s="2395"/>
      <c r="N68" s="2395"/>
      <c r="O68" s="2396"/>
      <c r="P68" s="2395"/>
      <c r="Q68" s="2395"/>
      <c r="R68" s="2397"/>
    </row>
    <row r="69" spans="2:18" s="2370" customFormat="1">
      <c r="B69" s="2395"/>
      <c r="C69" s="2395"/>
      <c r="D69" s="2395"/>
      <c r="E69" s="2395"/>
      <c r="F69" s="2395"/>
      <c r="G69" s="2396"/>
      <c r="H69" s="2395"/>
      <c r="I69" s="2396"/>
      <c r="J69" s="2395"/>
      <c r="K69" s="2395"/>
      <c r="L69" s="2396"/>
      <c r="M69" s="2395"/>
      <c r="N69" s="2395"/>
      <c r="O69" s="2396"/>
      <c r="P69" s="2395"/>
      <c r="Q69" s="2395"/>
      <c r="R69" s="2397"/>
    </row>
    <row r="70" spans="2:18" s="2370" customFormat="1">
      <c r="B70" s="2395"/>
      <c r="C70" s="2395"/>
      <c r="D70" s="2395"/>
      <c r="E70" s="2395"/>
      <c r="F70" s="2395"/>
      <c r="G70" s="2396"/>
      <c r="H70" s="2395"/>
      <c r="I70" s="2396"/>
      <c r="J70" s="2395"/>
      <c r="K70" s="2395"/>
      <c r="L70" s="2396"/>
      <c r="M70" s="2395"/>
      <c r="N70" s="2395"/>
      <c r="O70" s="2396"/>
      <c r="P70" s="2395"/>
      <c r="Q70" s="2395"/>
      <c r="R70" s="2397"/>
    </row>
    <row r="71" spans="2:18" s="2370" customFormat="1">
      <c r="B71" s="2395"/>
      <c r="C71" s="2395"/>
      <c r="D71" s="2395"/>
      <c r="E71" s="2395"/>
      <c r="F71" s="2395"/>
      <c r="G71" s="2396"/>
      <c r="H71" s="2395"/>
      <c r="I71" s="2396"/>
      <c r="J71" s="2395"/>
      <c r="K71" s="2395"/>
      <c r="L71" s="2396"/>
      <c r="M71" s="2395"/>
      <c r="N71" s="2395"/>
      <c r="O71" s="2396"/>
      <c r="P71" s="2395"/>
      <c r="Q71" s="2395"/>
      <c r="R71" s="2397"/>
    </row>
    <row r="72" spans="2:18" s="2370" customFormat="1">
      <c r="B72" s="2395"/>
      <c r="C72" s="2395"/>
      <c r="D72" s="2395"/>
      <c r="E72" s="2395"/>
      <c r="F72" s="2395"/>
      <c r="G72" s="2396"/>
      <c r="H72" s="2395"/>
      <c r="I72" s="2396"/>
      <c r="J72" s="2395"/>
      <c r="K72" s="2395"/>
      <c r="L72" s="2396"/>
      <c r="M72" s="2395"/>
      <c r="N72" s="2395"/>
      <c r="O72" s="2396"/>
      <c r="P72" s="2395"/>
      <c r="Q72" s="2395"/>
      <c r="R72" s="2397"/>
    </row>
    <row r="73" spans="2:18" s="2370" customFormat="1">
      <c r="B73" s="2395"/>
      <c r="C73" s="2395"/>
      <c r="D73" s="2395"/>
      <c r="E73" s="2395"/>
      <c r="F73" s="2395"/>
      <c r="G73" s="2396"/>
      <c r="H73" s="2395"/>
      <c r="I73" s="2396"/>
      <c r="J73" s="2395"/>
      <c r="K73" s="2395"/>
      <c r="L73" s="2396"/>
      <c r="M73" s="2395"/>
      <c r="N73" s="2395"/>
      <c r="O73" s="2396"/>
      <c r="P73" s="2395"/>
      <c r="Q73" s="2395"/>
      <c r="R73" s="2397"/>
    </row>
    <row r="74" spans="2:18" s="2370" customFormat="1">
      <c r="B74" s="2395"/>
      <c r="C74" s="2395"/>
      <c r="D74" s="2395"/>
      <c r="E74" s="2395"/>
      <c r="F74" s="2395"/>
      <c r="G74" s="2396"/>
      <c r="H74" s="2395"/>
      <c r="I74" s="2396"/>
      <c r="J74" s="2395"/>
      <c r="K74" s="2395"/>
      <c r="L74" s="2396"/>
      <c r="M74" s="2395"/>
      <c r="N74" s="2395"/>
      <c r="O74" s="2396"/>
      <c r="P74" s="2395"/>
      <c r="Q74" s="2395"/>
      <c r="R74" s="2397"/>
    </row>
    <row r="75" spans="2:18" s="2370" customFormat="1">
      <c r="B75" s="2395"/>
      <c r="C75" s="2395"/>
      <c r="D75" s="2395"/>
      <c r="E75" s="2395"/>
      <c r="F75" s="2395"/>
      <c r="G75" s="2396"/>
      <c r="H75" s="2395"/>
      <c r="I75" s="2396"/>
      <c r="J75" s="2395"/>
      <c r="K75" s="2395"/>
      <c r="L75" s="2396"/>
      <c r="M75" s="2395"/>
      <c r="N75" s="2395"/>
      <c r="O75" s="2396"/>
      <c r="P75" s="2395"/>
      <c r="Q75" s="2395"/>
      <c r="R75" s="2397"/>
    </row>
    <row r="76" spans="2:18" s="2370" customFormat="1">
      <c r="B76" s="2395"/>
      <c r="C76" s="2395"/>
      <c r="D76" s="2395"/>
      <c r="E76" s="2395"/>
      <c r="F76" s="2395"/>
      <c r="G76" s="2396"/>
      <c r="H76" s="2395"/>
      <c r="I76" s="2396"/>
      <c r="J76" s="2395"/>
      <c r="K76" s="2395"/>
      <c r="L76" s="2396"/>
      <c r="M76" s="2395"/>
      <c r="N76" s="2395"/>
      <c r="O76" s="2396"/>
      <c r="P76" s="2395"/>
      <c r="Q76" s="2395"/>
      <c r="R76" s="2397"/>
    </row>
    <row r="77" spans="2:18" s="2370" customFormat="1">
      <c r="B77" s="2395"/>
      <c r="C77" s="2395"/>
      <c r="D77" s="2395"/>
      <c r="E77" s="2395"/>
      <c r="F77" s="2395"/>
      <c r="G77" s="2396"/>
      <c r="H77" s="2395"/>
      <c r="I77" s="2396"/>
      <c r="J77" s="2395"/>
      <c r="K77" s="2395"/>
      <c r="L77" s="2396"/>
      <c r="M77" s="2395"/>
      <c r="N77" s="2395"/>
      <c r="O77" s="2396"/>
      <c r="P77" s="2395"/>
      <c r="Q77" s="2395"/>
      <c r="R77" s="2397"/>
    </row>
    <row r="78" spans="2:18" s="2370" customFormat="1">
      <c r="B78" s="2395"/>
      <c r="C78" s="2395"/>
      <c r="D78" s="2395"/>
      <c r="E78" s="2395"/>
      <c r="F78" s="2395"/>
      <c r="G78" s="2396"/>
      <c r="H78" s="2395"/>
      <c r="I78" s="2396"/>
      <c r="J78" s="2395"/>
      <c r="K78" s="2395"/>
      <c r="L78" s="2396"/>
      <c r="M78" s="2395"/>
      <c r="N78" s="2395"/>
      <c r="O78" s="2396"/>
      <c r="P78" s="2395"/>
      <c r="Q78" s="2395"/>
      <c r="R78" s="2397"/>
    </row>
    <row r="79" spans="2:18" s="2370" customFormat="1">
      <c r="B79" s="2395"/>
      <c r="C79" s="2395"/>
      <c r="D79" s="2395"/>
      <c r="E79" s="2395"/>
      <c r="F79" s="2395"/>
      <c r="G79" s="2396"/>
      <c r="H79" s="2395"/>
      <c r="I79" s="2396"/>
      <c r="J79" s="2395"/>
      <c r="K79" s="2395"/>
      <c r="L79" s="2396"/>
      <c r="M79" s="2395"/>
      <c r="N79" s="2395"/>
      <c r="O79" s="2396"/>
      <c r="P79" s="2395"/>
      <c r="Q79" s="2395"/>
      <c r="R79" s="2397"/>
    </row>
    <row r="80" spans="2:18" s="2370" customFormat="1">
      <c r="B80" s="2395"/>
      <c r="C80" s="2395"/>
      <c r="D80" s="2395"/>
      <c r="E80" s="2395"/>
      <c r="F80" s="2395"/>
      <c r="G80" s="2396"/>
      <c r="H80" s="2395"/>
      <c r="I80" s="2396"/>
      <c r="J80" s="2395"/>
      <c r="K80" s="2395"/>
      <c r="L80" s="2396"/>
      <c r="M80" s="2395"/>
      <c r="N80" s="2395"/>
      <c r="O80" s="2396"/>
      <c r="P80" s="2395"/>
      <c r="Q80" s="2395"/>
      <c r="R80" s="2397"/>
    </row>
    <row r="81" spans="2:18" s="2370" customFormat="1">
      <c r="B81" s="2395"/>
      <c r="C81" s="2395"/>
      <c r="D81" s="2395"/>
      <c r="E81" s="2395"/>
      <c r="F81" s="2395"/>
      <c r="G81" s="2396"/>
      <c r="H81" s="2395"/>
      <c r="I81" s="2396"/>
      <c r="J81" s="2395"/>
      <c r="K81" s="2395"/>
      <c r="L81" s="2396"/>
      <c r="M81" s="2395"/>
      <c r="N81" s="2395"/>
      <c r="O81" s="2396"/>
      <c r="P81" s="2395"/>
      <c r="Q81" s="2395"/>
      <c r="R81" s="2397"/>
    </row>
    <row r="82" spans="2:18" s="2370" customFormat="1">
      <c r="B82" s="2395"/>
      <c r="C82" s="2395"/>
      <c r="D82" s="2395"/>
      <c r="E82" s="2395"/>
      <c r="F82" s="2395"/>
      <c r="G82" s="2396"/>
      <c r="H82" s="2395"/>
      <c r="I82" s="2396"/>
      <c r="J82" s="2395"/>
      <c r="K82" s="2395"/>
      <c r="L82" s="2396"/>
      <c r="M82" s="2395"/>
      <c r="N82" s="2395"/>
      <c r="O82" s="2396"/>
      <c r="P82" s="2395"/>
      <c r="Q82" s="2395"/>
      <c r="R82" s="2397"/>
    </row>
    <row r="83" spans="2:18" s="2370" customFormat="1">
      <c r="B83" s="2395"/>
      <c r="C83" s="2395"/>
      <c r="D83" s="2395"/>
      <c r="E83" s="2395"/>
      <c r="F83" s="2395"/>
      <c r="G83" s="2396"/>
      <c r="H83" s="2395"/>
      <c r="I83" s="2396"/>
      <c r="J83" s="2395"/>
      <c r="K83" s="2395"/>
      <c r="L83" s="2396"/>
      <c r="M83" s="2395"/>
      <c r="N83" s="2395"/>
      <c r="O83" s="2396"/>
      <c r="P83" s="2395"/>
      <c r="Q83" s="2395"/>
      <c r="R83" s="2397"/>
    </row>
    <row r="84" spans="2:18" s="2370" customFormat="1">
      <c r="B84" s="2395"/>
      <c r="C84" s="2395"/>
      <c r="D84" s="2395"/>
      <c r="E84" s="2395"/>
      <c r="F84" s="2395"/>
      <c r="G84" s="2396"/>
      <c r="H84" s="2395"/>
      <c r="I84" s="2396"/>
      <c r="J84" s="2395"/>
      <c r="K84" s="2395"/>
      <c r="L84" s="2396"/>
      <c r="M84" s="2395"/>
      <c r="N84" s="2395"/>
      <c r="O84" s="2396"/>
      <c r="P84" s="2395"/>
      <c r="Q84" s="2395"/>
      <c r="R84" s="2397"/>
    </row>
    <row r="85" spans="2:18" s="2370" customFormat="1">
      <c r="B85" s="2395"/>
      <c r="C85" s="2395"/>
      <c r="D85" s="2395"/>
      <c r="E85" s="2395"/>
      <c r="F85" s="2395"/>
      <c r="G85" s="2396"/>
      <c r="H85" s="2395"/>
      <c r="I85" s="2396"/>
      <c r="J85" s="2395"/>
      <c r="K85" s="2395"/>
      <c r="L85" s="2396"/>
      <c r="M85" s="2395"/>
      <c r="N85" s="2395"/>
      <c r="O85" s="2396"/>
      <c r="P85" s="2395"/>
      <c r="Q85" s="2395"/>
      <c r="R85" s="2397"/>
    </row>
    <row r="86" spans="2:18" s="2370" customFormat="1">
      <c r="B86" s="2395"/>
      <c r="C86" s="2395"/>
      <c r="D86" s="2395"/>
      <c r="E86" s="2395"/>
      <c r="F86" s="2395"/>
      <c r="G86" s="2396"/>
      <c r="H86" s="2395"/>
      <c r="I86" s="2396"/>
      <c r="J86" s="2395"/>
      <c r="K86" s="2395"/>
      <c r="L86" s="2396"/>
      <c r="M86" s="2395"/>
      <c r="N86" s="2395"/>
      <c r="O86" s="2396"/>
      <c r="P86" s="2395"/>
      <c r="Q86" s="2395"/>
      <c r="R86" s="2397"/>
    </row>
    <row r="87" spans="2:18" s="2370" customFormat="1">
      <c r="B87" s="2395"/>
      <c r="C87" s="2395"/>
      <c r="D87" s="2395"/>
      <c r="E87" s="2395"/>
      <c r="F87" s="2395"/>
      <c r="G87" s="2396"/>
      <c r="H87" s="2395"/>
      <c r="I87" s="2396"/>
      <c r="J87" s="2395"/>
      <c r="K87" s="2395"/>
      <c r="L87" s="2396"/>
      <c r="M87" s="2395"/>
      <c r="N87" s="2395"/>
      <c r="O87" s="2396"/>
      <c r="P87" s="2395"/>
      <c r="Q87" s="2395"/>
      <c r="R87" s="2397"/>
    </row>
    <row r="88" spans="2:18" s="2370" customFormat="1">
      <c r="B88" s="2395"/>
      <c r="C88" s="2395"/>
      <c r="D88" s="2395"/>
      <c r="E88" s="2395"/>
      <c r="F88" s="2395"/>
      <c r="G88" s="2396"/>
      <c r="H88" s="2395"/>
      <c r="I88" s="2396"/>
      <c r="J88" s="2395"/>
      <c r="K88" s="2395"/>
      <c r="L88" s="2396"/>
      <c r="M88" s="2395"/>
      <c r="N88" s="2395"/>
      <c r="O88" s="2396"/>
      <c r="P88" s="2395"/>
      <c r="Q88" s="2395"/>
      <c r="R88" s="2397"/>
    </row>
    <row r="89" spans="2:18" s="2370" customFormat="1">
      <c r="B89" s="2395"/>
      <c r="C89" s="2395"/>
      <c r="D89" s="2395"/>
      <c r="E89" s="2395"/>
      <c r="F89" s="2395"/>
      <c r="G89" s="2396"/>
      <c r="H89" s="2395"/>
      <c r="I89" s="2396"/>
      <c r="J89" s="2395"/>
      <c r="K89" s="2395"/>
      <c r="L89" s="2396"/>
      <c r="M89" s="2395"/>
      <c r="N89" s="2395"/>
      <c r="O89" s="2396"/>
      <c r="P89" s="2395"/>
      <c r="Q89" s="2395"/>
      <c r="R89" s="2397"/>
    </row>
    <row r="90" spans="2:18" s="2370" customFormat="1">
      <c r="B90" s="2395"/>
      <c r="C90" s="2395"/>
      <c r="D90" s="2395"/>
      <c r="E90" s="2395"/>
      <c r="F90" s="2395"/>
      <c r="G90" s="2396"/>
      <c r="H90" s="2395"/>
      <c r="I90" s="2396"/>
      <c r="J90" s="2395"/>
      <c r="K90" s="2395"/>
      <c r="L90" s="2396"/>
      <c r="M90" s="2395"/>
      <c r="N90" s="2395"/>
      <c r="O90" s="2396"/>
      <c r="P90" s="2395"/>
      <c r="Q90" s="2395"/>
      <c r="R90" s="2397"/>
    </row>
    <row r="91" spans="2:18" s="2370" customFormat="1">
      <c r="B91" s="2395"/>
      <c r="C91" s="2395"/>
      <c r="D91" s="2395"/>
      <c r="E91" s="2395"/>
      <c r="F91" s="2395"/>
      <c r="G91" s="2396"/>
      <c r="H91" s="2395"/>
      <c r="I91" s="2396"/>
      <c r="J91" s="2395"/>
      <c r="K91" s="2395"/>
      <c r="L91" s="2396"/>
      <c r="M91" s="2395"/>
      <c r="N91" s="2395"/>
      <c r="O91" s="2396"/>
      <c r="P91" s="2395"/>
      <c r="Q91" s="2395"/>
      <c r="R91" s="2397"/>
    </row>
    <row r="92" spans="2:18" s="2370" customFormat="1">
      <c r="B92" s="2395"/>
      <c r="C92" s="2395"/>
      <c r="D92" s="2395"/>
      <c r="E92" s="2395"/>
      <c r="F92" s="2395"/>
      <c r="G92" s="2396"/>
      <c r="H92" s="2395"/>
      <c r="I92" s="2396"/>
      <c r="J92" s="2395"/>
      <c r="K92" s="2395"/>
      <c r="L92" s="2396"/>
      <c r="M92" s="2395"/>
      <c r="N92" s="2395"/>
      <c r="O92" s="2396"/>
      <c r="P92" s="2395"/>
      <c r="Q92" s="2395"/>
      <c r="R92" s="2397"/>
    </row>
    <row r="93" spans="2:18" s="2370" customFormat="1">
      <c r="B93" s="2395"/>
      <c r="C93" s="2395"/>
      <c r="D93" s="2395"/>
      <c r="E93" s="2395"/>
      <c r="F93" s="2395"/>
      <c r="G93" s="2396"/>
      <c r="H93" s="2395"/>
      <c r="I93" s="2396"/>
      <c r="J93" s="2395"/>
      <c r="K93" s="2395"/>
      <c r="L93" s="2396"/>
      <c r="M93" s="2395"/>
      <c r="N93" s="2395"/>
      <c r="O93" s="2396"/>
      <c r="P93" s="2395"/>
      <c r="Q93" s="2395"/>
      <c r="R93" s="2397"/>
    </row>
    <row r="94" spans="2:18" s="2370" customFormat="1">
      <c r="B94" s="2395"/>
      <c r="C94" s="2395"/>
      <c r="D94" s="2395"/>
      <c r="E94" s="2395"/>
      <c r="F94" s="2395"/>
      <c r="G94" s="2396"/>
      <c r="H94" s="2395"/>
      <c r="I94" s="2396"/>
      <c r="J94" s="2395"/>
      <c r="K94" s="2395"/>
      <c r="L94" s="2396"/>
      <c r="M94" s="2395"/>
      <c r="N94" s="2395"/>
      <c r="O94" s="2396"/>
      <c r="P94" s="2395"/>
      <c r="Q94" s="2395"/>
      <c r="R94" s="2397"/>
    </row>
    <row r="95" spans="2:18" s="2370" customFormat="1">
      <c r="B95" s="2395"/>
      <c r="C95" s="2395"/>
      <c r="D95" s="2395"/>
      <c r="E95" s="2395"/>
      <c r="F95" s="2395"/>
      <c r="G95" s="2396"/>
      <c r="H95" s="2395"/>
      <c r="I95" s="2396"/>
      <c r="J95" s="2395"/>
      <c r="K95" s="2395"/>
      <c r="L95" s="2396"/>
      <c r="M95" s="2395"/>
      <c r="N95" s="2395"/>
      <c r="O95" s="2396"/>
      <c r="P95" s="2395"/>
      <c r="Q95" s="2395"/>
      <c r="R95" s="2397"/>
    </row>
    <row r="96" spans="2:18" s="2370" customFormat="1">
      <c r="B96" s="2395"/>
      <c r="C96" s="2395"/>
      <c r="D96" s="2395"/>
      <c r="E96" s="2395"/>
      <c r="F96" s="2395"/>
      <c r="G96" s="2396"/>
      <c r="H96" s="2395"/>
      <c r="I96" s="2396"/>
      <c r="J96" s="2395"/>
      <c r="K96" s="2395"/>
      <c r="L96" s="2396"/>
      <c r="M96" s="2395"/>
      <c r="N96" s="2395"/>
      <c r="O96" s="2396"/>
      <c r="P96" s="2395"/>
      <c r="Q96" s="2395"/>
      <c r="R96" s="2397"/>
    </row>
    <row r="97" spans="2:18" s="2370" customFormat="1">
      <c r="B97" s="2395"/>
      <c r="C97" s="2395"/>
      <c r="D97" s="2395"/>
      <c r="E97" s="2395"/>
      <c r="F97" s="2395"/>
      <c r="G97" s="2396"/>
      <c r="H97" s="2395"/>
      <c r="I97" s="2396"/>
      <c r="J97" s="2395"/>
      <c r="K97" s="2395"/>
      <c r="L97" s="2396"/>
      <c r="M97" s="2395"/>
      <c r="N97" s="2395"/>
      <c r="O97" s="2396"/>
      <c r="P97" s="2395"/>
      <c r="Q97" s="2395"/>
      <c r="R97" s="2397"/>
    </row>
    <row r="98" spans="2:18" s="2370" customFormat="1">
      <c r="B98" s="2395"/>
      <c r="C98" s="2395"/>
      <c r="D98" s="2395"/>
      <c r="E98" s="2395"/>
      <c r="F98" s="2395"/>
      <c r="G98" s="2396"/>
      <c r="H98" s="2395"/>
      <c r="I98" s="2396"/>
      <c r="J98" s="2395"/>
      <c r="K98" s="2395"/>
      <c r="L98" s="2396"/>
      <c r="M98" s="2395"/>
      <c r="N98" s="2395"/>
      <c r="O98" s="2396"/>
      <c r="P98" s="2395"/>
      <c r="Q98" s="2395"/>
      <c r="R98" s="2397"/>
    </row>
    <row r="99" spans="2:18" s="2370" customFormat="1">
      <c r="B99" s="2395"/>
      <c r="C99" s="2395"/>
      <c r="D99" s="2395"/>
      <c r="E99" s="2395"/>
      <c r="F99" s="2395"/>
      <c r="G99" s="2396"/>
      <c r="H99" s="2395"/>
      <c r="I99" s="2396"/>
      <c r="J99" s="2395"/>
      <c r="K99" s="2395"/>
      <c r="L99" s="2396"/>
      <c r="M99" s="2395"/>
      <c r="N99" s="2395"/>
      <c r="O99" s="2396"/>
      <c r="P99" s="2395"/>
      <c r="Q99" s="2395"/>
      <c r="R99" s="2397"/>
    </row>
    <row r="100" spans="2:18" s="2370" customFormat="1">
      <c r="B100" s="2395"/>
      <c r="C100" s="2395"/>
      <c r="D100" s="2395"/>
      <c r="E100" s="2395"/>
      <c r="F100" s="2395"/>
      <c r="G100" s="2396"/>
      <c r="H100" s="2395"/>
      <c r="I100" s="2396"/>
      <c r="J100" s="2395"/>
      <c r="K100" s="2395"/>
      <c r="L100" s="2396"/>
      <c r="M100" s="2395"/>
      <c r="N100" s="2395"/>
      <c r="O100" s="2396"/>
      <c r="P100" s="2395"/>
      <c r="Q100" s="2395"/>
      <c r="R100" s="2397"/>
    </row>
    <row r="101" spans="2:18" s="2370" customFormat="1">
      <c r="B101" s="2395"/>
      <c r="C101" s="2395"/>
      <c r="D101" s="2395"/>
      <c r="E101" s="2395"/>
      <c r="F101" s="2395"/>
      <c r="G101" s="2396"/>
      <c r="H101" s="2395"/>
      <c r="I101" s="2396"/>
      <c r="J101" s="2395"/>
      <c r="K101" s="2395"/>
      <c r="L101" s="2396"/>
      <c r="M101" s="2395"/>
      <c r="N101" s="2395"/>
      <c r="O101" s="2396"/>
      <c r="P101" s="2395"/>
      <c r="Q101" s="2395"/>
      <c r="R101" s="2397"/>
    </row>
    <row r="102" spans="2:18" s="2370" customFormat="1">
      <c r="B102" s="2395"/>
      <c r="C102" s="2395"/>
      <c r="D102" s="2395"/>
      <c r="E102" s="2395"/>
      <c r="F102" s="2395"/>
      <c r="G102" s="2396"/>
      <c r="H102" s="2395"/>
      <c r="I102" s="2396"/>
      <c r="J102" s="2395"/>
      <c r="K102" s="2395"/>
      <c r="L102" s="2396"/>
      <c r="M102" s="2395"/>
      <c r="N102" s="2395"/>
      <c r="O102" s="2396"/>
      <c r="P102" s="2395"/>
      <c r="Q102" s="2395"/>
      <c r="R102" s="2397"/>
    </row>
    <row r="103" spans="2:18" s="2370" customFormat="1">
      <c r="B103" s="2395"/>
      <c r="C103" s="2395"/>
      <c r="D103" s="2395"/>
      <c r="E103" s="2395"/>
      <c r="F103" s="2395"/>
      <c r="G103" s="2396"/>
      <c r="H103" s="2395"/>
      <c r="I103" s="2396"/>
      <c r="J103" s="2395"/>
      <c r="K103" s="2395"/>
      <c r="L103" s="2396"/>
      <c r="M103" s="2395"/>
      <c r="N103" s="2395"/>
      <c r="O103" s="2396"/>
      <c r="P103" s="2395"/>
      <c r="Q103" s="2395"/>
      <c r="R103" s="2397"/>
    </row>
    <row r="104" spans="2:18" s="2370" customFormat="1">
      <c r="B104" s="2395"/>
      <c r="C104" s="2395"/>
      <c r="D104" s="2395"/>
      <c r="E104" s="2395"/>
      <c r="F104" s="2395"/>
      <c r="G104" s="2396"/>
      <c r="H104" s="2395"/>
      <c r="I104" s="2396"/>
      <c r="J104" s="2395"/>
      <c r="K104" s="2395"/>
      <c r="L104" s="2396"/>
      <c r="M104" s="2395"/>
      <c r="N104" s="2395"/>
      <c r="O104" s="2396"/>
      <c r="P104" s="2395"/>
      <c r="Q104" s="2395"/>
      <c r="R104" s="2397"/>
    </row>
    <row r="105" spans="2:18" s="2370" customFormat="1">
      <c r="B105" s="2395"/>
      <c r="C105" s="2395"/>
      <c r="D105" s="2395"/>
      <c r="E105" s="2395"/>
      <c r="F105" s="2395"/>
      <c r="G105" s="2396"/>
      <c r="H105" s="2395"/>
      <c r="I105" s="2396"/>
      <c r="J105" s="2395"/>
      <c r="K105" s="2395"/>
      <c r="L105" s="2396"/>
      <c r="M105" s="2395"/>
      <c r="N105" s="2395"/>
      <c r="O105" s="2396"/>
      <c r="P105" s="2395"/>
      <c r="Q105" s="2395"/>
      <c r="R105" s="2397"/>
    </row>
    <row r="106" spans="2:18" s="2370" customFormat="1">
      <c r="B106" s="2395"/>
      <c r="C106" s="2395"/>
      <c r="D106" s="2395"/>
      <c r="E106" s="2395"/>
      <c r="F106" s="2395"/>
      <c r="G106" s="2396"/>
      <c r="H106" s="2395"/>
      <c r="I106" s="2396"/>
      <c r="J106" s="2395"/>
      <c r="K106" s="2395"/>
      <c r="L106" s="2396"/>
      <c r="M106" s="2395"/>
      <c r="N106" s="2395"/>
      <c r="O106" s="2396"/>
      <c r="P106" s="2395"/>
      <c r="Q106" s="2395"/>
      <c r="R106" s="2397"/>
    </row>
    <row r="107" spans="2:18" s="2370" customFormat="1">
      <c r="B107" s="2395"/>
      <c r="C107" s="2395"/>
      <c r="D107" s="2395"/>
      <c r="E107" s="2395"/>
      <c r="F107" s="2395"/>
      <c r="G107" s="2396"/>
      <c r="H107" s="2395"/>
      <c r="I107" s="2396"/>
      <c r="J107" s="2395"/>
      <c r="K107" s="2395"/>
      <c r="L107" s="2396"/>
      <c r="M107" s="2395"/>
      <c r="N107" s="2395"/>
      <c r="O107" s="2396"/>
      <c r="P107" s="2395"/>
      <c r="Q107" s="2395"/>
      <c r="R107" s="2397"/>
    </row>
    <row r="108" spans="2:18" s="2370" customFormat="1">
      <c r="B108" s="2395"/>
      <c r="C108" s="2395"/>
      <c r="D108" s="2395"/>
      <c r="E108" s="2395"/>
      <c r="F108" s="2395"/>
      <c r="G108" s="2396"/>
      <c r="H108" s="2395"/>
      <c r="I108" s="2396"/>
      <c r="J108" s="2395"/>
      <c r="K108" s="2395"/>
      <c r="L108" s="2396"/>
      <c r="M108" s="2395"/>
      <c r="N108" s="2395"/>
      <c r="O108" s="2396"/>
      <c r="P108" s="2395"/>
      <c r="Q108" s="2395"/>
      <c r="R108" s="2397"/>
    </row>
    <row r="109" spans="2:18" s="2370" customFormat="1">
      <c r="B109" s="2395"/>
      <c r="C109" s="2395"/>
      <c r="D109" s="2395"/>
      <c r="E109" s="2395"/>
      <c r="F109" s="2395"/>
      <c r="G109" s="2396"/>
      <c r="H109" s="2395"/>
      <c r="I109" s="2396"/>
      <c r="J109" s="2395"/>
      <c r="K109" s="2395"/>
      <c r="L109" s="2396"/>
      <c r="M109" s="2395"/>
      <c r="N109" s="2395"/>
      <c r="O109" s="2396"/>
      <c r="P109" s="2395"/>
      <c r="Q109" s="2395"/>
      <c r="R109" s="2397"/>
    </row>
    <row r="110" spans="2:18" s="2370" customFormat="1">
      <c r="B110" s="2395"/>
      <c r="C110" s="2395"/>
      <c r="D110" s="2395"/>
      <c r="E110" s="2395"/>
      <c r="F110" s="2395"/>
      <c r="G110" s="2396"/>
      <c r="H110" s="2395"/>
      <c r="I110" s="2396"/>
      <c r="J110" s="2395"/>
      <c r="K110" s="2395"/>
      <c r="L110" s="2396"/>
      <c r="M110" s="2395"/>
      <c r="N110" s="2395"/>
      <c r="O110" s="2396"/>
      <c r="P110" s="2395"/>
      <c r="Q110" s="2395"/>
      <c r="R110" s="2397"/>
    </row>
    <row r="111" spans="2:18" s="2370" customFormat="1">
      <c r="B111" s="2395"/>
      <c r="C111" s="2395"/>
      <c r="D111" s="2395"/>
      <c r="E111" s="2395"/>
      <c r="F111" s="2395"/>
      <c r="G111" s="2396"/>
      <c r="H111" s="2395"/>
      <c r="I111" s="2396"/>
      <c r="J111" s="2395"/>
      <c r="K111" s="2395"/>
      <c r="L111" s="2396"/>
      <c r="M111" s="2395"/>
      <c r="N111" s="2395"/>
      <c r="O111" s="2396"/>
      <c r="P111" s="2395"/>
      <c r="Q111" s="2395"/>
      <c r="R111" s="2397"/>
    </row>
    <row r="112" spans="2:18" s="2370" customFormat="1">
      <c r="B112" s="2395"/>
      <c r="C112" s="2395"/>
      <c r="D112" s="2395"/>
      <c r="E112" s="2395"/>
      <c r="F112" s="2395"/>
      <c r="G112" s="2396"/>
      <c r="H112" s="2395"/>
      <c r="I112" s="2396"/>
      <c r="J112" s="2395"/>
      <c r="K112" s="2395"/>
      <c r="L112" s="2396"/>
      <c r="M112" s="2395"/>
      <c r="N112" s="2395"/>
      <c r="O112" s="2396"/>
      <c r="P112" s="2395"/>
      <c r="Q112" s="2395"/>
      <c r="R112" s="2397"/>
    </row>
    <row r="113" spans="2:18" s="2370" customFormat="1">
      <c r="B113" s="2395"/>
      <c r="C113" s="2395"/>
      <c r="D113" s="2395"/>
      <c r="E113" s="2395"/>
      <c r="F113" s="2395"/>
      <c r="G113" s="2396"/>
      <c r="H113" s="2395"/>
      <c r="I113" s="2396"/>
      <c r="J113" s="2395"/>
      <c r="K113" s="2395"/>
      <c r="L113" s="2396"/>
      <c r="M113" s="2395"/>
      <c r="N113" s="2395"/>
      <c r="O113" s="2396"/>
      <c r="P113" s="2395"/>
      <c r="Q113" s="2395"/>
      <c r="R113" s="2397"/>
    </row>
    <row r="114" spans="2:18" s="2370" customFormat="1">
      <c r="B114" s="2395"/>
      <c r="C114" s="2395"/>
      <c r="D114" s="2395"/>
      <c r="E114" s="2395"/>
      <c r="F114" s="2395"/>
      <c r="G114" s="2396"/>
      <c r="H114" s="2395"/>
      <c r="I114" s="2396"/>
      <c r="J114" s="2395"/>
      <c r="K114" s="2395"/>
      <c r="L114" s="2396"/>
      <c r="M114" s="2395"/>
      <c r="N114" s="2395"/>
      <c r="O114" s="2396"/>
      <c r="P114" s="2395"/>
      <c r="Q114" s="2395"/>
      <c r="R114" s="2397"/>
    </row>
    <row r="115" spans="2:18" s="2370" customFormat="1">
      <c r="B115" s="2395"/>
      <c r="C115" s="2395"/>
      <c r="D115" s="2395"/>
      <c r="E115" s="2395"/>
      <c r="F115" s="2395"/>
      <c r="G115" s="2396"/>
      <c r="H115" s="2395"/>
      <c r="I115" s="2396"/>
      <c r="J115" s="2395"/>
      <c r="K115" s="2395"/>
      <c r="L115" s="2396"/>
      <c r="M115" s="2395"/>
      <c r="N115" s="2395"/>
      <c r="O115" s="2396"/>
      <c r="P115" s="2395"/>
      <c r="Q115" s="2395"/>
      <c r="R115" s="2397"/>
    </row>
    <row r="116" spans="2:18" s="2370" customFormat="1">
      <c r="B116" s="2395"/>
      <c r="C116" s="2395"/>
      <c r="D116" s="2395"/>
      <c r="E116" s="2395"/>
      <c r="F116" s="2395"/>
      <c r="G116" s="2396"/>
      <c r="H116" s="2395"/>
      <c r="I116" s="2396"/>
      <c r="J116" s="2395"/>
      <c r="K116" s="2395"/>
      <c r="L116" s="2396"/>
      <c r="M116" s="2395"/>
      <c r="N116" s="2395"/>
      <c r="O116" s="2396"/>
      <c r="P116" s="2395"/>
      <c r="Q116" s="2395"/>
      <c r="R116" s="2397"/>
    </row>
    <row r="117" spans="2:18" s="2370" customFormat="1">
      <c r="B117" s="2395"/>
      <c r="C117" s="2395"/>
      <c r="D117" s="2395"/>
      <c r="E117" s="2395"/>
      <c r="F117" s="2395"/>
      <c r="G117" s="2396"/>
      <c r="H117" s="2395"/>
      <c r="I117" s="2396"/>
      <c r="J117" s="2395"/>
      <c r="K117" s="2395"/>
      <c r="L117" s="2396"/>
      <c r="M117" s="2395"/>
      <c r="N117" s="2395"/>
      <c r="O117" s="2396"/>
      <c r="P117" s="2395"/>
      <c r="Q117" s="2395"/>
      <c r="R117" s="2397"/>
    </row>
    <row r="118" spans="2:18" s="2370" customFormat="1">
      <c r="B118" s="2395"/>
      <c r="C118" s="2395"/>
      <c r="D118" s="2395"/>
      <c r="E118" s="2395"/>
      <c r="F118" s="2395"/>
      <c r="G118" s="2396"/>
      <c r="H118" s="2395"/>
      <c r="I118" s="2396"/>
      <c r="J118" s="2395"/>
      <c r="K118" s="2395"/>
      <c r="L118" s="2396"/>
      <c r="M118" s="2395"/>
      <c r="N118" s="2395"/>
      <c r="O118" s="2396"/>
      <c r="P118" s="2395"/>
      <c r="Q118" s="2395"/>
      <c r="R118" s="2397"/>
    </row>
    <row r="119" spans="2:18" s="2370" customFormat="1">
      <c r="B119" s="2395"/>
      <c r="C119" s="2395"/>
      <c r="D119" s="2395"/>
      <c r="E119" s="2395"/>
      <c r="F119" s="2395"/>
      <c r="G119" s="2396"/>
      <c r="H119" s="2395"/>
      <c r="I119" s="2396"/>
      <c r="J119" s="2395"/>
      <c r="K119" s="2395"/>
      <c r="L119" s="2396"/>
      <c r="M119" s="2395"/>
      <c r="N119" s="2395"/>
      <c r="O119" s="2396"/>
      <c r="P119" s="2395"/>
      <c r="Q119" s="2395"/>
      <c r="R119" s="2397"/>
    </row>
    <row r="120" spans="2:18" s="2370" customFormat="1">
      <c r="B120" s="2395"/>
      <c r="C120" s="2395"/>
      <c r="D120" s="2395"/>
      <c r="E120" s="2395"/>
      <c r="F120" s="2395"/>
      <c r="G120" s="2396"/>
      <c r="H120" s="2395"/>
      <c r="I120" s="2396"/>
      <c r="J120" s="2395"/>
      <c r="K120" s="2395"/>
      <c r="L120" s="2396"/>
      <c r="M120" s="2395"/>
      <c r="N120" s="2395"/>
      <c r="O120" s="2396"/>
      <c r="P120" s="2395"/>
      <c r="Q120" s="2395"/>
      <c r="R120" s="2397"/>
    </row>
    <row r="121" spans="2:18" s="2370" customFormat="1">
      <c r="B121" s="2395"/>
      <c r="C121" s="2395"/>
      <c r="D121" s="2395"/>
      <c r="E121" s="2395"/>
      <c r="F121" s="2395"/>
      <c r="G121" s="2396"/>
      <c r="H121" s="2395"/>
      <c r="I121" s="2396"/>
      <c r="J121" s="2395"/>
      <c r="K121" s="2395"/>
      <c r="L121" s="2396"/>
      <c r="M121" s="2395"/>
      <c r="N121" s="2395"/>
      <c r="O121" s="2396"/>
      <c r="P121" s="2395"/>
      <c r="Q121" s="2395"/>
      <c r="R121" s="2397"/>
    </row>
    <row r="122" spans="2:18" s="2370" customFormat="1">
      <c r="B122" s="2395"/>
      <c r="C122" s="2395"/>
      <c r="D122" s="2395"/>
      <c r="E122" s="2395"/>
      <c r="F122" s="2395"/>
      <c r="G122" s="2396"/>
      <c r="H122" s="2395"/>
      <c r="I122" s="2396"/>
      <c r="J122" s="2395"/>
      <c r="K122" s="2395"/>
      <c r="L122" s="2396"/>
      <c r="M122" s="2395"/>
      <c r="N122" s="2395"/>
      <c r="O122" s="2396"/>
      <c r="P122" s="2395"/>
      <c r="Q122" s="2395"/>
      <c r="R122" s="2397"/>
    </row>
    <row r="123" spans="2:18" s="2370" customFormat="1">
      <c r="B123" s="2395"/>
      <c r="C123" s="2395"/>
      <c r="D123" s="2395"/>
      <c r="E123" s="2395"/>
      <c r="F123" s="2395"/>
      <c r="G123" s="2396"/>
      <c r="H123" s="2395"/>
      <c r="I123" s="2396"/>
      <c r="J123" s="2395"/>
      <c r="K123" s="2395"/>
      <c r="L123" s="2396"/>
      <c r="M123" s="2395"/>
      <c r="N123" s="2395"/>
      <c r="O123" s="2396"/>
      <c r="P123" s="2395"/>
      <c r="Q123" s="2395"/>
      <c r="R123" s="2397"/>
    </row>
    <row r="124" spans="2:18" s="2370" customFormat="1">
      <c r="B124" s="2395"/>
      <c r="C124" s="2395"/>
      <c r="D124" s="2395"/>
      <c r="E124" s="2395"/>
      <c r="F124" s="2395"/>
      <c r="G124" s="2396"/>
      <c r="H124" s="2395"/>
      <c r="I124" s="2396"/>
      <c r="J124" s="2395"/>
      <c r="K124" s="2395"/>
      <c r="L124" s="2396"/>
      <c r="M124" s="2395"/>
      <c r="N124" s="2395"/>
      <c r="O124" s="2396"/>
      <c r="P124" s="2395"/>
      <c r="Q124" s="2395"/>
      <c r="R124" s="2397"/>
    </row>
    <row r="125" spans="2:18" s="2370" customFormat="1">
      <c r="B125" s="2395"/>
      <c r="C125" s="2395"/>
      <c r="D125" s="2395"/>
      <c r="E125" s="2395"/>
      <c r="F125" s="2395"/>
      <c r="G125" s="2396"/>
      <c r="H125" s="2395"/>
      <c r="I125" s="2396"/>
      <c r="J125" s="2395"/>
      <c r="K125" s="2395"/>
      <c r="L125" s="2396"/>
      <c r="M125" s="2395"/>
      <c r="N125" s="2395"/>
      <c r="O125" s="2396"/>
      <c r="P125" s="2395"/>
      <c r="Q125" s="2395"/>
      <c r="R125" s="2397"/>
    </row>
    <row r="126" spans="2:18" s="2370" customFormat="1">
      <c r="B126" s="2395"/>
      <c r="C126" s="2395"/>
      <c r="D126" s="2395"/>
      <c r="E126" s="2395"/>
      <c r="F126" s="2395"/>
      <c r="G126" s="2396"/>
      <c r="H126" s="2395"/>
      <c r="I126" s="2396"/>
      <c r="J126" s="2395"/>
      <c r="K126" s="2395"/>
      <c r="L126" s="2396"/>
      <c r="M126" s="2395"/>
      <c r="N126" s="2395"/>
      <c r="O126" s="2396"/>
      <c r="P126" s="2395"/>
      <c r="Q126" s="2395"/>
      <c r="R126" s="2397"/>
    </row>
    <row r="127" spans="2:18" s="2370" customFormat="1">
      <c r="B127" s="2395"/>
      <c r="C127" s="2395"/>
      <c r="D127" s="2395"/>
      <c r="E127" s="2395"/>
      <c r="F127" s="2395"/>
      <c r="G127" s="2396"/>
      <c r="H127" s="2395"/>
      <c r="I127" s="2396"/>
      <c r="J127" s="2395"/>
      <c r="K127" s="2395"/>
      <c r="L127" s="2396"/>
      <c r="M127" s="2395"/>
      <c r="N127" s="2395"/>
      <c r="O127" s="2396"/>
      <c r="P127" s="2395"/>
      <c r="Q127" s="2395"/>
      <c r="R127" s="2397"/>
    </row>
    <row r="128" spans="2:18" s="2370" customFormat="1">
      <c r="B128" s="2395"/>
      <c r="C128" s="2395"/>
      <c r="D128" s="2395"/>
      <c r="E128" s="2395"/>
      <c r="F128" s="2395"/>
      <c r="G128" s="2396"/>
      <c r="H128" s="2395"/>
      <c r="I128" s="2396"/>
      <c r="J128" s="2395"/>
      <c r="K128" s="2395"/>
      <c r="L128" s="2396"/>
      <c r="M128" s="2395"/>
      <c r="N128" s="2395"/>
      <c r="O128" s="2396"/>
      <c r="P128" s="2395"/>
      <c r="Q128" s="2395"/>
      <c r="R128" s="2397"/>
    </row>
    <row r="129" spans="2:18" s="2370" customFormat="1">
      <c r="B129" s="2395"/>
      <c r="C129" s="2395"/>
      <c r="D129" s="2395"/>
      <c r="E129" s="2395"/>
      <c r="F129" s="2395"/>
      <c r="G129" s="2396"/>
      <c r="H129" s="2395"/>
      <c r="I129" s="2396"/>
      <c r="J129" s="2395"/>
      <c r="K129" s="2395"/>
      <c r="L129" s="2396"/>
      <c r="M129" s="2395"/>
      <c r="N129" s="2395"/>
      <c r="O129" s="2396"/>
      <c r="P129" s="2395"/>
      <c r="Q129" s="2395"/>
      <c r="R129" s="2397"/>
    </row>
    <row r="130" spans="2:18" s="2370" customFormat="1">
      <c r="B130" s="2395"/>
      <c r="C130" s="2395"/>
      <c r="D130" s="2395"/>
      <c r="E130" s="2395"/>
      <c r="F130" s="2395"/>
      <c r="G130" s="2396"/>
      <c r="H130" s="2395"/>
      <c r="I130" s="2396"/>
      <c r="J130" s="2395"/>
      <c r="K130" s="2395"/>
      <c r="L130" s="2396"/>
      <c r="M130" s="2395"/>
      <c r="N130" s="2395"/>
      <c r="O130" s="2396"/>
      <c r="P130" s="2395"/>
      <c r="Q130" s="2395"/>
      <c r="R130" s="2397"/>
    </row>
    <row r="131" spans="2:18" s="2370" customFormat="1">
      <c r="B131" s="2395"/>
      <c r="C131" s="2395"/>
      <c r="D131" s="2395"/>
      <c r="E131" s="2395"/>
      <c r="F131" s="2395"/>
      <c r="G131" s="2396"/>
      <c r="H131" s="2395"/>
      <c r="I131" s="2396"/>
      <c r="J131" s="2395"/>
      <c r="K131" s="2395"/>
      <c r="L131" s="2396"/>
      <c r="M131" s="2395"/>
      <c r="N131" s="2395"/>
      <c r="O131" s="2396"/>
      <c r="P131" s="2395"/>
      <c r="Q131" s="2395"/>
      <c r="R131" s="2397"/>
    </row>
    <row r="132" spans="2:18" s="2370" customFormat="1">
      <c r="B132" s="2395"/>
      <c r="C132" s="2395"/>
      <c r="D132" s="2395"/>
      <c r="E132" s="2395"/>
      <c r="F132" s="2395"/>
      <c r="G132" s="2396"/>
      <c r="H132" s="2395"/>
      <c r="I132" s="2396"/>
      <c r="J132" s="2395"/>
      <c r="K132" s="2395"/>
      <c r="L132" s="2396"/>
      <c r="M132" s="2395"/>
      <c r="N132" s="2395"/>
      <c r="O132" s="2396"/>
      <c r="P132" s="2395"/>
      <c r="Q132" s="2395"/>
      <c r="R132" s="2397"/>
    </row>
    <row r="133" spans="2:18" s="2370" customFormat="1">
      <c r="B133" s="2395"/>
      <c r="C133" s="2395"/>
      <c r="D133" s="2395"/>
      <c r="E133" s="2395"/>
      <c r="F133" s="2395"/>
      <c r="G133" s="2396"/>
      <c r="H133" s="2395"/>
      <c r="I133" s="2396"/>
      <c r="J133" s="2395"/>
      <c r="K133" s="2395"/>
      <c r="L133" s="2396"/>
      <c r="M133" s="2395"/>
      <c r="N133" s="2395"/>
      <c r="O133" s="2396"/>
      <c r="P133" s="2395"/>
      <c r="Q133" s="2395"/>
      <c r="R133" s="2397"/>
    </row>
    <row r="134" spans="2:18" s="2370" customFormat="1">
      <c r="B134" s="2395"/>
      <c r="C134" s="2395"/>
      <c r="D134" s="2395"/>
      <c r="E134" s="2395"/>
      <c r="F134" s="2395"/>
      <c r="G134" s="2396"/>
      <c r="H134" s="2395"/>
      <c r="I134" s="2396"/>
      <c r="J134" s="2395"/>
      <c r="K134" s="2395"/>
      <c r="L134" s="2396"/>
      <c r="M134" s="2395"/>
      <c r="N134" s="2395"/>
      <c r="O134" s="2396"/>
      <c r="P134" s="2395"/>
      <c r="Q134" s="2395"/>
      <c r="R134" s="2397"/>
    </row>
    <row r="135" spans="2:18" s="2370" customFormat="1">
      <c r="B135" s="2395"/>
      <c r="C135" s="2395"/>
      <c r="D135" s="2395"/>
      <c r="E135" s="2395"/>
      <c r="F135" s="2395"/>
      <c r="G135" s="2396"/>
      <c r="H135" s="2395"/>
      <c r="I135" s="2396"/>
      <c r="J135" s="2395"/>
      <c r="K135" s="2395"/>
      <c r="L135" s="2396"/>
      <c r="M135" s="2395"/>
      <c r="N135" s="2395"/>
      <c r="O135" s="2396"/>
      <c r="P135" s="2395"/>
      <c r="Q135" s="2395"/>
      <c r="R135" s="2397"/>
    </row>
    <row r="136" spans="2:18" s="2370" customFormat="1">
      <c r="B136" s="2395"/>
      <c r="C136" s="2395"/>
      <c r="D136" s="2395"/>
      <c r="E136" s="2395"/>
      <c r="F136" s="2395"/>
      <c r="G136" s="2396"/>
      <c r="H136" s="2395"/>
      <c r="I136" s="2396"/>
      <c r="J136" s="2395"/>
      <c r="K136" s="2395"/>
      <c r="L136" s="2396"/>
      <c r="M136" s="2395"/>
      <c r="N136" s="2395"/>
      <c r="O136" s="2396"/>
      <c r="P136" s="2395"/>
      <c r="Q136" s="2395"/>
      <c r="R136" s="2397"/>
    </row>
    <row r="137" spans="2:18" s="2370" customFormat="1">
      <c r="B137" s="2395"/>
      <c r="C137" s="2395"/>
      <c r="D137" s="2395"/>
      <c r="E137" s="2395"/>
      <c r="F137" s="2395"/>
      <c r="G137" s="2396"/>
      <c r="H137" s="2395"/>
      <c r="I137" s="2396"/>
      <c r="J137" s="2395"/>
      <c r="K137" s="2395"/>
      <c r="L137" s="2396"/>
      <c r="M137" s="2395"/>
      <c r="N137" s="2395"/>
      <c r="O137" s="2396"/>
      <c r="P137" s="2395"/>
      <c r="Q137" s="2395"/>
      <c r="R137" s="2397"/>
    </row>
    <row r="138" spans="2:18" s="2370" customFormat="1">
      <c r="B138" s="2395"/>
      <c r="C138" s="2395"/>
      <c r="D138" s="2395"/>
      <c r="E138" s="2395"/>
      <c r="F138" s="2395"/>
      <c r="G138" s="2396"/>
      <c r="H138" s="2395"/>
      <c r="I138" s="2396"/>
      <c r="J138" s="2395"/>
      <c r="K138" s="2395"/>
      <c r="L138" s="2396"/>
      <c r="M138" s="2395"/>
      <c r="N138" s="2395"/>
      <c r="O138" s="2396"/>
      <c r="P138" s="2395"/>
      <c r="Q138" s="2395"/>
      <c r="R138" s="2397"/>
    </row>
    <row r="139" spans="2:18" s="2370" customFormat="1">
      <c r="B139" s="2395"/>
      <c r="C139" s="2395"/>
      <c r="D139" s="2395"/>
      <c r="E139" s="2395"/>
      <c r="F139" s="2395"/>
      <c r="G139" s="2396"/>
      <c r="H139" s="2395"/>
      <c r="I139" s="2396"/>
      <c r="J139" s="2395"/>
      <c r="K139" s="2395"/>
      <c r="L139" s="2396"/>
      <c r="M139" s="2395"/>
      <c r="N139" s="2395"/>
      <c r="O139" s="2396"/>
      <c r="P139" s="2395"/>
      <c r="Q139" s="2395"/>
      <c r="R139" s="2397"/>
    </row>
    <row r="140" spans="2:18" s="2370" customFormat="1">
      <c r="B140" s="2395"/>
      <c r="C140" s="2395"/>
      <c r="D140" s="2395"/>
      <c r="E140" s="2395"/>
      <c r="F140" s="2395"/>
      <c r="G140" s="2396"/>
      <c r="H140" s="2395"/>
      <c r="I140" s="2396"/>
      <c r="J140" s="2395"/>
      <c r="K140" s="2395"/>
      <c r="L140" s="2396"/>
      <c r="M140" s="2395"/>
      <c r="N140" s="2395"/>
      <c r="O140" s="2396"/>
      <c r="P140" s="2395"/>
      <c r="Q140" s="2395"/>
      <c r="R140" s="2397"/>
    </row>
    <row r="141" spans="2:18" s="2370" customFormat="1">
      <c r="B141" s="2395"/>
      <c r="C141" s="2395"/>
      <c r="D141" s="2395"/>
      <c r="E141" s="2395"/>
      <c r="F141" s="2395"/>
      <c r="G141" s="2396"/>
      <c r="H141" s="2395"/>
      <c r="I141" s="2396"/>
      <c r="J141" s="2395"/>
      <c r="K141" s="2395"/>
      <c r="L141" s="2396"/>
      <c r="M141" s="2395"/>
      <c r="N141" s="2395"/>
      <c r="O141" s="2396"/>
      <c r="P141" s="2395"/>
      <c r="Q141" s="2395"/>
      <c r="R141" s="2397"/>
    </row>
    <row r="142" spans="2:18" s="2370" customFormat="1">
      <c r="B142" s="2395"/>
      <c r="C142" s="2395"/>
      <c r="D142" s="2395"/>
      <c r="E142" s="2395"/>
      <c r="F142" s="2395"/>
      <c r="G142" s="2396"/>
      <c r="H142" s="2395"/>
      <c r="I142" s="2396"/>
      <c r="J142" s="2395"/>
      <c r="K142" s="2395"/>
      <c r="L142" s="2396"/>
      <c r="M142" s="2395"/>
      <c r="N142" s="2395"/>
      <c r="O142" s="2396"/>
      <c r="P142" s="2395"/>
      <c r="Q142" s="2395"/>
      <c r="R142" s="2397"/>
    </row>
    <row r="143" spans="2:18" s="2370" customFormat="1">
      <c r="B143" s="2395"/>
      <c r="C143" s="2395"/>
      <c r="D143" s="2395"/>
      <c r="E143" s="2395"/>
      <c r="F143" s="2395"/>
      <c r="G143" s="2396"/>
      <c r="H143" s="2395"/>
      <c r="I143" s="2396"/>
      <c r="J143" s="2395"/>
      <c r="K143" s="2395"/>
      <c r="L143" s="2396"/>
      <c r="M143" s="2395"/>
      <c r="N143" s="2395"/>
      <c r="O143" s="2396"/>
      <c r="P143" s="2395"/>
      <c r="Q143" s="2395"/>
      <c r="R143" s="2397"/>
    </row>
    <row r="144" spans="2:18" s="2370" customFormat="1">
      <c r="B144" s="2395"/>
      <c r="C144" s="2395"/>
      <c r="D144" s="2395"/>
      <c r="E144" s="2395"/>
      <c r="F144" s="2395"/>
      <c r="G144" s="2396"/>
      <c r="H144" s="2395"/>
      <c r="I144" s="2396"/>
      <c r="J144" s="2395"/>
      <c r="K144" s="2395"/>
      <c r="L144" s="2396"/>
      <c r="M144" s="2395"/>
      <c r="N144" s="2395"/>
      <c r="O144" s="2396"/>
      <c r="P144" s="2395"/>
      <c r="Q144" s="2395"/>
      <c r="R144" s="2397"/>
    </row>
    <row r="145" spans="2:18" s="2370" customFormat="1">
      <c r="B145" s="2395"/>
      <c r="C145" s="2395"/>
      <c r="D145" s="2395"/>
      <c r="E145" s="2395"/>
      <c r="F145" s="2395"/>
      <c r="G145" s="2396"/>
      <c r="H145" s="2395"/>
      <c r="I145" s="2396"/>
      <c r="J145" s="2395"/>
      <c r="K145" s="2395"/>
      <c r="L145" s="2396"/>
      <c r="M145" s="2395"/>
      <c r="N145" s="2395"/>
      <c r="O145" s="2396"/>
      <c r="P145" s="2395"/>
      <c r="Q145" s="2395"/>
      <c r="R145" s="2397"/>
    </row>
    <row r="146" spans="2:18" s="2370" customFormat="1">
      <c r="B146" s="2395"/>
      <c r="C146" s="2395"/>
      <c r="D146" s="2395"/>
      <c r="E146" s="2395"/>
      <c r="F146" s="2395"/>
      <c r="G146" s="2396"/>
      <c r="H146" s="2395"/>
      <c r="I146" s="2396"/>
      <c r="J146" s="2395"/>
      <c r="K146" s="2395"/>
      <c r="L146" s="2396"/>
      <c r="M146" s="2395"/>
      <c r="N146" s="2395"/>
      <c r="O146" s="2396"/>
      <c r="P146" s="2395"/>
      <c r="Q146" s="2395"/>
      <c r="R146" s="2397"/>
    </row>
    <row r="147" spans="2:18" s="2370" customFormat="1">
      <c r="B147" s="2395"/>
      <c r="C147" s="2395"/>
      <c r="D147" s="2395"/>
      <c r="E147" s="2395"/>
      <c r="F147" s="2395"/>
      <c r="G147" s="2396"/>
      <c r="H147" s="2395"/>
      <c r="I147" s="2396"/>
      <c r="J147" s="2395"/>
      <c r="K147" s="2395"/>
      <c r="L147" s="2396"/>
      <c r="M147" s="2395"/>
      <c r="N147" s="2395"/>
      <c r="O147" s="2396"/>
      <c r="P147" s="2395"/>
      <c r="Q147" s="2395"/>
      <c r="R147" s="2397"/>
    </row>
    <row r="148" spans="2:18" s="2370" customFormat="1">
      <c r="B148" s="2395"/>
      <c r="C148" s="2395"/>
      <c r="D148" s="2395"/>
      <c r="E148" s="2395"/>
      <c r="F148" s="2395"/>
      <c r="G148" s="2396"/>
      <c r="H148" s="2395"/>
      <c r="I148" s="2396"/>
      <c r="J148" s="2395"/>
      <c r="K148" s="2395"/>
      <c r="L148" s="2396"/>
      <c r="M148" s="2395"/>
      <c r="N148" s="2395"/>
      <c r="O148" s="2396"/>
      <c r="P148" s="2395"/>
      <c r="Q148" s="2395"/>
      <c r="R148" s="2397"/>
    </row>
    <row r="149" spans="2:18" s="2370" customFormat="1">
      <c r="B149" s="2395"/>
      <c r="C149" s="2395"/>
      <c r="D149" s="2395"/>
      <c r="E149" s="2395"/>
      <c r="F149" s="2395"/>
      <c r="G149" s="2396"/>
      <c r="H149" s="2395"/>
      <c r="I149" s="2396"/>
      <c r="J149" s="2395"/>
      <c r="K149" s="2395"/>
      <c r="L149" s="2396"/>
      <c r="M149" s="2395"/>
      <c r="N149" s="2395"/>
      <c r="O149" s="2396"/>
      <c r="P149" s="2395"/>
      <c r="Q149" s="2395"/>
      <c r="R149" s="2397"/>
    </row>
    <row r="150" spans="2:18" s="2370" customFormat="1">
      <c r="B150" s="2395"/>
      <c r="C150" s="2395"/>
      <c r="D150" s="2395"/>
      <c r="E150" s="2395"/>
      <c r="F150" s="2395"/>
      <c r="G150" s="2396"/>
      <c r="H150" s="2395"/>
      <c r="I150" s="2396"/>
      <c r="J150" s="2395"/>
      <c r="K150" s="2395"/>
      <c r="L150" s="2396"/>
      <c r="M150" s="2395"/>
      <c r="N150" s="2395"/>
      <c r="O150" s="2396"/>
      <c r="P150" s="2395"/>
      <c r="Q150" s="2395"/>
      <c r="R150" s="2397"/>
    </row>
    <row r="151" spans="2:18" s="2370" customFormat="1">
      <c r="B151" s="2395"/>
      <c r="C151" s="2395"/>
      <c r="D151" s="2395"/>
      <c r="E151" s="2395"/>
      <c r="F151" s="2395"/>
      <c r="G151" s="2396"/>
      <c r="H151" s="2395"/>
      <c r="I151" s="2396"/>
      <c r="J151" s="2395"/>
      <c r="K151" s="2395"/>
      <c r="L151" s="2396"/>
      <c r="M151" s="2395"/>
      <c r="N151" s="2395"/>
      <c r="O151" s="2396"/>
      <c r="P151" s="2395"/>
      <c r="Q151" s="2395"/>
      <c r="R151" s="2397"/>
    </row>
    <row r="152" spans="2:18" s="2370" customFormat="1">
      <c r="B152" s="2395"/>
      <c r="C152" s="2395"/>
      <c r="D152" s="2395"/>
      <c r="E152" s="2395"/>
      <c r="F152" s="2395"/>
      <c r="G152" s="2396"/>
      <c r="H152" s="2395"/>
      <c r="I152" s="2396"/>
      <c r="J152" s="2395"/>
      <c r="K152" s="2395"/>
      <c r="L152" s="2396"/>
      <c r="M152" s="2395"/>
      <c r="N152" s="2395"/>
      <c r="O152" s="2396"/>
      <c r="P152" s="2395"/>
      <c r="Q152" s="2395"/>
      <c r="R152" s="2397"/>
    </row>
    <row r="153" spans="2:18" s="2370" customFormat="1">
      <c r="B153" s="2395"/>
      <c r="C153" s="2395"/>
      <c r="D153" s="2395"/>
      <c r="E153" s="2395"/>
      <c r="F153" s="2395"/>
      <c r="G153" s="2396"/>
      <c r="H153" s="2395"/>
      <c r="I153" s="2396"/>
      <c r="J153" s="2395"/>
      <c r="K153" s="2395"/>
      <c r="L153" s="2396"/>
      <c r="M153" s="2395"/>
      <c r="N153" s="2395"/>
      <c r="O153" s="2396"/>
      <c r="P153" s="2395"/>
      <c r="Q153" s="2395"/>
      <c r="R153" s="2397"/>
    </row>
    <row r="154" spans="2:18" s="2370" customFormat="1">
      <c r="B154" s="2395"/>
      <c r="C154" s="2395"/>
      <c r="D154" s="2395"/>
      <c r="E154" s="2395"/>
      <c r="F154" s="2395"/>
      <c r="G154" s="2396"/>
      <c r="H154" s="2395"/>
      <c r="I154" s="2396"/>
      <c r="J154" s="2395"/>
      <c r="K154" s="2395"/>
      <c r="L154" s="2396"/>
      <c r="M154" s="2395"/>
      <c r="N154" s="2395"/>
      <c r="O154" s="2396"/>
      <c r="P154" s="2395"/>
      <c r="Q154" s="2395"/>
      <c r="R154" s="2397"/>
    </row>
    <row r="155" spans="2:18" s="2370" customFormat="1">
      <c r="B155" s="2395"/>
      <c r="C155" s="2395"/>
      <c r="D155" s="2395"/>
      <c r="E155" s="2395"/>
      <c r="F155" s="2395"/>
      <c r="G155" s="2396"/>
      <c r="H155" s="2395"/>
      <c r="I155" s="2396"/>
      <c r="J155" s="2395"/>
      <c r="K155" s="2395"/>
      <c r="L155" s="2396"/>
      <c r="M155" s="2395"/>
      <c r="N155" s="2395"/>
      <c r="O155" s="2396"/>
      <c r="P155" s="2395"/>
      <c r="Q155" s="2395"/>
      <c r="R155" s="2397"/>
    </row>
    <row r="156" spans="2:18" s="2370" customFormat="1">
      <c r="B156" s="2395"/>
      <c r="C156" s="2395"/>
      <c r="D156" s="2395"/>
      <c r="E156" s="2395"/>
      <c r="F156" s="2395"/>
      <c r="G156" s="2396"/>
      <c r="H156" s="2395"/>
      <c r="I156" s="2396"/>
      <c r="J156" s="2395"/>
      <c r="K156" s="2395"/>
      <c r="L156" s="2396"/>
      <c r="M156" s="2395"/>
      <c r="N156" s="2395"/>
      <c r="O156" s="2396"/>
      <c r="P156" s="2395"/>
      <c r="Q156" s="2395"/>
      <c r="R156" s="2397"/>
    </row>
    <row r="157" spans="2:18" s="2370" customFormat="1">
      <c r="B157" s="2395"/>
      <c r="C157" s="2395"/>
      <c r="D157" s="2395"/>
      <c r="E157" s="2395"/>
      <c r="F157" s="2395"/>
      <c r="G157" s="2396"/>
      <c r="H157" s="2395"/>
      <c r="I157" s="2396"/>
      <c r="J157" s="2395"/>
      <c r="K157" s="2395"/>
      <c r="L157" s="2396"/>
      <c r="M157" s="2395"/>
      <c r="N157" s="2395"/>
      <c r="O157" s="2396"/>
      <c r="P157" s="2395"/>
      <c r="Q157" s="2395"/>
      <c r="R157" s="2397"/>
    </row>
    <row r="158" spans="2:18" s="2370" customFormat="1">
      <c r="B158" s="2395"/>
      <c r="C158" s="2395"/>
      <c r="D158" s="2395"/>
      <c r="E158" s="2395"/>
      <c r="F158" s="2395"/>
      <c r="G158" s="2396"/>
      <c r="H158" s="2395"/>
      <c r="I158" s="2396"/>
      <c r="J158" s="2395"/>
      <c r="K158" s="2395"/>
      <c r="L158" s="2396"/>
      <c r="M158" s="2395"/>
      <c r="N158" s="2395"/>
      <c r="O158" s="2396"/>
      <c r="P158" s="2395"/>
      <c r="Q158" s="2395"/>
      <c r="R158" s="2397"/>
    </row>
    <row r="159" spans="2:18" s="2370" customFormat="1">
      <c r="B159" s="2395"/>
      <c r="C159" s="2395"/>
      <c r="D159" s="2395"/>
      <c r="E159" s="2395"/>
      <c r="F159" s="2395"/>
      <c r="G159" s="2396"/>
      <c r="H159" s="2395"/>
      <c r="I159" s="2396"/>
      <c r="J159" s="2395"/>
      <c r="K159" s="2395"/>
      <c r="L159" s="2396"/>
      <c r="M159" s="2395"/>
      <c r="N159" s="2395"/>
      <c r="O159" s="2396"/>
      <c r="P159" s="2395"/>
      <c r="Q159" s="2395"/>
      <c r="R159" s="2397"/>
    </row>
    <row r="160" spans="2:18" s="2370" customFormat="1">
      <c r="B160" s="2395"/>
      <c r="C160" s="2395"/>
      <c r="D160" s="2395"/>
      <c r="E160" s="2395"/>
      <c r="F160" s="2395"/>
      <c r="G160" s="2396"/>
      <c r="H160" s="2395"/>
      <c r="I160" s="2396"/>
      <c r="J160" s="2395"/>
      <c r="K160" s="2395"/>
      <c r="L160" s="2396"/>
      <c r="M160" s="2395"/>
      <c r="N160" s="2395"/>
      <c r="O160" s="2396"/>
      <c r="P160" s="2395"/>
      <c r="Q160" s="2395"/>
      <c r="R160" s="2397"/>
    </row>
    <row r="161" spans="2:18" s="2370" customFormat="1">
      <c r="B161" s="2395"/>
      <c r="C161" s="2395"/>
      <c r="D161" s="2395"/>
      <c r="E161" s="2395"/>
      <c r="F161" s="2395"/>
      <c r="G161" s="2396"/>
      <c r="H161" s="2395"/>
      <c r="I161" s="2396"/>
      <c r="J161" s="2395"/>
      <c r="K161" s="2395"/>
      <c r="L161" s="2396"/>
      <c r="M161" s="2395"/>
      <c r="N161" s="2395"/>
      <c r="O161" s="2396"/>
      <c r="P161" s="2395"/>
      <c r="Q161" s="2395"/>
      <c r="R161" s="2397"/>
    </row>
    <row r="162" spans="2:18" s="2370" customFormat="1">
      <c r="B162" s="2395"/>
      <c r="C162" s="2395"/>
      <c r="D162" s="2395"/>
      <c r="E162" s="2395"/>
      <c r="F162" s="2395"/>
      <c r="G162" s="2396"/>
      <c r="H162" s="2395"/>
      <c r="I162" s="2396"/>
      <c r="J162" s="2395"/>
      <c r="K162" s="2395"/>
      <c r="L162" s="2396"/>
      <c r="M162" s="2395"/>
      <c r="N162" s="2395"/>
      <c r="O162" s="2396"/>
      <c r="P162" s="2395"/>
      <c r="Q162" s="2395"/>
      <c r="R162" s="2397"/>
    </row>
    <row r="163" spans="2:18" s="2370" customFormat="1">
      <c r="B163" s="2395"/>
      <c r="C163" s="2395"/>
      <c r="D163" s="2395"/>
      <c r="E163" s="2395"/>
      <c r="F163" s="2395"/>
      <c r="G163" s="2396"/>
      <c r="H163" s="2395"/>
      <c r="I163" s="2396"/>
      <c r="J163" s="2395"/>
      <c r="K163" s="2395"/>
      <c r="L163" s="2396"/>
      <c r="M163" s="2395"/>
      <c r="N163" s="2395"/>
      <c r="O163" s="2396"/>
      <c r="P163" s="2395"/>
      <c r="Q163" s="2395"/>
      <c r="R163" s="2397"/>
    </row>
    <row r="164" spans="2:18" s="2370" customFormat="1">
      <c r="B164" s="2395"/>
      <c r="C164" s="2395"/>
      <c r="D164" s="2395"/>
      <c r="E164" s="2395"/>
      <c r="F164" s="2395"/>
      <c r="G164" s="2396"/>
      <c r="H164" s="2395"/>
      <c r="I164" s="2396"/>
      <c r="J164" s="2395"/>
      <c r="K164" s="2395"/>
      <c r="L164" s="2396"/>
      <c r="M164" s="2395"/>
      <c r="N164" s="2395"/>
      <c r="O164" s="2396"/>
      <c r="P164" s="2395"/>
      <c r="Q164" s="2395"/>
      <c r="R164" s="2397"/>
    </row>
    <row r="165" spans="2:18" s="2370" customFormat="1">
      <c r="B165" s="2395"/>
      <c r="C165" s="2395"/>
      <c r="D165" s="2395"/>
      <c r="E165" s="2395"/>
      <c r="F165" s="2395"/>
      <c r="G165" s="2396"/>
      <c r="H165" s="2395"/>
      <c r="I165" s="2396"/>
      <c r="J165" s="2395"/>
      <c r="K165" s="2395"/>
      <c r="L165" s="2396"/>
      <c r="M165" s="2395"/>
      <c r="N165" s="2395"/>
      <c r="O165" s="2396"/>
      <c r="P165" s="2395"/>
      <c r="Q165" s="2395"/>
      <c r="R165" s="2397"/>
    </row>
    <row r="166" spans="2:18" s="2370" customFormat="1">
      <c r="B166" s="2395"/>
      <c r="C166" s="2395"/>
      <c r="D166" s="2395"/>
      <c r="E166" s="2395"/>
      <c r="F166" s="2395"/>
      <c r="G166" s="2396"/>
      <c r="H166" s="2395"/>
      <c r="I166" s="2396"/>
      <c r="J166" s="2395"/>
      <c r="K166" s="2395"/>
      <c r="L166" s="2396"/>
      <c r="M166" s="2395"/>
      <c r="N166" s="2395"/>
      <c r="O166" s="2396"/>
      <c r="P166" s="2395"/>
      <c r="Q166" s="2395"/>
      <c r="R166" s="2397"/>
    </row>
    <row r="167" spans="2:18" s="2370" customFormat="1">
      <c r="B167" s="2395"/>
      <c r="C167" s="2395"/>
      <c r="D167" s="2395"/>
      <c r="E167" s="2395"/>
      <c r="F167" s="2395"/>
      <c r="G167" s="2396"/>
      <c r="H167" s="2395"/>
      <c r="I167" s="2396"/>
      <c r="J167" s="2395"/>
      <c r="K167" s="2395"/>
      <c r="L167" s="2396"/>
      <c r="M167" s="2395"/>
      <c r="N167" s="2395"/>
      <c r="O167" s="2396"/>
      <c r="P167" s="2395"/>
      <c r="Q167" s="2395"/>
      <c r="R167" s="2397"/>
    </row>
    <row r="168" spans="2:18" s="2370" customFormat="1">
      <c r="B168" s="2395"/>
      <c r="C168" s="2395"/>
      <c r="D168" s="2395"/>
      <c r="E168" s="2395"/>
      <c r="F168" s="2395"/>
      <c r="G168" s="2396"/>
      <c r="H168" s="2395"/>
      <c r="I168" s="2396"/>
      <c r="J168" s="2395"/>
      <c r="K168" s="2395"/>
      <c r="L168" s="2396"/>
      <c r="M168" s="2395"/>
      <c r="N168" s="2395"/>
      <c r="O168" s="2396"/>
      <c r="P168" s="2395"/>
      <c r="Q168" s="2395"/>
      <c r="R168" s="2397"/>
    </row>
    <row r="169" spans="2:18" s="2370" customFormat="1">
      <c r="B169" s="2395"/>
      <c r="C169" s="2395"/>
      <c r="D169" s="2395"/>
      <c r="E169" s="2395"/>
      <c r="F169" s="2395"/>
      <c r="G169" s="2396"/>
      <c r="H169" s="2395"/>
      <c r="I169" s="2396"/>
      <c r="J169" s="2395"/>
      <c r="K169" s="2395"/>
      <c r="L169" s="2396"/>
      <c r="M169" s="2395"/>
      <c r="N169" s="2395"/>
      <c r="O169" s="2396"/>
      <c r="P169" s="2395"/>
      <c r="Q169" s="2395"/>
      <c r="R169" s="2397"/>
    </row>
    <row r="170" spans="2:18" s="2370" customFormat="1">
      <c r="B170" s="2395"/>
      <c r="C170" s="2395"/>
      <c r="D170" s="2395"/>
      <c r="E170" s="2395"/>
      <c r="F170" s="2395"/>
      <c r="G170" s="2396"/>
      <c r="H170" s="2395"/>
      <c r="I170" s="2396"/>
      <c r="J170" s="2395"/>
      <c r="K170" s="2395"/>
      <c r="L170" s="2396"/>
      <c r="M170" s="2395"/>
      <c r="N170" s="2395"/>
      <c r="O170" s="2396"/>
      <c r="P170" s="2395"/>
      <c r="Q170" s="2395"/>
      <c r="R170" s="2397"/>
    </row>
    <row r="171" spans="2:18" s="2370" customFormat="1">
      <c r="B171" s="2395"/>
      <c r="C171" s="2395"/>
      <c r="D171" s="2395"/>
      <c r="E171" s="2395"/>
      <c r="F171" s="2395"/>
      <c r="G171" s="2396"/>
      <c r="H171" s="2395"/>
      <c r="I171" s="2396"/>
      <c r="J171" s="2395"/>
      <c r="K171" s="2395"/>
      <c r="L171" s="2396"/>
      <c r="M171" s="2395"/>
      <c r="N171" s="2395"/>
      <c r="O171" s="2396"/>
      <c r="P171" s="2395"/>
      <c r="Q171" s="2395"/>
      <c r="R171" s="2397"/>
    </row>
    <row r="172" spans="2:18" s="2370" customFormat="1">
      <c r="B172" s="2395"/>
      <c r="C172" s="2395"/>
      <c r="D172" s="2395"/>
      <c r="E172" s="2395"/>
      <c r="F172" s="2395"/>
      <c r="G172" s="2396"/>
      <c r="H172" s="2395"/>
      <c r="I172" s="2396"/>
      <c r="J172" s="2395"/>
      <c r="K172" s="2395"/>
      <c r="L172" s="2396"/>
      <c r="M172" s="2395"/>
      <c r="N172" s="2395"/>
      <c r="O172" s="2396"/>
      <c r="P172" s="2395"/>
      <c r="Q172" s="2395"/>
      <c r="R172" s="2397"/>
    </row>
    <row r="173" spans="2:18" s="2370" customFormat="1">
      <c r="B173" s="2395"/>
      <c r="C173" s="2395"/>
      <c r="D173" s="2395"/>
      <c r="E173" s="2395"/>
      <c r="F173" s="2395"/>
      <c r="G173" s="2396"/>
      <c r="H173" s="2395"/>
      <c r="I173" s="2396"/>
      <c r="J173" s="2395"/>
      <c r="K173" s="2395"/>
      <c r="L173" s="2396"/>
      <c r="M173" s="2395"/>
      <c r="N173" s="2395"/>
      <c r="O173" s="2396"/>
      <c r="P173" s="2395"/>
      <c r="Q173" s="2395"/>
      <c r="R173" s="2397"/>
    </row>
    <row r="174" spans="2:18" s="2370" customFormat="1">
      <c r="B174" s="2395"/>
      <c r="C174" s="2395"/>
      <c r="D174" s="2395"/>
      <c r="E174" s="2395"/>
      <c r="F174" s="2395"/>
      <c r="G174" s="2396"/>
      <c r="H174" s="2395"/>
      <c r="I174" s="2396"/>
      <c r="J174" s="2395"/>
      <c r="K174" s="2395"/>
      <c r="L174" s="2396"/>
      <c r="M174" s="2395"/>
      <c r="N174" s="2395"/>
      <c r="O174" s="2396"/>
      <c r="P174" s="2395"/>
      <c r="Q174" s="2395"/>
      <c r="R174" s="2397"/>
    </row>
    <row r="175" spans="2:18" s="2370" customFormat="1">
      <c r="B175" s="2395"/>
      <c r="C175" s="2395"/>
      <c r="D175" s="2395"/>
      <c r="E175" s="2395"/>
      <c r="F175" s="2395"/>
      <c r="G175" s="2396"/>
      <c r="H175" s="2395"/>
      <c r="I175" s="2396"/>
      <c r="J175" s="2395"/>
      <c r="K175" s="2395"/>
      <c r="L175" s="2396"/>
      <c r="M175" s="2395"/>
      <c r="N175" s="2395"/>
      <c r="O175" s="2396"/>
      <c r="P175" s="2395"/>
      <c r="Q175" s="2395"/>
      <c r="R175" s="2397"/>
    </row>
    <row r="176" spans="2:18" s="2370" customFormat="1">
      <c r="B176" s="2395"/>
      <c r="C176" s="2395"/>
      <c r="D176" s="2395"/>
      <c r="E176" s="2395"/>
      <c r="F176" s="2395"/>
      <c r="G176" s="2396"/>
      <c r="H176" s="2395"/>
      <c r="I176" s="2396"/>
      <c r="J176" s="2395"/>
      <c r="K176" s="2395"/>
      <c r="L176" s="2396"/>
      <c r="M176" s="2395"/>
      <c r="N176" s="2395"/>
      <c r="O176" s="2396"/>
      <c r="P176" s="2395"/>
      <c r="Q176" s="2395"/>
      <c r="R176" s="2397"/>
    </row>
    <row r="177" spans="1:18" s="2370" customFormat="1">
      <c r="B177" s="2395"/>
      <c r="C177" s="2395"/>
      <c r="D177" s="2395"/>
      <c r="E177" s="2395"/>
      <c r="F177" s="2395"/>
      <c r="G177" s="2396"/>
      <c r="H177" s="2395"/>
      <c r="I177" s="2396"/>
      <c r="J177" s="2395"/>
      <c r="K177" s="2395"/>
      <c r="L177" s="2396"/>
      <c r="M177" s="2395"/>
      <c r="N177" s="2395"/>
      <c r="O177" s="2396"/>
      <c r="P177" s="2395"/>
      <c r="Q177" s="2395"/>
      <c r="R177" s="2397"/>
    </row>
    <row r="178" spans="1:18" s="2370" customFormat="1">
      <c r="B178" s="2395"/>
      <c r="C178" s="2395"/>
      <c r="D178" s="2395"/>
      <c r="E178" s="2395"/>
      <c r="F178" s="2395"/>
      <c r="G178" s="2396"/>
      <c r="H178" s="2395"/>
      <c r="I178" s="2396"/>
      <c r="J178" s="2395"/>
      <c r="K178" s="2395"/>
      <c r="L178" s="2396"/>
      <c r="M178" s="2395"/>
      <c r="N178" s="2395"/>
      <c r="O178" s="2396"/>
      <c r="P178" s="2395"/>
      <c r="Q178" s="2395"/>
      <c r="R178" s="2397"/>
    </row>
    <row r="179" spans="1:18" s="2370" customFormat="1">
      <c r="B179" s="2395"/>
      <c r="C179" s="2395"/>
      <c r="D179" s="2395"/>
      <c r="E179" s="2395"/>
      <c r="F179" s="2395"/>
      <c r="G179" s="2396"/>
      <c r="H179" s="2395"/>
      <c r="I179" s="2396"/>
      <c r="J179" s="2395"/>
      <c r="K179" s="2395"/>
      <c r="L179" s="2396"/>
      <c r="M179" s="2395"/>
      <c r="N179" s="2395"/>
      <c r="O179" s="2396"/>
      <c r="P179" s="2395"/>
      <c r="Q179" s="2395"/>
      <c r="R179" s="2397"/>
    </row>
    <row r="180" spans="1:18" s="2370" customFormat="1">
      <c r="B180" s="2395"/>
      <c r="C180" s="2395"/>
      <c r="D180" s="2395"/>
      <c r="E180" s="2395"/>
      <c r="F180" s="2395"/>
      <c r="G180" s="2396"/>
      <c r="H180" s="2395"/>
      <c r="I180" s="2396"/>
      <c r="J180" s="2395"/>
      <c r="K180" s="2395"/>
      <c r="L180" s="2396"/>
      <c r="M180" s="2395"/>
      <c r="N180" s="2395"/>
      <c r="O180" s="2396"/>
      <c r="P180" s="2395"/>
      <c r="Q180" s="2395"/>
      <c r="R180" s="2397"/>
    </row>
    <row r="181" spans="1:18" s="2370" customFormat="1">
      <c r="B181" s="2395"/>
      <c r="C181" s="2395"/>
      <c r="D181" s="2395"/>
      <c r="E181" s="2395"/>
      <c r="F181" s="2395"/>
      <c r="G181" s="2396"/>
      <c r="H181" s="2395"/>
      <c r="I181" s="2396"/>
      <c r="J181" s="2395"/>
      <c r="K181" s="2395"/>
      <c r="L181" s="2396"/>
      <c r="M181" s="2395"/>
      <c r="N181" s="2395"/>
      <c r="O181" s="2396"/>
      <c r="P181" s="2395"/>
      <c r="Q181" s="2395"/>
      <c r="R181" s="2397"/>
    </row>
    <row r="182" spans="1:18" s="2370" customFormat="1">
      <c r="B182" s="2395"/>
      <c r="C182" s="2395"/>
      <c r="D182" s="2395"/>
      <c r="E182" s="2395"/>
      <c r="F182" s="2395"/>
      <c r="G182" s="2396"/>
      <c r="H182" s="2395"/>
      <c r="I182" s="2396"/>
      <c r="J182" s="2395"/>
      <c r="K182" s="2395"/>
      <c r="L182" s="2396"/>
      <c r="M182" s="2395"/>
      <c r="N182" s="2395"/>
      <c r="O182" s="2396"/>
      <c r="P182" s="2395"/>
      <c r="Q182" s="2395"/>
      <c r="R182" s="2397"/>
    </row>
    <row r="183" spans="1:18" s="2370" customFormat="1">
      <c r="B183" s="2395"/>
      <c r="C183" s="2395"/>
      <c r="D183" s="2395"/>
      <c r="E183" s="2395"/>
      <c r="F183" s="2395"/>
      <c r="G183" s="2396"/>
      <c r="H183" s="2395"/>
      <c r="I183" s="2396"/>
      <c r="J183" s="2395"/>
      <c r="K183" s="2395"/>
      <c r="L183" s="2396"/>
      <c r="M183" s="2395"/>
      <c r="N183" s="2395"/>
      <c r="O183" s="2396"/>
      <c r="P183" s="2395"/>
      <c r="Q183" s="2395"/>
      <c r="R183" s="2397"/>
    </row>
    <row r="184" spans="1:18" s="2370" customFormat="1">
      <c r="B184" s="2395"/>
      <c r="C184" s="2395"/>
      <c r="D184" s="2395"/>
      <c r="E184" s="2395"/>
      <c r="F184" s="2395"/>
      <c r="G184" s="2396"/>
      <c r="H184" s="2395"/>
      <c r="I184" s="2396"/>
      <c r="J184" s="2395"/>
      <c r="K184" s="2395"/>
      <c r="L184" s="2396"/>
      <c r="M184" s="2395"/>
      <c r="N184" s="2395"/>
      <c r="O184" s="2396"/>
      <c r="P184" s="2395"/>
      <c r="Q184" s="2395"/>
      <c r="R184" s="2397"/>
    </row>
    <row r="185" spans="1:18" s="2370"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70"/>
      <c r="B186" s="2395"/>
      <c r="C186" s="2395"/>
      <c r="E186" s="2395"/>
      <c r="F186" s="2395"/>
      <c r="G186" s="2396"/>
    </row>
    <row r="187" spans="1:18">
      <c r="A187" s="2370"/>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0</v>
      </c>
      <c r="C1" s="1746"/>
      <c r="D1" s="1746"/>
      <c r="E1" s="1746"/>
      <c r="F1" s="1746"/>
      <c r="G1" s="1744"/>
    </row>
    <row r="2" spans="1:10" ht="16.5">
      <c r="A2" s="1747" t="s">
        <v>1354</v>
      </c>
      <c r="B2" s="1747">
        <f>SUM(C14:C23)</f>
        <v>0</v>
      </c>
      <c r="C2" s="1746"/>
      <c r="D2" s="1746"/>
      <c r="E2" s="1746"/>
      <c r="F2" s="1746"/>
      <c r="G2" s="1744"/>
    </row>
    <row r="3" spans="1:10" ht="16.5">
      <c r="A3" s="1747" t="s">
        <v>1363</v>
      </c>
      <c r="B3" s="1748">
        <f>项目基本情况!D3</f>
        <v>43047</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t="e">
        <f ca="1">SUM(D14:D23)</f>
        <v>#N/A</v>
      </c>
      <c r="C5" s="1747" t="e">
        <f ca="1">ROUND(B5*10000/$B$1,0)</f>
        <v>#N/A</v>
      </c>
      <c r="D5" s="1747" t="e">
        <f ca="1">ROUND(B5*10000/$B$2,0)</f>
        <v>#N/A</v>
      </c>
      <c r="E5" s="1746"/>
      <c r="F5" s="1744"/>
      <c r="G5" s="1744"/>
    </row>
    <row r="6" spans="1:10" ht="16.5">
      <c r="A6" s="1747" t="s">
        <v>1357</v>
      </c>
      <c r="B6" s="1747" t="e">
        <f ca="1">SUM(G14:G23)</f>
        <v>#N/A</v>
      </c>
      <c r="C6" s="1747" t="e">
        <f ca="1">ROUND(B6*10000/$B$1,0)</f>
        <v>#N/A</v>
      </c>
      <c r="D6" s="1747" t="e">
        <f ca="1">ROUND(B6*10000/$B$2,0)</f>
        <v>#N/A</v>
      </c>
      <c r="E6" s="1746"/>
      <c r="F6" s="1744"/>
      <c r="G6" s="1744"/>
    </row>
    <row r="7" spans="1:10" ht="16.5">
      <c r="A7" s="1747" t="s">
        <v>1365</v>
      </c>
      <c r="B7" s="1747">
        <f>SUM(H14:H23)</f>
        <v>0</v>
      </c>
      <c r="C7" s="1747" t="e">
        <f>ROUND(B7*10000/$B$1,0)</f>
        <v>#DIV/0!</v>
      </c>
      <c r="D7" s="1747" t="e">
        <f>ROUND(B7*10000/$B$2,0)</f>
        <v>#DIV/0!</v>
      </c>
      <c r="E7" s="1746"/>
      <c r="F7" s="1744"/>
      <c r="G7" s="1744"/>
    </row>
    <row r="8" spans="1:10" ht="16.5">
      <c r="A8" s="1747" t="s">
        <v>1286</v>
      </c>
      <c r="B8" s="1747">
        <f>SUM(I14:I23)</f>
        <v>0</v>
      </c>
      <c r="C8" s="1747" t="e">
        <f>ROUND(B8*10000/$B$1,0)</f>
        <v>#DIV/0!</v>
      </c>
      <c r="D8" s="1747" t="e">
        <f>ROUND(B8*10000/$B$2,0)</f>
        <v>#DIV/0!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'结果表-凯富'!B118</f>
        <v>0</v>
      </c>
      <c r="C14" s="1745">
        <f>'结果表-凯富'!C118</f>
        <v>0</v>
      </c>
      <c r="D14" s="1745" t="e">
        <f ca="1">'结果表-凯富'!H118</f>
        <v>#N/A</v>
      </c>
      <c r="E14" s="1745" t="e">
        <f ca="1">ROUND(D14*10000/B14,0)</f>
        <v>#N/A</v>
      </c>
      <c r="F14" s="1745" t="e">
        <f ca="1">ROUND(D14*10000/C14,0)</f>
        <v>#N/A</v>
      </c>
      <c r="G14" s="1745" t="e">
        <f ca="1">'结果表-凯富'!D122</f>
        <v>#N/A</v>
      </c>
      <c r="H14" s="1745" t="str">
        <f>'结果表-凯富'!D124</f>
        <v>——</v>
      </c>
      <c r="I14" s="1745" t="str">
        <f>'结果表-凯富'!D126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8" t="s">
        <v>2114</v>
      </c>
      <c r="B1" s="2418"/>
      <c r="C1" s="2419" t="s">
        <v>3279</v>
      </c>
      <c r="D1" s="2418"/>
      <c r="E1" s="2418"/>
      <c r="F1" s="2420" t="s">
        <v>2115</v>
      </c>
      <c r="G1" s="2074" t="s">
        <v>3051</v>
      </c>
      <c r="H1" s="2421" t="str">
        <f>IF(G1="现房","——","估价对象范围")</f>
        <v>——</v>
      </c>
      <c r="I1" s="2422"/>
    </row>
    <row r="2" spans="1:12" ht="21.75" customHeight="1" thickBot="1">
      <c r="A2" s="3178" t="str">
        <f>项目基本情况!S2</f>
        <v>北京市朝阳区酒仙桥北路7号北侧房地产</v>
      </c>
      <c r="B2" s="3179"/>
      <c r="C2" s="3179"/>
      <c r="D2" s="3179"/>
      <c r="E2" s="3179"/>
      <c r="F2" s="3179"/>
      <c r="G2" s="3179"/>
      <c r="H2" s="3179"/>
      <c r="I2" s="3180"/>
    </row>
    <row r="3" spans="1:12" ht="12.75">
      <c r="A3" s="3182" t="s">
        <v>2116</v>
      </c>
      <c r="B3" s="3183"/>
      <c r="C3" s="3183"/>
      <c r="D3" s="3183"/>
      <c r="E3" s="3183"/>
      <c r="F3" s="3183"/>
      <c r="G3" s="3183"/>
      <c r="H3" s="3183"/>
      <c r="I3" s="3183"/>
    </row>
    <row r="4" spans="1:12" ht="14.25">
      <c r="A4" s="2425" t="s">
        <v>2117</v>
      </c>
      <c r="B4" s="2426" t="s">
        <v>2118</v>
      </c>
      <c r="C4" s="2427" t="s">
        <v>3264</v>
      </c>
      <c r="D4" s="2427" t="s">
        <v>3266</v>
      </c>
      <c r="E4" s="3175" t="s">
        <v>2119</v>
      </c>
      <c r="F4" s="3176"/>
      <c r="G4" s="3176"/>
      <c r="H4" s="3176"/>
      <c r="I4" s="3184"/>
      <c r="K4" s="2428" t="str">
        <f>IF(ISNUMBER(FIND("比较法",'结果表-凯富'!C4)),"比较法",IF(ISNUMBER(FIND("成本法",'结果表-凯富'!C4)),"成本法",IF(ISNUMBER(FIND("假设开发法",'结果表-凯富'!C4)),"假设开发法",IF(ISNUMBER(FIND("收益法",'结果表-凯富'!C4)),"收益法","基准地价系数修正法"))))</f>
        <v>比较法</v>
      </c>
      <c r="L4" s="2428" t="str">
        <f>IF(ISNUMBER(FIND("比较法",'结果表-凯富'!D4)),"比较法",IF(ISNUMBER(FIND("成本法",'结果表-凯富'!D4)),"成本法",IF(ISNUMBER(FIND("假设开发法",'结果表-凯富'!D4)),"假设开发法",IF(ISNUMBER(FIND("收益法",'结果表-凯富'!D4)),"收益法","基准地价系数修正法"))))</f>
        <v>收益法</v>
      </c>
    </row>
    <row r="5" spans="1:12" ht="12.75">
      <c r="A5" s="3158" t="s">
        <v>2120</v>
      </c>
      <c r="B5" s="3096">
        <v>25</v>
      </c>
      <c r="C5" s="3161"/>
      <c r="D5" s="3181"/>
      <c r="E5" s="139" t="s">
        <v>2121</v>
      </c>
      <c r="F5" s="2429"/>
      <c r="G5" s="2429"/>
      <c r="H5" s="2429"/>
      <c r="I5" s="1835"/>
    </row>
    <row r="6" spans="1:12" ht="12.75">
      <c r="A6" s="3158"/>
      <c r="B6" s="3096"/>
      <c r="C6" s="3162"/>
      <c r="D6" s="3181"/>
      <c r="E6" s="139" t="s">
        <v>2122</v>
      </c>
      <c r="F6" s="2429"/>
      <c r="G6" s="2429"/>
      <c r="H6" s="2429"/>
      <c r="I6" s="1835"/>
    </row>
    <row r="7" spans="1:12" ht="12.75">
      <c r="A7" s="3158"/>
      <c r="B7" s="3096"/>
      <c r="C7" s="3163"/>
      <c r="D7" s="3181"/>
      <c r="E7" s="139" t="s">
        <v>2123</v>
      </c>
      <c r="F7" s="2429"/>
      <c r="G7" s="2429"/>
      <c r="H7" s="2429"/>
      <c r="I7" s="1835"/>
    </row>
    <row r="8" spans="1:12" ht="12.75">
      <c r="A8" s="3158" t="s">
        <v>2124</v>
      </c>
      <c r="B8" s="3096">
        <v>15</v>
      </c>
      <c r="C8" s="3161"/>
      <c r="D8" s="3181"/>
      <c r="E8" s="139" t="s">
        <v>2125</v>
      </c>
      <c r="F8" s="2429"/>
      <c r="G8" s="2429"/>
      <c r="H8" s="2429"/>
      <c r="I8" s="1835"/>
    </row>
    <row r="9" spans="1:12" ht="12.75">
      <c r="A9" s="3158"/>
      <c r="B9" s="3096"/>
      <c r="C9" s="3163"/>
      <c r="D9" s="3181"/>
      <c r="E9" s="139" t="s">
        <v>2126</v>
      </c>
      <c r="F9" s="2429"/>
      <c r="G9" s="2429"/>
      <c r="H9" s="2429"/>
      <c r="I9" s="1835"/>
    </row>
    <row r="10" spans="1:12" ht="12.75">
      <c r="A10" s="3158" t="s">
        <v>2127</v>
      </c>
      <c r="B10" s="3096">
        <v>15</v>
      </c>
      <c r="C10" s="3161"/>
      <c r="D10" s="3181"/>
      <c r="E10" s="139" t="s">
        <v>2128</v>
      </c>
      <c r="F10" s="2429"/>
      <c r="G10" s="2429"/>
      <c r="H10" s="2429"/>
      <c r="I10" s="1835"/>
    </row>
    <row r="11" spans="1:12" ht="12.75">
      <c r="A11" s="3158"/>
      <c r="B11" s="3096"/>
      <c r="C11" s="3163"/>
      <c r="D11" s="3181"/>
      <c r="E11" s="139" t="s">
        <v>2129</v>
      </c>
      <c r="F11" s="2429"/>
      <c r="G11" s="2429"/>
      <c r="H11" s="2429"/>
      <c r="I11" s="1835"/>
    </row>
    <row r="12" spans="1:12" ht="12.75">
      <c r="A12" s="3158" t="s">
        <v>2130</v>
      </c>
      <c r="B12" s="3096">
        <v>15</v>
      </c>
      <c r="C12" s="3161"/>
      <c r="D12" s="3181"/>
      <c r="E12" s="139" t="s">
        <v>2131</v>
      </c>
      <c r="F12" s="2429"/>
      <c r="G12" s="2429"/>
      <c r="H12" s="2429"/>
      <c r="I12" s="1835"/>
    </row>
    <row r="13" spans="1:12" ht="12.75">
      <c r="A13" s="3158"/>
      <c r="B13" s="3096"/>
      <c r="C13" s="3163"/>
      <c r="D13" s="3181"/>
      <c r="E13" s="139" t="s">
        <v>2132</v>
      </c>
      <c r="F13" s="2429"/>
      <c r="G13" s="2429"/>
      <c r="H13" s="2429"/>
      <c r="I13" s="1835"/>
    </row>
    <row r="14" spans="1:12" ht="12.75">
      <c r="A14" s="3158" t="s">
        <v>2133</v>
      </c>
      <c r="B14" s="3096">
        <v>30</v>
      </c>
      <c r="C14" s="3161">
        <v>5</v>
      </c>
      <c r="D14" s="3181">
        <v>5</v>
      </c>
      <c r="E14" s="139" t="s">
        <v>2134</v>
      </c>
      <c r="F14" s="2429"/>
      <c r="G14" s="2429"/>
      <c r="H14" s="2429"/>
      <c r="I14" s="1835"/>
    </row>
    <row r="15" spans="1:12" ht="12.75">
      <c r="A15" s="3158"/>
      <c r="B15" s="3096"/>
      <c r="C15" s="3162"/>
      <c r="D15" s="3181"/>
      <c r="E15" s="139" t="s">
        <v>2135</v>
      </c>
      <c r="F15" s="2429"/>
      <c r="G15" s="2429"/>
      <c r="H15" s="2429"/>
      <c r="I15" s="1835"/>
    </row>
    <row r="16" spans="1:12" ht="12.75">
      <c r="A16" s="3158"/>
      <c r="B16" s="3096"/>
      <c r="C16" s="3163"/>
      <c r="D16" s="3181"/>
      <c r="E16" s="139" t="s">
        <v>2136</v>
      </c>
      <c r="F16" s="2429"/>
      <c r="G16" s="2429"/>
      <c r="H16" s="2429"/>
      <c r="I16" s="1835"/>
    </row>
    <row r="17" spans="1:35" ht="15">
      <c r="A17" s="2430" t="s">
        <v>2137</v>
      </c>
      <c r="B17" s="63"/>
      <c r="C17" s="140">
        <f>SUM(C5:C16)</f>
        <v>5</v>
      </c>
      <c r="D17" s="140">
        <f>SUM(D5:D16)</f>
        <v>5</v>
      </c>
      <c r="E17" s="137"/>
      <c r="F17" s="137"/>
      <c r="G17" s="137"/>
      <c r="H17" s="137"/>
      <c r="I17" s="137"/>
      <c r="K17" s="2428"/>
      <c r="L17" s="2431" t="s">
        <v>2138</v>
      </c>
      <c r="M17" s="2431" t="s">
        <v>2139</v>
      </c>
    </row>
    <row r="18" spans="1:35" ht="15.75" thickBot="1">
      <c r="A18" s="2432" t="s">
        <v>2140</v>
      </c>
      <c r="B18" s="2433"/>
      <c r="C18" s="141">
        <f>ROUND(C17/SUM(C17:D17),2)</f>
        <v>0.5</v>
      </c>
      <c r="D18" s="141">
        <f>1-C18</f>
        <v>0.5</v>
      </c>
      <c r="E18" s="137"/>
      <c r="F18" s="137"/>
      <c r="G18" s="137"/>
      <c r="H18" s="137"/>
      <c r="I18" s="137"/>
      <c r="K18" s="2428" t="s">
        <v>2141</v>
      </c>
      <c r="L18" s="2428">
        <f>IF(C1="",'数据-汇总表'!E3,SUMIF(项目类型,C1,'数据-汇总表'!E17:E26)+SUMIF(项目类型,C1,'数据-汇总表'!I17:I26))</f>
        <v>0</v>
      </c>
      <c r="M18" s="2428">
        <f>IF(C1="",'数据-汇总表'!E3,SUMIF(项目类型,C1,'数据-汇总表'!E17:E26))</f>
        <v>0</v>
      </c>
    </row>
    <row r="19" spans="1:35" ht="15">
      <c r="A19" s="2434" t="s">
        <v>2142</v>
      </c>
      <c r="B19" s="2435" t="s">
        <v>2143</v>
      </c>
      <c r="C19" s="142" t="e">
        <f ca="1">SUMIF(INDIRECT("'"&amp;C4&amp;"'"&amp;"!A:A"),'结果表-凯富'!B19,INDIRECT("'"&amp;C4&amp;"'"&amp;"!B:B"))</f>
        <v>#N/A</v>
      </c>
      <c r="D19" s="143" t="e">
        <f ca="1">SUMIF(INDIRECT("'"&amp;D4&amp;"'"&amp;"!A:A"),'结果表-凯富'!B19,INDIRECT("'"&amp;D4&amp;"'"&amp;"!B:B"))</f>
        <v>#N/A</v>
      </c>
      <c r="E19" s="2434" t="s">
        <v>2144</v>
      </c>
      <c r="F19" s="2435" t="s">
        <v>2143</v>
      </c>
      <c r="G19" s="144" t="e">
        <f ca="1">ROUND(C19*$C$18+D19*$D$18,0)</f>
        <v>#N/A</v>
      </c>
      <c r="H19" s="2436" t="s">
        <v>2145</v>
      </c>
      <c r="I19" s="137"/>
      <c r="K19" s="2428" t="s">
        <v>2146</v>
      </c>
      <c r="L19" s="2428">
        <f>IF(C1="",'数据-汇总表'!D3,SUMIF(项目类型,C1,'数据-汇总表'!D17:D26)+SUMIF(项目类型,C1,'数据-汇总表'!H17:H27))</f>
        <v>0</v>
      </c>
      <c r="M19" s="2428">
        <f>IF(C1="",'数据-汇总表'!D3,SUMIF(项目类型,C1,'数据-汇总表'!D17:D26))</f>
        <v>0</v>
      </c>
    </row>
    <row r="20" spans="1:35" ht="15">
      <c r="A20" s="2437"/>
      <c r="B20" s="1250" t="s">
        <v>2147</v>
      </c>
      <c r="C20" s="145" t="e">
        <f ca="1">SUMIF(INDIRECT("'"&amp;C4&amp;"'"&amp;"!A:A"),'结果表-凯富'!B20,INDIRECT("'"&amp;C4&amp;"'"&amp;"!B:B"))</f>
        <v>#N/A</v>
      </c>
      <c r="D20" s="146">
        <f ca="1">SUMIF(INDIRECT("'"&amp;D4&amp;"'"&amp;"!A:A"),'结果表-凯富'!B20,INDIRECT("'"&amp;D4&amp;"'"&amp;"!B:B"))</f>
        <v>0</v>
      </c>
      <c r="E20" s="2437"/>
      <c r="F20" s="1250" t="s">
        <v>2147</v>
      </c>
      <c r="G20" s="147" t="e">
        <f ca="1">ROUND(C20*$C$18+D20*$D$18,0)</f>
        <v>#N/A</v>
      </c>
      <c r="H20" s="983" t="s">
        <v>2148</v>
      </c>
      <c r="I20" s="137"/>
    </row>
    <row r="21" spans="1:35" ht="15" customHeight="1" thickBot="1">
      <c r="A21" s="1003"/>
      <c r="B21" s="2438" t="s">
        <v>2149</v>
      </c>
      <c r="C21" s="789" t="e">
        <f ca="1">ROUND(C19*10000/L19,0)</f>
        <v>#N/A</v>
      </c>
      <c r="D21" s="790" t="e">
        <f ca="1">ROUND(D19*10000/L19,0)</f>
        <v>#N/A</v>
      </c>
      <c r="E21" s="1003"/>
      <c r="F21" s="2438" t="s">
        <v>2149</v>
      </c>
      <c r="G21" s="148" t="e">
        <f ca="1">ROUND(G19*10000/L19,0)</f>
        <v>#N/A</v>
      </c>
      <c r="H21" s="2439" t="s">
        <v>2148</v>
      </c>
      <c r="I21" s="137"/>
    </row>
    <row r="22" spans="1:35" ht="15" thickBot="1">
      <c r="A22" s="2283" t="s">
        <v>2150</v>
      </c>
      <c r="B22" s="2440"/>
      <c r="C22" s="2441"/>
      <c r="D22" s="791" t="e">
        <f ca="1">IF(C19&lt;D19,D19/C19-1,C19/D19-1)</f>
        <v>#N/A</v>
      </c>
      <c r="E22" s="137"/>
      <c r="F22" s="137"/>
      <c r="G22" s="137"/>
      <c r="H22" s="137"/>
      <c r="I22" s="137"/>
    </row>
    <row r="23" spans="1:35" ht="13.5" thickBot="1">
      <c r="A23" s="2418"/>
      <c r="B23" s="2418"/>
      <c r="C23" s="2418"/>
      <c r="D23" s="2418"/>
      <c r="E23" s="137"/>
      <c r="F23" s="137"/>
      <c r="G23" s="137"/>
      <c r="H23" s="137"/>
      <c r="I23" s="137"/>
    </row>
    <row r="24" spans="1:35" ht="14.25">
      <c r="A24" s="3152" t="s">
        <v>2151</v>
      </c>
      <c r="B24" s="2435" t="s">
        <v>2143</v>
      </c>
      <c r="C24" s="144">
        <f>IF(B30=0,0,D30)</f>
        <v>0</v>
      </c>
      <c r="D24" s="2442"/>
      <c r="E24" s="137"/>
      <c r="F24" s="137"/>
      <c r="G24" s="137"/>
      <c r="H24" s="137"/>
      <c r="I24" s="137"/>
    </row>
    <row r="25" spans="1:35" ht="14.25">
      <c r="A25" s="3153"/>
      <c r="B25" s="1250" t="s">
        <v>2147</v>
      </c>
      <c r="C25" s="149">
        <f>IF(B30=0,0,C30)</f>
        <v>0</v>
      </c>
      <c r="D25" s="2443"/>
      <c r="E25" s="137"/>
      <c r="F25" s="137"/>
      <c r="G25" s="137"/>
      <c r="H25" s="137"/>
      <c r="I25" s="137"/>
    </row>
    <row r="26" spans="1:35" ht="13.5" customHeight="1">
      <c r="A26" s="2444" t="s">
        <v>2152</v>
      </c>
      <c r="B26" s="150" t="s">
        <v>2153</v>
      </c>
      <c r="C26" s="150" t="s">
        <v>2154</v>
      </c>
      <c r="D26" s="151" t="s">
        <v>2155</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2" t="s">
        <v>2156</v>
      </c>
      <c r="B30" s="152">
        <f>SUM(B27:B29)</f>
        <v>0</v>
      </c>
      <c r="C30" s="152" t="e">
        <f>ROUND(D30*10000/B30,0)</f>
        <v>#DIV/0!</v>
      </c>
      <c r="D30" s="152">
        <f>SUM(D27:D29)</f>
        <v>0</v>
      </c>
      <c r="E30" s="137"/>
      <c r="F30" s="137"/>
      <c r="G30" s="137"/>
      <c r="H30" s="137"/>
      <c r="I30" s="137"/>
    </row>
    <row r="31" spans="1:35" s="2446" customFormat="1" ht="15" thickBot="1">
      <c r="A31" s="2445"/>
      <c r="B31" s="2445"/>
      <c r="C31" s="2445"/>
      <c r="D31" s="2445"/>
      <c r="E31" s="137"/>
      <c r="F31" s="137"/>
      <c r="G31" s="137"/>
      <c r="H31" s="137"/>
      <c r="I31" s="137"/>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2157</v>
      </c>
      <c r="B32" s="2448"/>
      <c r="C32" s="153" t="e">
        <f ca="1">IF(D32="总价",G19-C24,G20-C25)</f>
        <v>#N/A</v>
      </c>
      <c r="D32" s="2449" t="s">
        <v>2158</v>
      </c>
      <c r="E32" s="137"/>
      <c r="F32" s="137"/>
      <c r="G32" s="137"/>
      <c r="H32" s="137"/>
      <c r="I32" s="137"/>
    </row>
    <row r="33" spans="1:15" ht="15">
      <c r="A33" s="960" t="s">
        <v>2159</v>
      </c>
      <c r="B33" s="2450"/>
      <c r="C33" s="2451"/>
      <c r="D33" s="2452"/>
      <c r="E33" s="2453" t="s">
        <v>2160</v>
      </c>
      <c r="F33" s="2454" t="str">
        <f>IF(D32="楼面单价","取值（单价）","取值（总价）")</f>
        <v>取值（总价）</v>
      </c>
      <c r="G33" s="137"/>
      <c r="H33" s="137"/>
      <c r="I33" s="137"/>
    </row>
    <row r="34" spans="1:15" ht="15">
      <c r="A34" s="2455"/>
      <c r="B34" s="2456" t="s">
        <v>2161</v>
      </c>
      <c r="C34" s="157" t="e">
        <f ca="1">IF(C33="自定义",F34,C32-C35)</f>
        <v>#N/A</v>
      </c>
      <c r="D34" s="1058" t="e">
        <f ca="1">IF(C33="自定义",ROUND(C34/C32,3),IF(C33="收益比率",SUMIF(INDIRECT("'"&amp;D33&amp;"'"&amp;"!b:b"),"土地收益比率",INDIRECT("'"&amp;D33&amp;"'"&amp;"!c:c")),SUMIF(INDIRECT("'"&amp;D33&amp;"'"&amp;"!b:b"),"土地成本比率",INDIRECT("'"&amp;D33&amp;"'"&amp;"!c:c"))))</f>
        <v>#REF!</v>
      </c>
      <c r="E34" s="2457" t="s">
        <v>2162</v>
      </c>
      <c r="F34" s="1740"/>
      <c r="G34" s="137"/>
      <c r="H34" s="137"/>
      <c r="I34" s="137"/>
    </row>
    <row r="35" spans="1:15" ht="15.75" thickBot="1">
      <c r="A35" s="2458"/>
      <c r="B35" s="2459" t="s">
        <v>2163</v>
      </c>
      <c r="C35" s="1444" t="e">
        <f ca="1">IF(C33="自定义",F35,ROUND(C32*D35,0))</f>
        <v>#N/A</v>
      </c>
      <c r="D35" s="1445" t="e">
        <f ca="1">IF(C33="自定义",ROUND(C35/C32,3),IF(C33="收益比率",SUMIF(INDIRECT("'"&amp;D33&amp;"'"&amp;"!b:b"),"建筑物收益比率",INDIRECT("'"&amp;D33&amp;"'"&amp;"!c:c")),SUMIF(INDIRECT("'"&amp;D33&amp;"'"&amp;"!b:b"),"建筑物成本比率",INDIRECT("'"&amp;D33&amp;"'"&amp;"!c:c"))))</f>
        <v>#REF!</v>
      </c>
      <c r="E35" s="2460" t="s">
        <v>2164</v>
      </c>
      <c r="F35" s="163"/>
      <c r="G35" s="137"/>
      <c r="H35" s="137"/>
      <c r="I35" s="137"/>
    </row>
    <row r="36" spans="1:15" ht="15.75" thickBot="1">
      <c r="A36" s="3170" t="s">
        <v>2165</v>
      </c>
      <c r="B36" s="2461" t="s">
        <v>2166</v>
      </c>
      <c r="C36" s="154"/>
      <c r="D36" s="2462"/>
      <c r="E36" s="2463"/>
      <c r="F36" s="2464"/>
      <c r="G36" s="137"/>
      <c r="H36" s="137"/>
      <c r="I36" s="137"/>
    </row>
    <row r="37" spans="1:15" ht="15.75" thickBot="1">
      <c r="A37" s="3171"/>
      <c r="B37" s="2269" t="s">
        <v>2167</v>
      </c>
      <c r="C37" s="156"/>
      <c r="D37" s="1395"/>
      <c r="E37" s="1395"/>
      <c r="F37" s="2464"/>
      <c r="G37" s="137"/>
      <c r="H37" s="137"/>
      <c r="I37" s="137"/>
    </row>
    <row r="38" spans="1:15" ht="15.75" thickBot="1">
      <c r="A38" s="3172"/>
      <c r="B38" s="2465" t="s">
        <v>2168</v>
      </c>
      <c r="C38" s="727"/>
      <c r="D38" s="2466" t="s">
        <v>2169</v>
      </c>
      <c r="E38" s="1395"/>
      <c r="F38" s="2464"/>
      <c r="G38" s="137"/>
      <c r="H38" s="137"/>
      <c r="I38" s="137"/>
    </row>
    <row r="39" spans="1:15" ht="15">
      <c r="A39" s="2437" t="s">
        <v>2170</v>
      </c>
      <c r="B39" s="2467" t="s">
        <v>2171</v>
      </c>
      <c r="C39" s="2468" t="s">
        <v>2172</v>
      </c>
      <c r="D39" s="2468" t="s">
        <v>2173</v>
      </c>
      <c r="E39" s="2469" t="s">
        <v>2174</v>
      </c>
      <c r="F39" s="2464"/>
      <c r="G39" s="137"/>
      <c r="H39" s="137"/>
      <c r="I39" s="137"/>
    </row>
    <row r="40" spans="1:15" ht="14.25">
      <c r="A40" s="2470" t="s">
        <v>2175</v>
      </c>
      <c r="B40" s="158"/>
      <c r="C40" s="159"/>
      <c r="D40" s="159"/>
      <c r="E40" s="160"/>
      <c r="F40" s="2464"/>
      <c r="G40" s="137"/>
      <c r="H40" s="137"/>
      <c r="I40" s="137"/>
    </row>
    <row r="41" spans="1:15" ht="14.25">
      <c r="A41" s="2470" t="s">
        <v>2176</v>
      </c>
      <c r="B41" s="158"/>
      <c r="C41" s="159"/>
      <c r="D41" s="159"/>
      <c r="E41" s="160"/>
      <c r="F41" s="2464"/>
      <c r="G41" s="137"/>
      <c r="H41" s="137"/>
      <c r="I41" s="137"/>
    </row>
    <row r="42" spans="1:15" ht="15" thickBot="1">
      <c r="A42" s="2471"/>
      <c r="B42" s="161"/>
      <c r="C42" s="162"/>
      <c r="D42" s="162"/>
      <c r="E42" s="163"/>
      <c r="F42" s="2464"/>
      <c r="G42" s="137"/>
      <c r="H42" s="137"/>
      <c r="I42" s="137"/>
    </row>
    <row r="43" spans="1:15" ht="12.75">
      <c r="A43" s="2168"/>
      <c r="B43" s="2168"/>
      <c r="C43" s="2168"/>
      <c r="D43" s="2168"/>
      <c r="E43" s="2168"/>
      <c r="F43" s="2472"/>
      <c r="G43" s="2472"/>
      <c r="H43" s="2472"/>
      <c r="I43" s="2473"/>
    </row>
    <row r="44" spans="1:15" ht="18.75">
      <c r="A44" s="2474" t="s">
        <v>2177</v>
      </c>
      <c r="B44" s="2475"/>
      <c r="C44" s="2475"/>
      <c r="D44" s="2476"/>
      <c r="E44" s="2476"/>
      <c r="F44" s="2477"/>
      <c r="G44" s="2477"/>
      <c r="H44" s="2477"/>
      <c r="I44" s="2477"/>
      <c r="J44" s="2478" t="s">
        <v>2178</v>
      </c>
      <c r="K44" s="2479"/>
      <c r="L44" s="2479"/>
      <c r="M44" s="2479"/>
      <c r="N44" s="2479"/>
      <c r="O44" s="2479"/>
    </row>
    <row r="45" spans="1:15" ht="14.25" customHeight="1" thickBot="1">
      <c r="A45" s="3149" t="s">
        <v>2179</v>
      </c>
      <c r="B45" s="3150"/>
      <c r="C45" s="3151"/>
      <c r="D45" s="164" t="e">
        <f ca="1">ROUND(H101*F45,0)</f>
        <v>#N/A</v>
      </c>
      <c r="E45" s="165" t="s">
        <v>2180</v>
      </c>
      <c r="F45" s="166">
        <v>1</v>
      </c>
      <c r="G45" s="167" t="s">
        <v>2181</v>
      </c>
      <c r="H45" s="137"/>
      <c r="I45" s="137"/>
      <c r="J45" s="3209" t="s">
        <v>2182</v>
      </c>
      <c r="K45" s="3209"/>
      <c r="L45" s="3209"/>
      <c r="M45" s="3209"/>
      <c r="N45" s="3209"/>
      <c r="O45" s="3209"/>
    </row>
    <row r="46" spans="1:15" ht="14.25" customHeight="1">
      <c r="A46" s="3146" t="s">
        <v>2183</v>
      </c>
      <c r="B46" s="3147"/>
      <c r="C46" s="3147"/>
      <c r="D46" s="3147"/>
      <c r="E46" s="3147"/>
      <c r="F46" s="3147"/>
      <c r="G46" s="3148"/>
      <c r="H46" s="2480"/>
      <c r="I46" s="168"/>
      <c r="J46" s="1813">
        <v>1</v>
      </c>
      <c r="K46" s="3209" t="s">
        <v>2184</v>
      </c>
      <c r="L46" s="3209"/>
      <c r="M46" s="3229"/>
      <c r="N46" s="3229"/>
      <c r="O46" s="3229"/>
    </row>
    <row r="47" spans="1:15" ht="12" customHeight="1">
      <c r="A47" s="169" t="s">
        <v>2185</v>
      </c>
      <c r="B47" s="170"/>
      <c r="C47" s="171"/>
      <c r="D47" s="172" t="s">
        <v>2186</v>
      </c>
      <c r="E47" s="23" t="s">
        <v>2187</v>
      </c>
      <c r="F47" s="173" t="s">
        <v>2188</v>
      </c>
      <c r="G47" s="174" t="s">
        <v>2189</v>
      </c>
      <c r="H47" s="2480"/>
      <c r="I47" s="168"/>
      <c r="J47" s="1813">
        <v>2</v>
      </c>
      <c r="K47" s="3209" t="s">
        <v>2190</v>
      </c>
      <c r="L47" s="3209"/>
      <c r="M47" s="3230">
        <f>'数据-取费表'!B2</f>
        <v>43047</v>
      </c>
      <c r="N47" s="3230"/>
      <c r="O47" s="3230"/>
    </row>
    <row r="48" spans="1:15" ht="25.5">
      <c r="A48" s="3177" t="s">
        <v>2191</v>
      </c>
      <c r="B48" s="3160"/>
      <c r="C48" s="3160"/>
      <c r="D48" s="139">
        <f>IF(H48="情况1",0,IF(H48="情况2",D52,IF(H48="情况3",D53,IF(H48="情况4",D54))))</f>
        <v>0</v>
      </c>
      <c r="E48" s="1802" t="str">
        <f>IF(H48="情况4","(销售额-原购置价)×税（费）率","销售额×税（费）率")</f>
        <v>销售额×税（费）率</v>
      </c>
      <c r="F48" s="175" t="str">
        <f>IF(H48="情况1","免征",'数据-取费表'!B41)</f>
        <v>免征</v>
      </c>
      <c r="G48" s="2481" t="s">
        <v>2192</v>
      </c>
      <c r="H48" s="2482" t="s">
        <v>2193</v>
      </c>
      <c r="I48" s="2480"/>
      <c r="J48" s="1813">
        <v>3</v>
      </c>
      <c r="K48" s="3209" t="s">
        <v>2194</v>
      </c>
      <c r="L48" s="3209"/>
      <c r="M48" s="3231" t="e">
        <f ca="1">H101</f>
        <v>#N/A</v>
      </c>
      <c r="N48" s="3231"/>
      <c r="O48" s="3231"/>
    </row>
    <row r="49" spans="1:35" ht="25.5" customHeight="1">
      <c r="A49" s="176" t="s">
        <v>2195</v>
      </c>
      <c r="B49" s="3145" t="s">
        <v>2196</v>
      </c>
      <c r="C49" s="3145"/>
      <c r="D49" s="177">
        <v>0</v>
      </c>
      <c r="E49" s="22" t="s">
        <v>2197</v>
      </c>
      <c r="F49" s="27" t="s">
        <v>34</v>
      </c>
      <c r="G49" s="3215"/>
      <c r="H49" s="137"/>
      <c r="I49" s="2483"/>
      <c r="J49" s="1813">
        <v>4</v>
      </c>
      <c r="K49" s="3209" t="str">
        <f>IF(项目基本情况!E8="房地产抵押价值","房地产抵押价值","抵押担保权已注销时的房地产抵押价值")</f>
        <v>房地产抵押价值</v>
      </c>
      <c r="L49" s="3209"/>
      <c r="M49" s="3231" t="e">
        <f ca="1">IF(项目基本情况!E8="房地产抵押价值",H107,H109)</f>
        <v>#N/A</v>
      </c>
      <c r="N49" s="3231"/>
      <c r="O49" s="3231"/>
    </row>
    <row r="50" spans="1:35" ht="25.5" customHeight="1">
      <c r="A50" s="178"/>
      <c r="B50" s="3145" t="s">
        <v>2198</v>
      </c>
      <c r="C50" s="3145"/>
      <c r="D50" s="179"/>
      <c r="E50" s="30"/>
      <c r="F50" s="180"/>
      <c r="G50" s="3216"/>
      <c r="H50" s="137"/>
      <c r="I50" s="2483"/>
      <c r="J50" s="3209" t="s">
        <v>2199</v>
      </c>
      <c r="K50" s="3209"/>
      <c r="L50" s="3209"/>
      <c r="M50" s="3209"/>
      <c r="N50" s="3209"/>
      <c r="O50" s="3209"/>
    </row>
    <row r="51" spans="1:35" ht="12" customHeight="1">
      <c r="A51" s="181"/>
      <c r="B51" s="3145" t="s">
        <v>2200</v>
      </c>
      <c r="C51" s="3145"/>
      <c r="D51" s="182"/>
      <c r="E51" s="29"/>
      <c r="F51" s="180"/>
      <c r="G51" s="3217"/>
      <c r="H51" s="137"/>
      <c r="I51" s="2483"/>
      <c r="J51" s="2484" t="s">
        <v>2201</v>
      </c>
      <c r="K51" s="3209" t="s">
        <v>2202</v>
      </c>
      <c r="L51" s="3209"/>
      <c r="M51" s="2484" t="s">
        <v>2203</v>
      </c>
      <c r="N51" s="2484" t="s">
        <v>2204</v>
      </c>
      <c r="O51" s="2484" t="s">
        <v>2205</v>
      </c>
    </row>
    <row r="52" spans="1:35" ht="24" customHeight="1">
      <c r="A52" s="183" t="s">
        <v>2206</v>
      </c>
      <c r="B52" s="3145" t="s">
        <v>2207</v>
      </c>
      <c r="C52" s="3145"/>
      <c r="D52" s="182" t="e">
        <f ca="1">ROUND(D45*'数据-取费表'!B41/(1+'数据-取费表'!C42),0)</f>
        <v>#N/A</v>
      </c>
      <c r="E52" s="11" t="s">
        <v>2208</v>
      </c>
      <c r="F52" s="184">
        <f>'数据-取费表'!B41</f>
        <v>5.6000000000000001E-2</v>
      </c>
      <c r="G52" s="2485"/>
      <c r="H52" s="137"/>
      <c r="I52" s="2483"/>
      <c r="J52" s="1813">
        <v>1</v>
      </c>
      <c r="K52" s="3210" t="s">
        <v>2209</v>
      </c>
      <c r="L52" s="3210"/>
      <c r="M52" s="1755">
        <f>D48</f>
        <v>0</v>
      </c>
      <c r="N52" s="1813" t="str">
        <f>E48</f>
        <v>销售额×税（费）率</v>
      </c>
      <c r="O52" s="1756" t="str">
        <f>F48</f>
        <v>免征</v>
      </c>
    </row>
    <row r="53" spans="1:35" ht="12" customHeight="1">
      <c r="A53" s="183" t="s">
        <v>2210</v>
      </c>
      <c r="B53" s="3168" t="s">
        <v>2211</v>
      </c>
      <c r="C53" s="3169"/>
      <c r="D53" s="182" t="e">
        <f ca="1">ROUND(D45*'数据-取费表'!B41/(1+'数据-取费表'!C42),0)</f>
        <v>#N/A</v>
      </c>
      <c r="E53" s="11" t="s">
        <v>2208</v>
      </c>
      <c r="F53" s="184">
        <f>'数据-取费表'!B41</f>
        <v>5.6000000000000001E-2</v>
      </c>
      <c r="G53" s="2485"/>
      <c r="H53" s="137"/>
      <c r="I53" s="2483"/>
      <c r="J53" s="1813">
        <v>2</v>
      </c>
      <c r="K53" s="3210" t="s">
        <v>2212</v>
      </c>
      <c r="L53" s="3210"/>
      <c r="M53" s="1755" t="e">
        <f t="shared" ref="M53:O54" ca="1" si="0">D55</f>
        <v>#N/A</v>
      </c>
      <c r="N53" s="1813" t="str">
        <f t="shared" si="0"/>
        <v>销售额×税（费）率</v>
      </c>
      <c r="O53" s="1756">
        <f t="shared" si="0"/>
        <v>5.0000000000000001E-4</v>
      </c>
    </row>
    <row r="54" spans="1:35" ht="12" customHeight="1">
      <c r="A54" s="183" t="s">
        <v>2213</v>
      </c>
      <c r="B54" s="3168" t="s">
        <v>2214</v>
      </c>
      <c r="C54" s="3169"/>
      <c r="D54" s="182" t="e">
        <f ca="1">C68</f>
        <v>#N/A</v>
      </c>
      <c r="E54" s="29" t="s">
        <v>2215</v>
      </c>
      <c r="F54" s="184">
        <f>'数据-取费表'!B41</f>
        <v>5.6000000000000001E-2</v>
      </c>
      <c r="G54" s="2485"/>
      <c r="H54" s="2486"/>
      <c r="I54" s="2483"/>
      <c r="J54" s="1813">
        <v>3</v>
      </c>
      <c r="K54" s="3210" t="s">
        <v>2216</v>
      </c>
      <c r="L54" s="3210"/>
      <c r="M54" s="1755" t="e">
        <f t="shared" ca="1" si="0"/>
        <v>#N/A</v>
      </c>
      <c r="N54" s="1813" t="str">
        <f t="shared" si="0"/>
        <v>增值额×税（费）率</v>
      </c>
      <c r="O54" s="1757" t="str">
        <f t="shared" si="0"/>
        <v>——</v>
      </c>
    </row>
    <row r="55" spans="1:35" ht="24" customHeight="1">
      <c r="A55" s="3159" t="s">
        <v>2217</v>
      </c>
      <c r="B55" s="3160"/>
      <c r="C55" s="3160"/>
      <c r="D55" s="185" t="e">
        <f ca="1">IF(H55="个人住宅",0,ROUND(D45*I55,0))</f>
        <v>#N/A</v>
      </c>
      <c r="E55" s="11" t="s">
        <v>2218</v>
      </c>
      <c r="F55" s="184">
        <f>IF(H55="正常",I55,"免征")</f>
        <v>5.0000000000000001E-4</v>
      </c>
      <c r="G55" s="2485"/>
      <c r="H55" s="2482" t="s">
        <v>2219</v>
      </c>
      <c r="I55" s="186">
        <f>'数据-取费表'!B49</f>
        <v>5.0000000000000001E-4</v>
      </c>
      <c r="J55" s="1813" t="str">
        <f>IF(H59="非个人房产","",4)</f>
        <v/>
      </c>
      <c r="K55" s="3210" t="str">
        <f>IF(H59="非个人房产","——","个人所得税")</f>
        <v>——</v>
      </c>
      <c r="L55" s="3210"/>
      <c r="M55" s="1758" t="str">
        <f>D59</f>
        <v>——</v>
      </c>
      <c r="N55" s="1811" t="str">
        <f>E59</f>
        <v>——</v>
      </c>
      <c r="O55" s="1759" t="str">
        <f>F59</f>
        <v>——</v>
      </c>
    </row>
    <row r="56" spans="1:35" ht="24.75">
      <c r="A56" s="3159" t="s">
        <v>2220</v>
      </c>
      <c r="B56" s="3160"/>
      <c r="C56" s="3160"/>
      <c r="D56" s="185" t="e">
        <f ca="1">IF(H56="个人住宅",D57,D58)</f>
        <v>#N/A</v>
      </c>
      <c r="E56" s="11" t="s">
        <v>2221</v>
      </c>
      <c r="F56" s="184" t="str">
        <f>IF(H56="正常",F58,"免征")</f>
        <v>——</v>
      </c>
      <c r="G56" s="2487" t="s">
        <v>2222</v>
      </c>
      <c r="H56" s="2488" t="s">
        <v>2219</v>
      </c>
      <c r="I56" s="2489"/>
      <c r="J56" s="1813" t="str">
        <f>IF(项目基本情况!K6="上海银行",IF(J55="",4,J55+1),"")</f>
        <v/>
      </c>
      <c r="K56" s="3233" t="str">
        <f>IF(项目基本情况!K6="上海银行","其他处置费用","")</f>
        <v/>
      </c>
      <c r="L56" s="3234"/>
      <c r="M56" s="1755" t="str">
        <f>IF(项目基本情况!K6="上海银行",M69,"")</f>
        <v/>
      </c>
      <c r="N56" s="3236" t="str">
        <f>IF(项目基本情况!K6="上海银行","包含处置中涉及的律师、诉讼、拍卖、评估等费用","")</f>
        <v/>
      </c>
      <c r="O56" s="3237"/>
    </row>
    <row r="57" spans="1:35" ht="12.75">
      <c r="A57" s="183" t="s">
        <v>2195</v>
      </c>
      <c r="B57" s="3175" t="s">
        <v>2223</v>
      </c>
      <c r="C57" s="3184"/>
      <c r="D57" s="187">
        <v>0</v>
      </c>
      <c r="E57" s="22" t="s">
        <v>2197</v>
      </c>
      <c r="F57" s="155"/>
      <c r="G57" s="2485"/>
      <c r="H57" s="2489"/>
      <c r="I57" s="2489"/>
      <c r="J57" s="3210">
        <f>IF(AND(J55="",J56=""),4,IF(项目基本情况!K6="上海银行",'结果表-凯富'!J56+1,'结果表-凯富'!J55+1))</f>
        <v>4</v>
      </c>
      <c r="K57" s="3210" t="s">
        <v>2224</v>
      </c>
      <c r="L57" s="2490" t="s">
        <v>2225</v>
      </c>
      <c r="M57" s="1760"/>
      <c r="N57" s="1761">
        <f ca="1">SUMIF(M52:M56,"&lt;9e307")</f>
        <v>0</v>
      </c>
      <c r="O57" s="2491"/>
      <c r="P57" s="1754" t="e">
        <f ca="1">N57/M49</f>
        <v>#N/A</v>
      </c>
    </row>
    <row r="58" spans="1:35" ht="24.75">
      <c r="A58" s="183" t="s">
        <v>2206</v>
      </c>
      <c r="B58" s="3175" t="s">
        <v>2226</v>
      </c>
      <c r="C58" s="3176"/>
      <c r="D58" s="185" t="e">
        <f ca="1">IF(H58="转让取得",C81,C97)</f>
        <v>#N/A</v>
      </c>
      <c r="E58" s="11" t="s">
        <v>2221</v>
      </c>
      <c r="F58" s="23" t="s">
        <v>34</v>
      </c>
      <c r="G58" s="2485"/>
      <c r="H58" s="2488" t="s">
        <v>2227</v>
      </c>
      <c r="I58" s="2489"/>
      <c r="J58" s="3210"/>
      <c r="K58" s="3210"/>
      <c r="L58" s="2490" t="s">
        <v>2228</v>
      </c>
      <c r="M58" s="1762"/>
      <c r="N58" s="2492" t="str">
        <f ca="1">NUMBERSTRING(INT(N57*10000),2)&amp;"元整"</f>
        <v>零元整</v>
      </c>
      <c r="O58" s="2493"/>
    </row>
    <row r="59" spans="1:35" ht="24.75" thickBot="1">
      <c r="A59" s="3213" t="s">
        <v>2229</v>
      </c>
      <c r="B59" s="3214"/>
      <c r="C59" s="3214"/>
      <c r="D59" s="188" t="str">
        <f>IF(H59="非个人房产","——",IF(H59="个人住宅",0,ROUND(D45*I59,0)))</f>
        <v>——</v>
      </c>
      <c r="E59" s="189" t="str">
        <f>IF(H59="非个人房产","——","销售额×税（费）率")</f>
        <v>——</v>
      </c>
      <c r="F59" s="190" t="str">
        <f>IF(H59="非个人房产","——",IF(H59="个人住宅","免征",I59))</f>
        <v>——</v>
      </c>
      <c r="G59" s="2494" t="s">
        <v>2222</v>
      </c>
      <c r="H59" s="2488" t="s">
        <v>2230</v>
      </c>
      <c r="I59" s="191">
        <v>0.01</v>
      </c>
      <c r="J59" s="3211">
        <f>J57+1</f>
        <v>5</v>
      </c>
      <c r="K59" s="3210" t="s">
        <v>2231</v>
      </c>
      <c r="L59" s="1813" t="s">
        <v>2225</v>
      </c>
      <c r="M59" s="1763"/>
      <c r="N59" s="1764" t="e">
        <f ca="1">M49-N57</f>
        <v>#N/A</v>
      </c>
      <c r="O59" s="2495"/>
    </row>
    <row r="60" spans="1:35" ht="12" customHeight="1">
      <c r="A60" s="2496"/>
      <c r="B60" s="2418"/>
      <c r="C60" s="2418"/>
      <c r="D60" s="2418"/>
      <c r="E60" s="2169"/>
      <c r="F60" s="2489"/>
      <c r="G60" s="2489"/>
      <c r="H60" s="2497"/>
      <c r="I60" s="137"/>
      <c r="J60" s="3212"/>
      <c r="K60" s="3210"/>
      <c r="L60" s="2490" t="s">
        <v>2228</v>
      </c>
      <c r="M60" s="1762"/>
      <c r="N60" s="2492" t="e">
        <f ca="1">NUMBERSTRING(INT(N59*10000),2)&amp;"元整"</f>
        <v>#N/A</v>
      </c>
      <c r="O60" s="2493"/>
    </row>
    <row r="61" spans="1:35" ht="13.5" thickBot="1">
      <c r="A61" s="3157" t="s">
        <v>2232</v>
      </c>
      <c r="B61" s="3157"/>
      <c r="C61" s="3157"/>
      <c r="D61" s="3157"/>
      <c r="E61" s="3157"/>
      <c r="F61" s="2489"/>
      <c r="G61" s="2489"/>
      <c r="H61" s="2497"/>
      <c r="I61" s="137"/>
      <c r="J61" s="1813">
        <f>J59+1</f>
        <v>6</v>
      </c>
      <c r="K61" s="3210" t="s">
        <v>2233</v>
      </c>
      <c r="L61" s="3210"/>
      <c r="M61" s="1765"/>
      <c r="N61" s="1766" t="e">
        <f ca="1">ROUND(N59*10000/'数据-汇总表'!E3,0)</f>
        <v>#N/A</v>
      </c>
      <c r="O61" s="2498"/>
    </row>
    <row r="62" spans="1:35" ht="12.75">
      <c r="A62" s="3173" t="s">
        <v>2234</v>
      </c>
      <c r="B62" s="3174"/>
      <c r="C62" s="1805"/>
      <c r="D62" s="1805" t="s">
        <v>2235</v>
      </c>
      <c r="E62" s="192" t="s">
        <v>2236</v>
      </c>
      <c r="F62" s="2489"/>
      <c r="G62" s="2489"/>
      <c r="H62" s="2497"/>
      <c r="I62" s="137"/>
    </row>
    <row r="63" spans="1:35" ht="12.75">
      <c r="A63" s="203" t="s">
        <v>775</v>
      </c>
      <c r="B63" s="193" t="s">
        <v>2237</v>
      </c>
      <c r="C63" s="194" t="e">
        <f ca="1">ROUND((C64+C65)/(1+'数据-取费表'!C42),0)</f>
        <v>#N/A</v>
      </c>
      <c r="D63" s="195"/>
      <c r="E63" s="196"/>
      <c r="F63" s="2489"/>
      <c r="G63" s="2489"/>
      <c r="H63" s="2497"/>
      <c r="I63" s="137"/>
      <c r="J63" s="3235" t="s">
        <v>2238</v>
      </c>
      <c r="K63" s="2499" t="s">
        <v>2239</v>
      </c>
      <c r="L63" s="1753" t="e">
        <f ca="1">IF(M49&gt;10000,M49*0.5%,IF(AND(M49&gt;1000,M49&lt;=10000),M49*1%,IF(AND(M49&gt;100,M49&lt;=1000),M49*3%,IF(AND(M49&gt;10,M49&lt;=100),M49*5%,M49*8%))))</f>
        <v>#N/A</v>
      </c>
      <c r="M63" s="23" t="e">
        <f ca="1">ROUND(L63,1)</f>
        <v>#N/A</v>
      </c>
      <c r="Z63" s="2423"/>
      <c r="AI63" s="2424"/>
    </row>
    <row r="64" spans="1:35" ht="14.25" customHeight="1">
      <c r="A64" s="197" t="s">
        <v>770</v>
      </c>
      <c r="B64" s="198" t="s">
        <v>2240</v>
      </c>
      <c r="C64" s="199" t="e">
        <f ca="1">D45</f>
        <v>#N/A</v>
      </c>
      <c r="D64" s="200" t="s">
        <v>32</v>
      </c>
      <c r="E64" s="201"/>
      <c r="F64" s="2489"/>
      <c r="G64" s="2489"/>
      <c r="H64" s="2497"/>
      <c r="I64" s="137"/>
      <c r="J64" s="3235"/>
      <c r="K64" s="2499" t="s">
        <v>2241</v>
      </c>
      <c r="L64" s="1753" t="e">
        <f ca="1">IF(M49&gt;2000,M49*0.5%,IF(AND(M49&gt;1000,M49&lt;=2000),M49*0.6%,IF(AND(M49&gt;500,M49&lt;=1000),M49*0.7%,IF(AND(M49&gt;200,M49&lt;=500),M49*0.8%,IF(AND(M49&gt;100,M49&lt;=200),M49*0.9%,IF(AND(M49&gt;50,M49&lt;=100),M49*1%,IF(AND(M49&gt;20,M49&lt;=50),M49*1.5%,IF(AND(M49&gt;10,M49&lt;=20),M49*2%,IF(AND(M49&gt;1,M49&lt;=10),M49*2.5%)))))))))</f>
        <v>#N/A</v>
      </c>
      <c r="M64" s="23" t="e">
        <f t="shared" ref="M64:M65" ca="1" si="1">ROUND(L64,1)</f>
        <v>#N/A</v>
      </c>
      <c r="N64" s="137" t="s">
        <v>2242</v>
      </c>
      <c r="Z64" s="2423"/>
      <c r="AI64" s="2424"/>
    </row>
    <row r="65" spans="1:35" ht="14.25" customHeight="1">
      <c r="A65" s="197" t="s">
        <v>771</v>
      </c>
      <c r="B65" s="198" t="s">
        <v>2243</v>
      </c>
      <c r="C65" s="202"/>
      <c r="D65" s="200"/>
      <c r="E65" s="201"/>
      <c r="F65" s="2489"/>
      <c r="G65" s="2489"/>
      <c r="H65" s="2497"/>
      <c r="I65" s="137"/>
      <c r="J65" s="3235"/>
      <c r="K65" s="2499" t="s">
        <v>2244</v>
      </c>
      <c r="L65" s="1753" t="e">
        <f ca="1">IF(M49&gt;1000,M49*0.1%,IF(AND(M49&gt;500,M49&lt;=1000),M49*0.5%,IF(AND(M49&gt;50,M49&lt;=500),M49*1%,IF(AND(M49&gt;1,M49&lt;=50),M49*1.5%))))</f>
        <v>#N/A</v>
      </c>
      <c r="M65" s="23" t="e">
        <f t="shared" ca="1" si="1"/>
        <v>#N/A</v>
      </c>
      <c r="N65" s="137" t="s">
        <v>2242</v>
      </c>
      <c r="Z65" s="2423"/>
      <c r="AI65" s="2424"/>
    </row>
    <row r="66" spans="1:35" ht="14.25" customHeight="1">
      <c r="A66" s="203" t="s">
        <v>772</v>
      </c>
      <c r="B66" s="204" t="s">
        <v>2245</v>
      </c>
      <c r="C66" s="205"/>
      <c r="D66" s="206" t="s">
        <v>32</v>
      </c>
      <c r="E66" s="1777" t="s">
        <v>1372</v>
      </c>
      <c r="F66" s="2489"/>
      <c r="G66" s="2489"/>
      <c r="H66" s="2497"/>
      <c r="I66" s="137"/>
      <c r="J66" s="3235"/>
      <c r="K66" s="2499" t="s">
        <v>2246</v>
      </c>
      <c r="L66" s="1753" t="e">
        <f ca="1">M49*0.5%</f>
        <v>#N/A</v>
      </c>
      <c r="M66" s="23" t="e">
        <f ca="1">IF(L66&gt;0.5,0.5,ROUND(L66,0))</f>
        <v>#N/A</v>
      </c>
      <c r="N66" s="137" t="s">
        <v>2247</v>
      </c>
      <c r="Z66" s="2423"/>
      <c r="AI66" s="2424"/>
    </row>
    <row r="67" spans="1:35" ht="14.25" customHeight="1">
      <c r="A67" s="203" t="s">
        <v>773</v>
      </c>
      <c r="B67" s="204" t="s">
        <v>2248</v>
      </c>
      <c r="C67" s="207" t="e">
        <f ca="1">C63-C66</f>
        <v>#N/A</v>
      </c>
      <c r="D67" s="200" t="s">
        <v>32</v>
      </c>
      <c r="E67" s="201"/>
      <c r="F67" s="2489"/>
      <c r="G67" s="2489"/>
      <c r="H67" s="2497"/>
      <c r="I67" s="137"/>
      <c r="J67" s="3235"/>
      <c r="K67" s="2499" t="s">
        <v>2249</v>
      </c>
      <c r="L67" s="1753" t="e">
        <f ca="1">IF(M49&gt;=10000,(8.25+(M49-10000)*0.01%),IF(AND(M49&gt;=8000,M49&lt;10000),(7.85+(M49-8000)*0.02%),IF(AND(M49&gt;=5000,M49&lt;8000),(6.65+(M49-5000)*0.04%),IF(AND(M49&gt;=2000,M49&lt;5000),(4.25+(PM49-2000)*0.08%),IF(AND(M49&gt;=1000,M49&lt;2000),(2.75+(M49-1000)*0.15%),IF(AND(M49&gt;=100,M49&lt;1000),(0.5+(M49-100)*0.25%),IF(AND(M49&gt;0,M49&lt;100),M49*0.5%)))))))</f>
        <v>#N/A</v>
      </c>
      <c r="M67" s="23" t="e">
        <f ca="1">ROUND(L67*0.9,1)</f>
        <v>#N/A</v>
      </c>
      <c r="Z67" s="2423"/>
      <c r="AI67" s="2424"/>
    </row>
    <row r="68" spans="1:35" ht="14.25" customHeight="1" thickBot="1">
      <c r="A68" s="208" t="s">
        <v>774</v>
      </c>
      <c r="B68" s="209" t="s">
        <v>2250</v>
      </c>
      <c r="C68" s="210" t="e">
        <f ca="1">IF(C67&lt;=0,0,ROUND(C67*D68,0))</f>
        <v>#N/A</v>
      </c>
      <c r="D68" s="211">
        <f>'数据-取费表'!B41</f>
        <v>5.6000000000000001E-2</v>
      </c>
      <c r="E68" s="212"/>
      <c r="F68" s="2489"/>
      <c r="G68" s="2489"/>
      <c r="H68" s="2497"/>
      <c r="I68" s="137"/>
      <c r="J68" s="3235"/>
      <c r="K68" s="2499" t="s">
        <v>2251</v>
      </c>
      <c r="L68" s="1753" t="e">
        <f ca="1">IF(M49&gt;10000,M49*0.5%,IF(AND(M49&gt;5000,M49&lt;=10000),M49*1%,IF(AND(M49&gt;1000,M49&lt;=5000),M49*2%,IF(AND(M49&gt;200,M49&lt;=1000),M49*3%,M49*5%))))</f>
        <v>#N/A</v>
      </c>
      <c r="M68" s="23" t="e">
        <f ca="1">ROUND(L68,1)</f>
        <v>#N/A</v>
      </c>
      <c r="Z68" s="2423"/>
      <c r="AI68" s="2424"/>
    </row>
    <row r="69" spans="1:35" s="2446" customFormat="1" ht="16.5" customHeight="1">
      <c r="A69" s="2500"/>
      <c r="B69" s="2501"/>
      <c r="C69" s="2502"/>
      <c r="D69" s="2503"/>
      <c r="E69" s="2504"/>
      <c r="F69" s="2169"/>
      <c r="G69" s="2169"/>
      <c r="H69" s="2168"/>
      <c r="I69" s="2418"/>
      <c r="J69" s="3235"/>
      <c r="K69" s="2499" t="s">
        <v>2252</v>
      </c>
      <c r="L69" s="2505"/>
      <c r="M69" s="23" t="e">
        <f ca="1">ROUND(SUM(M63:M68),0)</f>
        <v>#N/A</v>
      </c>
      <c r="N69" s="1754" t="e">
        <f ca="1">M69/M49</f>
        <v>#N/A</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94" t="s">
        <v>2253</v>
      </c>
      <c r="B70" s="3195"/>
      <c r="C70" s="3195"/>
      <c r="D70" s="3195"/>
      <c r="E70" s="3195"/>
      <c r="F70" s="3195"/>
      <c r="G70" s="3195"/>
      <c r="H70" s="319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73" t="s">
        <v>2234</v>
      </c>
      <c r="B71" s="3174"/>
      <c r="C71" s="1805"/>
      <c r="D71" s="1805"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t="e">
        <f ca="1">ROUND(D45/(1+'数据-取费表'!C42),0)</f>
        <v>#N/A</v>
      </c>
      <c r="D72" s="200" t="s">
        <v>32</v>
      </c>
      <c r="E72" s="1804"/>
      <c r="F72" s="1798"/>
      <c r="G72" s="1798"/>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t="e">
        <f ca="1">C74+C78</f>
        <v>#N/A</v>
      </c>
      <c r="D73" s="200" t="s">
        <v>32</v>
      </c>
      <c r="E73" s="1804"/>
      <c r="F73" s="1798"/>
      <c r="G73" s="1798"/>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0</v>
      </c>
      <c r="D74" s="200" t="s">
        <v>32</v>
      </c>
      <c r="E74" s="1804"/>
      <c r="F74" s="1798"/>
      <c r="G74" s="1798"/>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c r="D75" s="200" t="s">
        <v>32</v>
      </c>
      <c r="E75" s="219" t="s">
        <v>2258</v>
      </c>
      <c r="F75" s="2511" t="s">
        <v>2259</v>
      </c>
      <c r="G75" s="219" t="s">
        <v>2260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168" t="s">
        <v>2262</v>
      </c>
      <c r="F76" s="3145"/>
      <c r="G76" s="3145"/>
      <c r="H76" s="319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0</v>
      </c>
      <c r="D77" s="223">
        <f>'数据-取费表'!B48+'数据-取费表'!B49</f>
        <v>3.0499999999999999E-2</v>
      </c>
      <c r="E77" s="14" t="s">
        <v>2264</v>
      </c>
      <c r="F77" s="224"/>
      <c r="G77" s="2513" t="s">
        <v>2265</v>
      </c>
      <c r="H77" s="1809"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t="e">
        <f ca="1">ROUND(D45*D78/(1+'数据-取费表'!C42),0)</f>
        <v>#N/A</v>
      </c>
      <c r="D78" s="226">
        <f>'数据-取费表'!B43</f>
        <v>6.000000000000001E-3</v>
      </c>
      <c r="E78" s="3154" t="s">
        <v>2267</v>
      </c>
      <c r="F78" s="3155"/>
      <c r="G78" s="3155"/>
      <c r="H78" s="316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t="e">
        <f ca="1">C72-C73</f>
        <v>#N/A</v>
      </c>
      <c r="D79" s="200" t="s">
        <v>32</v>
      </c>
      <c r="E79" s="1804"/>
      <c r="F79" s="1798"/>
      <c r="G79" s="1798"/>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t="e">
        <f ca="1">IF(C79&lt;=0,0,C79/C73)</f>
        <v>#N/A</v>
      </c>
      <c r="D80" s="200" t="s">
        <v>32</v>
      </c>
      <c r="E80" s="14" t="e">
        <f ca="1">IF(C80&gt;=200%,"增值额超过扣除项目金额200%",IF(C80&gt;=100%,"增值额超过扣除项目金额100%，未超过200%",IF(C80&gt;=50%,"增值额超过扣除项目金额50%，未超过100%",IF(C80&lt;50%,"增值额未超过扣除项目金额50%"))))</f>
        <v>#N/A</v>
      </c>
      <c r="F80" s="1798"/>
      <c r="G80" s="1798"/>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94" t="s">
        <v>2271</v>
      </c>
      <c r="B83" s="3195"/>
      <c r="C83" s="3195"/>
      <c r="D83" s="3195"/>
      <c r="E83" s="3195"/>
      <c r="F83" s="3195"/>
      <c r="G83" s="3195"/>
      <c r="H83" s="319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73" t="s">
        <v>2234</v>
      </c>
      <c r="B84" s="3174"/>
      <c r="C84" s="1805"/>
      <c r="D84" s="1805"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t="e">
        <f ca="1">ROUND(D45/(1+'数据-取费表'!C42),0)</f>
        <v>#N/A</v>
      </c>
      <c r="D85" s="200" t="s">
        <v>32</v>
      </c>
      <c r="E85" s="1804"/>
      <c r="F85" s="1798"/>
      <c r="G85" s="1798"/>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t="e">
        <f ca="1">IF(H88="仅含出让金",C87+C90+C91+C92+C93+C94,C87+C91+C92+C93+C94)</f>
        <v>#N/A</v>
      </c>
      <c r="D86" s="235"/>
      <c r="E86" s="1804"/>
      <c r="F86" s="1798"/>
      <c r="G86" s="1798"/>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800"/>
      <c r="F87" s="1801"/>
      <c r="G87" s="1801"/>
      <c r="H87" s="1803"/>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801"/>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1801"/>
      <c r="G89" s="1801"/>
      <c r="H89" s="1803"/>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801"/>
      <c r="G90" s="1801"/>
      <c r="H90" s="1803"/>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IF(H91="——",'成本法-办公'!C33,I91)</f>
        <v>0</v>
      </c>
      <c r="D91" s="226"/>
      <c r="E91" s="3154" t="s">
        <v>2280</v>
      </c>
      <c r="F91" s="3155"/>
      <c r="G91" s="3155"/>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154" t="s">
        <v>2284</v>
      </c>
      <c r="F92" s="3155"/>
      <c r="G92" s="3155"/>
      <c r="H92" s="316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t="e">
        <f ca="1">ROUND(D45*D93/(1+'数据-取费表'!C42),0)</f>
        <v>#N/A</v>
      </c>
      <c r="D93" s="226">
        <f>'数据-取费表'!B43</f>
        <v>6.000000000000001E-3</v>
      </c>
      <c r="E93" s="3154" t="s">
        <v>2267</v>
      </c>
      <c r="F93" s="3155"/>
      <c r="G93" s="3155"/>
      <c r="H93" s="316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165" t="s">
        <v>2288</v>
      </c>
      <c r="F94" s="3166"/>
      <c r="G94" s="3166"/>
      <c r="H94" s="316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t="e">
        <f ca="1">ROUND(C85-C86,0)</f>
        <v>#N/A</v>
      </c>
      <c r="D95" s="200" t="s">
        <v>32</v>
      </c>
      <c r="E95" s="1804"/>
      <c r="F95" s="1798"/>
      <c r="G95" s="1798"/>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t="e">
        <f ca="1">IF(C95&lt;=0,0,C95/C86)</f>
        <v>#N/A</v>
      </c>
      <c r="D96" s="200" t="s">
        <v>32</v>
      </c>
      <c r="E96" s="14" t="e">
        <f ca="1">IF(C96&gt;=200%,"增值额超过扣除项目金额200%",IF(C96&gt;=100%,"增值额超过扣除项目金额100%，未超过200%",IF(C96&gt;=50%,"增值额超过扣除项目金额50%，未超过100%",IF(C96&lt;50%,"增值额未超过扣除项目金额50%"))))</f>
        <v>#N/A</v>
      </c>
      <c r="F96" s="1798"/>
      <c r="G96" s="1798"/>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9"/>
      <c r="F98" s="2169"/>
      <c r="G98" s="2169"/>
      <c r="H98" s="2168"/>
      <c r="I98" s="137"/>
    </row>
    <row r="99" spans="1:35" ht="21.75" customHeight="1" thickBot="1">
      <c r="A99" s="2474" t="s">
        <v>2289</v>
      </c>
      <c r="B99" s="2418"/>
      <c r="C99" s="2418"/>
      <c r="D99" s="2418"/>
      <c r="E99" s="2169"/>
      <c r="F99" s="2169"/>
      <c r="G99" s="2169"/>
      <c r="H99" s="2168"/>
      <c r="I99" s="137"/>
    </row>
    <row r="100" spans="1:35" ht="18.75" customHeight="1">
      <c r="A100" s="3139" t="s">
        <v>2290</v>
      </c>
      <c r="B100" s="3140"/>
      <c r="C100" s="3140"/>
      <c r="D100" s="3156"/>
      <c r="E100" s="3140" t="s">
        <v>2291</v>
      </c>
      <c r="F100" s="3140"/>
      <c r="G100" s="3140"/>
      <c r="H100" s="3156"/>
      <c r="I100" s="137"/>
    </row>
    <row r="101" spans="1:35" ht="18.75" customHeight="1">
      <c r="A101" s="3218" t="s">
        <v>2292</v>
      </c>
      <c r="B101" s="3219"/>
      <c r="C101" s="736" t="str">
        <f>C4</f>
        <v>比较法-凯富</v>
      </c>
      <c r="D101" s="737" t="str">
        <f>D4</f>
        <v>收益法-凯富</v>
      </c>
      <c r="E101" s="3232" t="s">
        <v>2293</v>
      </c>
      <c r="F101" s="3186"/>
      <c r="G101" s="2520" t="s">
        <v>2294</v>
      </c>
      <c r="H101" s="1048" t="e">
        <f ca="1">H118</f>
        <v>#N/A</v>
      </c>
      <c r="I101" s="137"/>
    </row>
    <row r="102" spans="1:35" ht="18.75" customHeight="1">
      <c r="A102" s="3188" t="s">
        <v>2295</v>
      </c>
      <c r="B102" s="2520" t="s">
        <v>2294</v>
      </c>
      <c r="C102" s="736" t="e">
        <f ca="1">C19</f>
        <v>#N/A</v>
      </c>
      <c r="D102" s="737" t="e">
        <f ca="1">D19</f>
        <v>#N/A</v>
      </c>
      <c r="E102" s="3232"/>
      <c r="F102" s="3186"/>
      <c r="G102" s="2520" t="s">
        <v>2296</v>
      </c>
      <c r="H102" s="371" t="e">
        <f ca="1">I118</f>
        <v>#N/A</v>
      </c>
      <c r="I102" s="137"/>
    </row>
    <row r="103" spans="1:35" ht="42.75" customHeight="1">
      <c r="A103" s="3188"/>
      <c r="B103" s="2520" t="s">
        <v>2296</v>
      </c>
      <c r="C103" s="738" t="e">
        <f ca="1">C20</f>
        <v>#N/A</v>
      </c>
      <c r="D103" s="739">
        <f ca="1">D20</f>
        <v>0</v>
      </c>
      <c r="E103" s="3227" t="s">
        <v>2297</v>
      </c>
      <c r="F103" s="3228"/>
      <c r="G103" s="2521" t="s">
        <v>2298</v>
      </c>
      <c r="H103" s="1048">
        <f>IF(D36="正常操作",H104+H105+H106,H105+H106)</f>
        <v>0</v>
      </c>
      <c r="I103" s="137"/>
    </row>
    <row r="104" spans="1:35" ht="18.75" customHeight="1">
      <c r="A104" s="3188" t="s">
        <v>2299</v>
      </c>
      <c r="B104" s="2522" t="s">
        <v>2294</v>
      </c>
      <c r="C104" s="740" t="e">
        <f ca="1">H118</f>
        <v>#N/A</v>
      </c>
      <c r="D104" s="741"/>
      <c r="E104" s="2269" t="s">
        <v>2300</v>
      </c>
      <c r="F104" s="2261"/>
      <c r="G104" s="2521" t="s">
        <v>2298</v>
      </c>
      <c r="H104" s="1049">
        <f>IF(D36="同一抵押权人同一抵押物续贷",C36&amp;"（未扣减，详见特别提示）",C36)</f>
        <v>0</v>
      </c>
      <c r="I104" s="137"/>
    </row>
    <row r="105" spans="1:35" ht="18.75" customHeight="1" thickBot="1">
      <c r="A105" s="3189"/>
      <c r="B105" s="2523" t="s">
        <v>2296</v>
      </c>
      <c r="C105" s="742" t="e">
        <f ca="1">I118</f>
        <v>#N/A</v>
      </c>
      <c r="D105" s="743"/>
      <c r="E105" s="2269" t="s">
        <v>2301</v>
      </c>
      <c r="F105" s="2261"/>
      <c r="G105" s="2521" t="s">
        <v>2298</v>
      </c>
      <c r="H105" s="1049">
        <f>C37</f>
        <v>0</v>
      </c>
      <c r="I105" s="137"/>
    </row>
    <row r="106" spans="1:35" ht="18.75" customHeight="1">
      <c r="A106" s="2418" t="s">
        <v>2302</v>
      </c>
      <c r="B106" s="2418"/>
      <c r="C106" s="2418"/>
      <c r="D106" s="2418"/>
      <c r="E106" s="2524" t="s">
        <v>2303</v>
      </c>
      <c r="F106" s="2261"/>
      <c r="G106" s="2521" t="s">
        <v>2298</v>
      </c>
      <c r="H106" s="1049">
        <f>C38</f>
        <v>0</v>
      </c>
      <c r="I106" s="137"/>
    </row>
    <row r="107" spans="1:35" ht="18.75" customHeight="1">
      <c r="A107" s="137"/>
      <c r="B107" s="137"/>
      <c r="C107" s="137"/>
      <c r="D107" s="137"/>
      <c r="E107" s="3185" t="str">
        <f>IF(项目基本情况!E8="已注销","——","3.房地产抵押价值")</f>
        <v>3.房地产抵押价值</v>
      </c>
      <c r="F107" s="3186"/>
      <c r="G107" s="2520" t="s">
        <v>2294</v>
      </c>
      <c r="H107" s="1048" t="e">
        <f ca="1">IF(E107="——","——",H101-H103)</f>
        <v>#N/A</v>
      </c>
      <c r="I107" s="137"/>
    </row>
    <row r="108" spans="1:35" ht="18.75" customHeight="1">
      <c r="A108" s="137"/>
      <c r="B108" s="137"/>
      <c r="C108" s="137"/>
      <c r="D108" s="137"/>
      <c r="E108" s="3185"/>
      <c r="F108" s="3186"/>
      <c r="G108" s="2520" t="s">
        <v>2296</v>
      </c>
      <c r="H108" s="371" t="e">
        <f ca="1">ROUND(H107*10000/'数据-汇总表'!E3,0)</f>
        <v>#N/A</v>
      </c>
      <c r="I108" s="137"/>
    </row>
    <row r="109" spans="1:35" ht="18.75" customHeight="1">
      <c r="A109" s="137"/>
      <c r="B109" s="137"/>
      <c r="C109" s="137"/>
      <c r="D109" s="137"/>
      <c r="E109" s="3185" t="str">
        <f>IF(项目基本情况!E8="已注销及未注销","4.抵押担保权已注销时的房地产抵押价值",IF(项目基本情况!E8="已注销","3.抵押担保权已注销时的房地产抵押价值","——"))</f>
        <v>——</v>
      </c>
      <c r="F109" s="3186"/>
      <c r="G109" s="2520" t="s">
        <v>2294</v>
      </c>
      <c r="H109" s="348" t="str">
        <f>IF(E109="——","——",H101-H105-H106)</f>
        <v>——</v>
      </c>
      <c r="I109" s="137"/>
    </row>
    <row r="110" spans="1:35" ht="18.75" customHeight="1">
      <c r="A110" s="137"/>
      <c r="B110" s="137"/>
      <c r="C110" s="137"/>
      <c r="D110" s="137"/>
      <c r="E110" s="3185"/>
      <c r="F110" s="3186"/>
      <c r="G110" s="2520" t="s">
        <v>2296</v>
      </c>
      <c r="H110" s="371" t="str">
        <f>IF(H109="——","——",ROUND(H109*10000/'数据-汇总表'!E3,0))</f>
        <v>——</v>
      </c>
      <c r="I110" s="137"/>
    </row>
    <row r="111" spans="1:35" ht="18.75" customHeight="1">
      <c r="A111" s="137"/>
      <c r="B111" s="137"/>
      <c r="C111" s="137"/>
      <c r="D111" s="137"/>
      <c r="E111" s="3220" t="str">
        <f>IF(项目基本情况!E9="抵押净值",IF(OR(项目基本情况!E8="已注销",项目基本情况!E8="房地产抵押价值"),"4.抵押净值","5.抵押净值"),"——")</f>
        <v>——</v>
      </c>
      <c r="F111" s="3221"/>
      <c r="G111" s="2520" t="s">
        <v>2294</v>
      </c>
      <c r="H111" s="1048" t="str">
        <f>IF(E111="——","——",N59)</f>
        <v>——</v>
      </c>
      <c r="I111" s="137"/>
    </row>
    <row r="112" spans="1:35" ht="18.75" customHeight="1" thickBot="1">
      <c r="A112" s="137"/>
      <c r="B112" s="137"/>
      <c r="C112" s="137"/>
      <c r="D112" s="137"/>
      <c r="E112" s="3222"/>
      <c r="F112" s="3223"/>
      <c r="G112" s="2525" t="s">
        <v>2296</v>
      </c>
      <c r="H112" s="790" t="str">
        <f>IF(E111="——","——",N61)</f>
        <v>——</v>
      </c>
      <c r="I112" s="137"/>
    </row>
    <row r="113" spans="1:11" ht="18.75" customHeight="1">
      <c r="A113" s="137"/>
      <c r="B113" s="137"/>
      <c r="C113" s="137"/>
      <c r="D113" s="137"/>
      <c r="E113" s="3190" t="s">
        <v>2302</v>
      </c>
      <c r="F113" s="3190"/>
      <c r="G113" s="3190"/>
      <c r="H113" s="3190"/>
      <c r="I113" s="137"/>
    </row>
    <row r="114" spans="1:11" ht="3.75" customHeight="1">
      <c r="A114" s="2418"/>
      <c r="B114" s="2418"/>
      <c r="C114" s="2418"/>
      <c r="D114" s="2418"/>
      <c r="E114" s="2496"/>
      <c r="F114" s="2496"/>
      <c r="G114" s="2496"/>
      <c r="H114" s="2496"/>
      <c r="I114" s="2418"/>
    </row>
    <row r="115" spans="1:11" ht="18.75" customHeight="1">
      <c r="A115" s="3203" t="s">
        <v>2304</v>
      </c>
      <c r="B115" s="3204"/>
      <c r="C115" s="3204"/>
      <c r="D115" s="3204"/>
      <c r="E115" s="3204"/>
      <c r="F115" s="3204"/>
      <c r="G115" s="3204"/>
      <c r="H115" s="3204"/>
      <c r="I115" s="3205"/>
    </row>
    <row r="116" spans="1:11" ht="27" customHeight="1">
      <c r="A116" s="3096" t="s">
        <v>2305</v>
      </c>
      <c r="B116" s="3191" t="s">
        <v>2306</v>
      </c>
      <c r="C116" s="3191" t="s">
        <v>2307</v>
      </c>
      <c r="D116" s="3207" t="s">
        <v>2308</v>
      </c>
      <c r="E116" s="3208"/>
      <c r="F116" s="3199" t="s">
        <v>2309</v>
      </c>
      <c r="G116" s="3199"/>
      <c r="H116" s="3096" t="s">
        <v>2310</v>
      </c>
      <c r="I116" s="3096"/>
    </row>
    <row r="117" spans="1:11" ht="18.75" customHeight="1">
      <c r="A117" s="3096"/>
      <c r="B117" s="3192"/>
      <c r="C117" s="3192"/>
      <c r="D117" s="1799" t="s">
        <v>2311</v>
      </c>
      <c r="E117" s="1799" t="s">
        <v>2312</v>
      </c>
      <c r="F117" s="1799" t="s">
        <v>2311</v>
      </c>
      <c r="G117" s="1799" t="s">
        <v>2313</v>
      </c>
      <c r="H117" s="1799" t="s">
        <v>2311</v>
      </c>
      <c r="I117" s="1799" t="s">
        <v>2313</v>
      </c>
    </row>
    <row r="118" spans="1:11" ht="24.75" customHeight="1">
      <c r="A118" s="2526" t="str">
        <f>项目基本情况!S2</f>
        <v>北京市朝阳区酒仙桥北路7号北侧房地产</v>
      </c>
      <c r="B118" s="1799">
        <f>M18</f>
        <v>0</v>
      </c>
      <c r="C118" s="1799">
        <f>M19</f>
        <v>0</v>
      </c>
      <c r="D118" s="1799" t="e">
        <f ca="1">ROUND(IF(D32="总价",C34,E118*B118/10000),0)</f>
        <v>#N/A</v>
      </c>
      <c r="E118" s="1799" t="e">
        <f ca="1">ROUND(IF(C33="自定义",IF(D32="楼面单价",C34,D118*10000/B118),I118-G118),0)</f>
        <v>#N/A</v>
      </c>
      <c r="F118" s="1799" t="e">
        <f ca="1">ROUND(IF(D32="总价",C35,G118*B118/10000),0)</f>
        <v>#N/A</v>
      </c>
      <c r="G118" s="1799" t="e">
        <f ca="1">ROUND(IF(D32="楼面单价",C35,F118*10000/B118),0)</f>
        <v>#N/A</v>
      </c>
      <c r="H118" s="1799" t="e">
        <f ca="1">ROUND(IF(D32="总价",C32,I118*B118/10000),0)</f>
        <v>#N/A</v>
      </c>
      <c r="I118" s="1799" t="e">
        <f ca="1">ROUND(IF(D32="楼面单价",C32,H118*10000/B118),0)</f>
        <v>#N/A</v>
      </c>
    </row>
    <row r="119" spans="1:11" ht="18.75" customHeight="1">
      <c r="A119" s="3096" t="s">
        <v>2314</v>
      </c>
      <c r="B119" s="3096"/>
      <c r="C119" s="3096"/>
      <c r="D119" s="3196" t="e">
        <f ca="1">NUMBERSTRING(INT(D118*10000),2)&amp;"元整"</f>
        <v>#N/A</v>
      </c>
      <c r="E119" s="3198"/>
      <c r="F119" s="3196" t="e">
        <f ca="1">NUMBERSTRING(INT(F118*10000),2)&amp;"元整"</f>
        <v>#N/A</v>
      </c>
      <c r="G119" s="3198"/>
      <c r="H119" s="3196" t="e">
        <f ca="1">NUMBERSTRING(INT(H118*10000),2)&amp;"元整"</f>
        <v>#N/A</v>
      </c>
      <c r="I119" s="3198"/>
    </row>
    <row r="120" spans="1:11" ht="18.75" customHeight="1">
      <c r="A120" s="3224" t="str">
        <f>IF(项目基本情况!B9="房地产市场价值","",MID(E103,3,LEN(E103)-2))</f>
        <v/>
      </c>
      <c r="B120" s="3225"/>
      <c r="C120" s="3226"/>
      <c r="D120" s="3224">
        <f>H103</f>
        <v>0</v>
      </c>
      <c r="E120" s="3225"/>
      <c r="F120" s="3225"/>
      <c r="G120" s="3225"/>
      <c r="H120" s="3225"/>
      <c r="I120" s="3226"/>
      <c r="K120" s="2423" t="str">
        <f>IF(D120=0,"故，本次评估不存在"&amp;A120,"故，本次评估"&amp;A120&amp;"为人民币"&amp;D120&amp;"万元整。")</f>
        <v>故，本次评估不存在</v>
      </c>
    </row>
    <row r="121" spans="1:11" ht="18.75" customHeight="1">
      <c r="A121" s="3200" t="s">
        <v>2314</v>
      </c>
      <c r="B121" s="3201"/>
      <c r="C121" s="3202"/>
      <c r="D121" s="3196" t="str">
        <f>IF(D120=0,"零元整",NUMBERSTRING(INT(D120*10000),2)&amp;"元整")</f>
        <v>零元整</v>
      </c>
      <c r="E121" s="3197"/>
      <c r="F121" s="3197"/>
      <c r="G121" s="3197"/>
      <c r="H121" s="3197"/>
      <c r="I121" s="3198"/>
    </row>
    <row r="122" spans="1:11" ht="18.75" customHeight="1">
      <c r="A122" s="3187" t="str">
        <f>IF(项目基本情况!B9="房地产市场价值","",MID(E107,3,LEN(E107)-2))</f>
        <v/>
      </c>
      <c r="B122" s="3187"/>
      <c r="C122" s="3187"/>
      <c r="D122" s="3224" t="e">
        <f ca="1">H107</f>
        <v>#N/A</v>
      </c>
      <c r="E122" s="3225"/>
      <c r="F122" s="3225"/>
      <c r="G122" s="3225"/>
      <c r="H122" s="3225"/>
      <c r="I122" s="3226"/>
    </row>
    <row r="123" spans="1:11" ht="18.75" customHeight="1">
      <c r="A123" s="3096" t="s">
        <v>2314</v>
      </c>
      <c r="B123" s="3096"/>
      <c r="C123" s="3096"/>
      <c r="D123" s="3196" t="e">
        <f ca="1">NUMBERSTRING(INT(D122*10000),2)&amp;"元整"</f>
        <v>#N/A</v>
      </c>
      <c r="E123" s="3197"/>
      <c r="F123" s="3197"/>
      <c r="G123" s="3197"/>
      <c r="H123" s="3197"/>
      <c r="I123" s="3198"/>
    </row>
    <row r="124" spans="1:11" ht="18.75" customHeight="1">
      <c r="A124" s="3187" t="str">
        <f>IF(项目基本情况!B9="房地产市场价值","",MID(E109,3,LEN(E109)-2))</f>
        <v/>
      </c>
      <c r="B124" s="3187"/>
      <c r="C124" s="3187"/>
      <c r="D124" s="3224" t="str">
        <f>H109</f>
        <v>——</v>
      </c>
      <c r="E124" s="3225"/>
      <c r="F124" s="3225"/>
      <c r="G124" s="3225"/>
      <c r="H124" s="3225"/>
      <c r="I124" s="3226"/>
    </row>
    <row r="125" spans="1:11" ht="18.75" customHeight="1">
      <c r="A125" s="3096" t="s">
        <v>2314</v>
      </c>
      <c r="B125" s="3096"/>
      <c r="C125" s="3096"/>
      <c r="D125" s="3196" t="e">
        <f>NUMBERSTRING(INT(D124*10000),2)&amp;"元整"</f>
        <v>#VALUE!</v>
      </c>
      <c r="E125" s="3197"/>
      <c r="F125" s="3197"/>
      <c r="G125" s="3197"/>
      <c r="H125" s="3197"/>
      <c r="I125" s="3198"/>
    </row>
    <row r="126" spans="1:11" ht="18.75" customHeight="1">
      <c r="A126" s="3187" t="str">
        <f>IF(项目基本情况!B9="房地产市场价值","",MID(E111,3,LEN(E111)-2))</f>
        <v/>
      </c>
      <c r="B126" s="3187"/>
      <c r="C126" s="3187"/>
      <c r="D126" s="3224" t="str">
        <f>H111</f>
        <v>——</v>
      </c>
      <c r="E126" s="3225"/>
      <c r="F126" s="3225"/>
      <c r="G126" s="3225"/>
      <c r="H126" s="3225"/>
      <c r="I126" s="3226"/>
    </row>
    <row r="127" spans="1:11" ht="18.75" customHeight="1">
      <c r="A127" s="3096" t="s">
        <v>2314</v>
      </c>
      <c r="B127" s="3096"/>
      <c r="C127" s="3096"/>
      <c r="D127" s="3196" t="e">
        <f>NUMBERSTRING(INT(D126*10000),2)&amp;"元整"</f>
        <v>#VALUE!</v>
      </c>
      <c r="E127" s="3197"/>
      <c r="F127" s="3197"/>
      <c r="G127" s="3197"/>
      <c r="H127" s="3197"/>
      <c r="I127" s="3198"/>
    </row>
    <row r="128" spans="1:11" ht="21.75" customHeight="1">
      <c r="A128" s="3206" t="s">
        <v>2315</v>
      </c>
      <c r="B128" s="3206"/>
      <c r="C128" s="3206"/>
      <c r="D128" s="3206"/>
      <c r="E128" s="3206"/>
      <c r="F128" s="3206"/>
      <c r="G128" s="3206"/>
      <c r="H128" s="3206"/>
      <c r="I128" s="3206"/>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3"/>
      <c r="G142" s="795"/>
      <c r="H142" s="795"/>
      <c r="I142" s="795"/>
    </row>
    <row r="143" spans="1:35" s="138" customFormat="1" ht="21.75" customHeight="1">
      <c r="A143" s="795"/>
      <c r="B143" s="2546"/>
      <c r="C143" s="2547"/>
      <c r="D143" s="2548"/>
      <c r="E143" s="2548"/>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E36">
    <cfRule type="expression" dxfId="17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2" sqref="F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2525</v>
      </c>
      <c r="B1" s="2671" t="s">
        <v>2683</v>
      </c>
      <c r="C1" s="1624" t="s">
        <v>2527</v>
      </c>
      <c r="D1" s="1625" t="s">
        <v>3279</v>
      </c>
      <c r="E1" s="1634"/>
      <c r="F1" s="2586" t="s">
        <v>3314</v>
      </c>
      <c r="G1" s="1635" t="s">
        <v>2640</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2324</v>
      </c>
      <c r="B2" s="1421" t="e">
        <f ca="1">IF(C2="——",ROUND(C50*D3/10000,0),ROUND(C50*D3/10000,0)-D2)</f>
        <v>#N/A</v>
      </c>
      <c r="C2" s="2588" t="s">
        <v>3333</v>
      </c>
      <c r="D2" s="1368" t="e">
        <f ca="1">SUMIF(INDIRECT("'"&amp;F2&amp;"'"&amp;"!A:A"),"承租人权益价值",INDIRECT("'"&amp;F2&amp;"'"&amp;"!c:c"))</f>
        <v>#N/A</v>
      </c>
      <c r="E2" s="2589" t="s">
        <v>2325</v>
      </c>
      <c r="F2" s="2590" t="s">
        <v>3266</v>
      </c>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#N/A</v>
      </c>
      <c r="C3" s="400" t="s">
        <v>2641</v>
      </c>
      <c r="D3" s="399">
        <f>IF(D1="",'数据-汇总表'!E3,SUMIF('数据-汇总表'!$C19:$C33,D1,'数据-汇总表'!$E19:$E33))</f>
        <v>0</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56" t="s">
        <v>2643</v>
      </c>
      <c r="D4" s="3257"/>
      <c r="E4" s="3258" t="s">
        <v>2644</v>
      </c>
      <c r="F4" s="3259"/>
      <c r="G4" s="3256" t="s">
        <v>2645</v>
      </c>
      <c r="H4" s="3257"/>
      <c r="I4" s="3256" t="s">
        <v>2646</v>
      </c>
      <c r="J4" s="3257"/>
      <c r="K4" s="610" t="s">
        <v>2647</v>
      </c>
      <c r="L4" s="1133"/>
      <c r="M4" s="1134"/>
      <c r="N4" s="1134"/>
      <c r="O4" s="1134"/>
      <c r="P4" s="3260" t="s">
        <v>2648</v>
      </c>
      <c r="Q4" s="3261"/>
      <c r="R4" s="3266" t="s">
        <v>2644</v>
      </c>
      <c r="S4" s="3267"/>
      <c r="T4" s="3266" t="s">
        <v>2645</v>
      </c>
      <c r="U4" s="3267"/>
      <c r="V4" s="3272" t="s">
        <v>2646</v>
      </c>
      <c r="W4" s="3272"/>
      <c r="X4" s="2672"/>
      <c r="Y4" s="3266" t="s">
        <v>2648</v>
      </c>
      <c r="Z4" s="3267"/>
      <c r="AA4" s="3285" t="s">
        <v>2644</v>
      </c>
      <c r="AB4" s="3285" t="s">
        <v>2645</v>
      </c>
      <c r="AC4" s="3253" t="s">
        <v>2646</v>
      </c>
    </row>
    <row r="5" spans="1:29" ht="15">
      <c r="A5" s="404"/>
      <c r="B5" s="405"/>
      <c r="C5" s="3282" t="s">
        <v>2539</v>
      </c>
      <c r="D5" s="3277"/>
      <c r="E5" s="3288" t="s">
        <v>3321</v>
      </c>
      <c r="F5" s="3289"/>
      <c r="G5" s="3276" t="s">
        <v>3322</v>
      </c>
      <c r="H5" s="3277"/>
      <c r="I5" s="3276" t="s">
        <v>3323</v>
      </c>
      <c r="J5" s="3277"/>
      <c r="K5" s="610"/>
      <c r="L5" s="1133"/>
      <c r="M5" s="1134"/>
      <c r="N5" s="1134"/>
      <c r="O5" s="1134"/>
      <c r="P5" s="3262"/>
      <c r="Q5" s="3263"/>
      <c r="R5" s="3268"/>
      <c r="S5" s="3269"/>
      <c r="T5" s="3268"/>
      <c r="U5" s="3269"/>
      <c r="V5" s="3273"/>
      <c r="W5" s="3273"/>
      <c r="X5" s="1817"/>
      <c r="Y5" s="3268"/>
      <c r="Z5" s="3269"/>
      <c r="AA5" s="3286"/>
      <c r="AB5" s="3286"/>
      <c r="AC5" s="3254"/>
    </row>
    <row r="6" spans="1:29" ht="15.75" thickBot="1">
      <c r="A6" s="406"/>
      <c r="B6" s="407"/>
      <c r="C6" s="3274" t="s">
        <v>2543</v>
      </c>
      <c r="D6" s="3275"/>
      <c r="E6" s="3283" t="s">
        <v>2543</v>
      </c>
      <c r="F6" s="3284"/>
      <c r="G6" s="3274" t="s">
        <v>2543</v>
      </c>
      <c r="H6" s="3275"/>
      <c r="I6" s="3274" t="s">
        <v>2543</v>
      </c>
      <c r="J6" s="3275"/>
      <c r="K6" s="610" t="s">
        <v>2544</v>
      </c>
      <c r="L6" s="1133"/>
      <c r="M6" s="1134"/>
      <c r="N6" s="1134"/>
      <c r="O6" s="1134"/>
      <c r="P6" s="3264"/>
      <c r="Q6" s="3265"/>
      <c r="R6" s="3268"/>
      <c r="S6" s="3269"/>
      <c r="T6" s="3270"/>
      <c r="U6" s="3271"/>
      <c r="V6" s="3273"/>
      <c r="W6" s="3273"/>
      <c r="X6" s="1817"/>
      <c r="Y6" s="3270"/>
      <c r="Z6" s="3271"/>
      <c r="AA6" s="3287"/>
      <c r="AB6" s="3287"/>
      <c r="AC6" s="3255"/>
    </row>
    <row r="7" spans="1:29" s="116" customFormat="1" ht="15.75" thickBot="1">
      <c r="A7" s="408" t="s">
        <v>2545</v>
      </c>
      <c r="B7" s="409"/>
      <c r="C7" s="410">
        <f>'数据-取费表'!B2</f>
        <v>43047</v>
      </c>
      <c r="D7" s="411">
        <v>100</v>
      </c>
      <c r="E7" s="412">
        <v>43035</v>
      </c>
      <c r="F7" s="413">
        <f>SUMIF(59:59,YEAR(E7)&amp;"-"&amp;MONTH(E7),60:60)</f>
        <v>99</v>
      </c>
      <c r="G7" s="412">
        <v>43047</v>
      </c>
      <c r="H7" s="411">
        <f>SUMIF(59:59,YEAR(G7)&amp;"-"&amp;MONTH(G7),60:60)</f>
        <v>100</v>
      </c>
      <c r="I7" s="412">
        <v>43047</v>
      </c>
      <c r="J7" s="411">
        <f>SUMIF(59:59,YEAR(I7)&amp;"-"&amp;MONTH(I7),60:60)</f>
        <v>100</v>
      </c>
      <c r="K7" s="611"/>
      <c r="L7" s="1135"/>
      <c r="M7" s="1136"/>
      <c r="N7" s="1136"/>
      <c r="O7" s="1136"/>
      <c r="P7" s="3278" t="s">
        <v>2546</v>
      </c>
      <c r="Q7" s="3281"/>
      <c r="R7" s="770" t="s">
        <v>17</v>
      </c>
      <c r="S7" s="771">
        <f t="shared" ref="S7:S15" si="0">F7</f>
        <v>99</v>
      </c>
      <c r="T7" s="770" t="s">
        <v>17</v>
      </c>
      <c r="U7" s="771">
        <f t="shared" ref="U7:U15" si="1">H7</f>
        <v>100</v>
      </c>
      <c r="V7" s="770" t="s">
        <v>17</v>
      </c>
      <c r="W7" s="771">
        <f t="shared" ref="W7:W15" si="2">J7</f>
        <v>100</v>
      </c>
      <c r="X7" s="772"/>
      <c r="Y7" s="3280" t="s">
        <v>2546</v>
      </c>
      <c r="Z7" s="3279"/>
      <c r="AA7" s="773">
        <f>D7/F7</f>
        <v>1.0101010101010102</v>
      </c>
      <c r="AB7" s="773">
        <f>D7/H7</f>
        <v>1</v>
      </c>
      <c r="AC7" s="2673">
        <f>D7/J7</f>
        <v>1</v>
      </c>
    </row>
    <row r="8" spans="1:29" s="116" customFormat="1" ht="15.75" thickBot="1">
      <c r="A8" s="408" t="s">
        <v>2547</v>
      </c>
      <c r="B8" s="409"/>
      <c r="C8" s="414" t="s">
        <v>2649</v>
      </c>
      <c r="D8" s="411">
        <v>100</v>
      </c>
      <c r="E8" s="414" t="s">
        <v>3324</v>
      </c>
      <c r="F8" s="413">
        <f>SUMIF(62:62,E8,63:63)-SUMIF(62:62,C8,63:63)+100</f>
        <v>100</v>
      </c>
      <c r="G8" s="414" t="s">
        <v>3324</v>
      </c>
      <c r="H8" s="411">
        <f>SUMIF(62:62,G8,63:63)-SUMIF(62:62,C8,63:63)+100</f>
        <v>100</v>
      </c>
      <c r="I8" s="414" t="s">
        <v>3324</v>
      </c>
      <c r="J8" s="411">
        <f>SUMIF(62:62,I8,63:63)-SUMIF(62:62,C8,63:63)+100</f>
        <v>100</v>
      </c>
      <c r="K8" s="611"/>
      <c r="L8" s="1135"/>
      <c r="M8" s="1136"/>
      <c r="N8" s="1136"/>
      <c r="O8" s="1136"/>
      <c r="P8" s="3278" t="s">
        <v>2549</v>
      </c>
      <c r="Q8" s="3279"/>
      <c r="R8" s="770" t="s">
        <v>17</v>
      </c>
      <c r="S8" s="771">
        <f t="shared" si="0"/>
        <v>100</v>
      </c>
      <c r="T8" s="770" t="s">
        <v>17</v>
      </c>
      <c r="U8" s="771">
        <f t="shared" si="1"/>
        <v>100</v>
      </c>
      <c r="V8" s="770" t="s">
        <v>17</v>
      </c>
      <c r="W8" s="771">
        <f t="shared" si="2"/>
        <v>100</v>
      </c>
      <c r="X8" s="772"/>
      <c r="Y8" s="3280" t="s">
        <v>2549</v>
      </c>
      <c r="Z8" s="3279"/>
      <c r="AA8" s="773">
        <f t="shared" ref="AA8:AA47" si="3">D8/F8</f>
        <v>1</v>
      </c>
      <c r="AB8" s="773">
        <f t="shared" ref="AB8:AB47" si="4">D8/H8</f>
        <v>1</v>
      </c>
      <c r="AC8" s="2673">
        <f t="shared" ref="AC8:AC47" si="5">D8/J8</f>
        <v>1</v>
      </c>
    </row>
    <row r="9" spans="1:29" s="116" customFormat="1">
      <c r="A9" s="415" t="s">
        <v>2550</v>
      </c>
      <c r="B9" s="70" t="s">
        <v>2551</v>
      </c>
      <c r="C9" s="3043" t="s">
        <v>3284</v>
      </c>
      <c r="D9" s="134">
        <v>100</v>
      </c>
      <c r="E9" s="419" t="s">
        <v>27</v>
      </c>
      <c r="F9" s="134">
        <f>SUMIF(64:64,E9,65:65)-SUMIF(64:64,C9,65:65)+100</f>
        <v>115</v>
      </c>
      <c r="G9" s="417" t="s">
        <v>27</v>
      </c>
      <c r="H9" s="134">
        <f>SUMIF(64:64,G9,65:65)-SUMIF(64:64,C9,65:65)+100</f>
        <v>115</v>
      </c>
      <c r="I9" s="417" t="s">
        <v>27</v>
      </c>
      <c r="J9" s="134">
        <f>SUMIF(64:64,I9,65:65)-SUMIF(64:64,C9,65:65)+100</f>
        <v>115</v>
      </c>
      <c r="K9" s="611"/>
      <c r="L9" s="1135"/>
      <c r="M9" s="1136"/>
      <c r="N9" s="1136"/>
      <c r="O9" s="1136"/>
      <c r="P9" s="3238" t="s">
        <v>2552</v>
      </c>
      <c r="Q9" s="1799" t="str">
        <f t="shared" ref="Q9:Q15" si="6">B9</f>
        <v>用途</v>
      </c>
      <c r="R9" s="770" t="s">
        <v>17</v>
      </c>
      <c r="S9" s="771">
        <f t="shared" si="0"/>
        <v>115</v>
      </c>
      <c r="T9" s="770" t="s">
        <v>17</v>
      </c>
      <c r="U9" s="771">
        <f t="shared" si="1"/>
        <v>115</v>
      </c>
      <c r="V9" s="770" t="s">
        <v>17</v>
      </c>
      <c r="W9" s="771">
        <f t="shared" si="2"/>
        <v>115</v>
      </c>
      <c r="X9" s="772"/>
      <c r="Y9" s="3096" t="s">
        <v>2553</v>
      </c>
      <c r="Z9" s="54" t="str">
        <f t="shared" ref="Z9:Z15" si="7">Q9</f>
        <v>用途</v>
      </c>
      <c r="AA9" s="773">
        <f t="shared" si="3"/>
        <v>0.86956521739130432</v>
      </c>
      <c r="AB9" s="773">
        <f t="shared" si="4"/>
        <v>0.86956521739130432</v>
      </c>
      <c r="AC9" s="2673">
        <f t="shared" si="5"/>
        <v>0.86956521739130432</v>
      </c>
    </row>
    <row r="10" spans="1:29" s="427" customFormat="1" ht="27">
      <c r="A10" s="421"/>
      <c r="B10" s="422" t="s">
        <v>2554</v>
      </c>
      <c r="C10" s="423" t="s">
        <v>3325</v>
      </c>
      <c r="D10" s="135">
        <v>100</v>
      </c>
      <c r="E10" s="423" t="s">
        <v>3325</v>
      </c>
      <c r="F10" s="135">
        <f>SUMIF(66:66,E10,67:67)-SUMIF(66:66,C10,67:67)+100</f>
        <v>100</v>
      </c>
      <c r="G10" s="424" t="s">
        <v>3325</v>
      </c>
      <c r="H10" s="135">
        <f>SUMIF(66:66,G10,67:67)-SUMIF(66:66,C10,67:67)+100</f>
        <v>100</v>
      </c>
      <c r="I10" s="423" t="s">
        <v>3325</v>
      </c>
      <c r="J10" s="135">
        <f>SUMIF(66:66,I10,67:67)-SUMIF(66:66,C10,67:67)+100</f>
        <v>100</v>
      </c>
      <c r="K10" s="612">
        <v>2</v>
      </c>
      <c r="L10" s="1138"/>
      <c r="M10" s="1139"/>
      <c r="N10" s="1139"/>
      <c r="O10" s="1139"/>
      <c r="P10" s="3238"/>
      <c r="Q10" s="1799" t="str">
        <f t="shared" si="6"/>
        <v>土地使用年限（年）</v>
      </c>
      <c r="R10" s="770" t="s">
        <v>17</v>
      </c>
      <c r="S10" s="771">
        <f t="shared" si="0"/>
        <v>100</v>
      </c>
      <c r="T10" s="770" t="s">
        <v>17</v>
      </c>
      <c r="U10" s="771">
        <f t="shared" si="1"/>
        <v>100</v>
      </c>
      <c r="V10" s="770" t="s">
        <v>17</v>
      </c>
      <c r="W10" s="771">
        <f t="shared" si="2"/>
        <v>100</v>
      </c>
      <c r="X10" s="772"/>
      <c r="Y10" s="3096"/>
      <c r="Z10" s="54" t="str">
        <f t="shared" si="7"/>
        <v>土地使用年限（年）</v>
      </c>
      <c r="AA10" s="773">
        <f t="shared" si="3"/>
        <v>1</v>
      </c>
      <c r="AB10" s="773">
        <f t="shared" si="4"/>
        <v>1</v>
      </c>
      <c r="AC10" s="2673">
        <f t="shared" si="5"/>
        <v>1</v>
      </c>
    </row>
    <row r="11" spans="1:29" ht="15">
      <c r="A11" s="428"/>
      <c r="B11" s="422" t="s">
        <v>2555</v>
      </c>
      <c r="C11" s="429">
        <f>'数据-汇总表'!I5</f>
        <v>0.67</v>
      </c>
      <c r="D11" s="135">
        <v>100</v>
      </c>
      <c r="E11" s="429"/>
      <c r="F11" s="135">
        <f>LOOKUP(E11,69:69,70:70)-LOOKUP(C11,69:69,70:70)+100</f>
        <v>100</v>
      </c>
      <c r="G11" s="430"/>
      <c r="H11" s="135">
        <f>LOOKUP(G11,69:69,70:70)-LOOKUP(C11,69:69,70:70)+100</f>
        <v>100</v>
      </c>
      <c r="I11" s="429"/>
      <c r="J11" s="135">
        <f>LOOKUP(I11,69:69,70:70)-LOOKUP(C11,69:69,70:70)+100</f>
        <v>100</v>
      </c>
      <c r="K11" s="612">
        <v>0</v>
      </c>
      <c r="L11" s="1141"/>
      <c r="M11" s="1134"/>
      <c r="N11" s="1134"/>
      <c r="O11" s="1134"/>
      <c r="P11" s="3238"/>
      <c r="Q11" s="1799" t="str">
        <f t="shared" si="6"/>
        <v>容积率</v>
      </c>
      <c r="R11" s="770" t="s">
        <v>17</v>
      </c>
      <c r="S11" s="771">
        <f t="shared" si="0"/>
        <v>100</v>
      </c>
      <c r="T11" s="770" t="s">
        <v>17</v>
      </c>
      <c r="U11" s="771">
        <f t="shared" si="1"/>
        <v>100</v>
      </c>
      <c r="V11" s="770" t="s">
        <v>17</v>
      </c>
      <c r="W11" s="771">
        <f t="shared" si="2"/>
        <v>100</v>
      </c>
      <c r="X11" s="772"/>
      <c r="Y11" s="3096"/>
      <c r="Z11" s="54" t="str">
        <f t="shared" si="7"/>
        <v>容积率</v>
      </c>
      <c r="AA11" s="773">
        <f t="shared" si="3"/>
        <v>1</v>
      </c>
      <c r="AB11" s="773">
        <f t="shared" si="4"/>
        <v>1</v>
      </c>
      <c r="AC11" s="2673">
        <f t="shared" si="5"/>
        <v>1</v>
      </c>
    </row>
    <row r="12" spans="1:29" s="116" customFormat="1" ht="15">
      <c r="A12" s="431"/>
      <c r="B12" s="2602">
        <v>111</v>
      </c>
      <c r="C12" s="432"/>
      <c r="D12" s="433">
        <v>100</v>
      </c>
      <c r="E12" s="432"/>
      <c r="F12" s="135">
        <f>SUMIF(71:71,E12,72:72)-SUMIF(71:71,C12,72:72)+100</f>
        <v>100</v>
      </c>
      <c r="G12" s="2674"/>
      <c r="H12" s="135">
        <f>SUMIF(71:71,G12,72:72)-SUMIF(71:71,C12,72:72)+100</f>
        <v>100</v>
      </c>
      <c r="I12" s="432"/>
      <c r="J12" s="135">
        <f>SUMIF(71:71,I12,72:72)-SUMIF(71:71,C12,72:72)+100</f>
        <v>100</v>
      </c>
      <c r="K12" s="613"/>
      <c r="L12" s="1135"/>
      <c r="M12" s="1136"/>
      <c r="N12" s="1136"/>
      <c r="O12" s="1136"/>
      <c r="P12" s="3238"/>
      <c r="Q12" s="1799">
        <f t="shared" si="6"/>
        <v>111</v>
      </c>
      <c r="R12" s="770" t="s">
        <v>17</v>
      </c>
      <c r="S12" s="771">
        <f t="shared" si="0"/>
        <v>100</v>
      </c>
      <c r="T12" s="770" t="s">
        <v>17</v>
      </c>
      <c r="U12" s="771">
        <f t="shared" si="1"/>
        <v>100</v>
      </c>
      <c r="V12" s="770" t="s">
        <v>17</v>
      </c>
      <c r="W12" s="771">
        <f t="shared" si="2"/>
        <v>100</v>
      </c>
      <c r="X12" s="772"/>
      <c r="Y12" s="3096"/>
      <c r="Z12" s="54">
        <f t="shared" si="7"/>
        <v>111</v>
      </c>
      <c r="AA12" s="773">
        <f>D12/F12</f>
        <v>1</v>
      </c>
      <c r="AB12" s="773">
        <f>D12/H12</f>
        <v>1</v>
      </c>
      <c r="AC12" s="2673">
        <f>D12/J12</f>
        <v>1</v>
      </c>
    </row>
    <row r="13" spans="1:29" ht="15">
      <c r="A13" s="428"/>
      <c r="B13" s="2602">
        <v>111</v>
      </c>
      <c r="C13" s="434"/>
      <c r="D13" s="435">
        <v>100</v>
      </c>
      <c r="E13" s="432"/>
      <c r="F13" s="135">
        <f>SUMIF(73:73,E13,74:74)-SUMIF(73:73,C13,74:74)+100</f>
        <v>100</v>
      </c>
      <c r="G13" s="2674"/>
      <c r="H13" s="435">
        <f>SUMIF(73:73,G13,74:74)-SUMIF(73:73,C13,74:74)+100</f>
        <v>100</v>
      </c>
      <c r="I13" s="432"/>
      <c r="J13" s="435">
        <f>SUMIF(73:73,I13,74:74)-SUMIF(73:73,C13,74:74)+100</f>
        <v>100</v>
      </c>
      <c r="K13" s="613"/>
      <c r="L13" s="1143"/>
      <c r="M13" s="1134"/>
      <c r="N13" s="1134"/>
      <c r="O13" s="1134"/>
      <c r="P13" s="3238"/>
      <c r="Q13" s="1799">
        <f t="shared" si="6"/>
        <v>111</v>
      </c>
      <c r="R13" s="770" t="s">
        <v>17</v>
      </c>
      <c r="S13" s="771">
        <f t="shared" si="0"/>
        <v>100</v>
      </c>
      <c r="T13" s="770" t="s">
        <v>17</v>
      </c>
      <c r="U13" s="771">
        <f t="shared" si="1"/>
        <v>100</v>
      </c>
      <c r="V13" s="770" t="s">
        <v>17</v>
      </c>
      <c r="W13" s="771">
        <f t="shared" si="2"/>
        <v>100</v>
      </c>
      <c r="X13" s="772"/>
      <c r="Y13" s="3096"/>
      <c r="Z13" s="54">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38"/>
      <c r="Q14" s="1799">
        <f t="shared" si="6"/>
        <v>111</v>
      </c>
      <c r="R14" s="770" t="s">
        <v>17</v>
      </c>
      <c r="S14" s="771">
        <f t="shared" si="0"/>
        <v>100</v>
      </c>
      <c r="T14" s="770" t="s">
        <v>17</v>
      </c>
      <c r="U14" s="771">
        <f t="shared" si="1"/>
        <v>100</v>
      </c>
      <c r="V14" s="770" t="s">
        <v>17</v>
      </c>
      <c r="W14" s="771">
        <f t="shared" si="2"/>
        <v>100</v>
      </c>
      <c r="X14" s="772"/>
      <c r="Y14" s="3096"/>
      <c r="Z14" s="54">
        <f t="shared" si="7"/>
        <v>111</v>
      </c>
      <c r="AA14" s="773">
        <f t="shared" si="3"/>
        <v>1</v>
      </c>
      <c r="AB14" s="773">
        <f t="shared" si="4"/>
        <v>1</v>
      </c>
      <c r="AC14" s="2673">
        <f t="shared" si="5"/>
        <v>1</v>
      </c>
    </row>
    <row r="15" spans="1:29" ht="71.25">
      <c r="A15" s="440" t="s">
        <v>2556</v>
      </c>
      <c r="B15" s="629" t="s">
        <v>2684</v>
      </c>
      <c r="C15" s="2675" t="str">
        <f>估价对象房地状况!C5</f>
        <v>估价对象位于三里屯，周边办公楼项目较多，入驻率较高，办公集聚程度较好。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44" t="s">
        <v>2557</v>
      </c>
      <c r="Q15" s="1814" t="str">
        <f t="shared" si="6"/>
        <v>办公集聚程度</v>
      </c>
      <c r="R15" s="774" t="s">
        <v>17</v>
      </c>
      <c r="S15" s="775">
        <f t="shared" si="0"/>
        <v>100</v>
      </c>
      <c r="T15" s="774" t="s">
        <v>17</v>
      </c>
      <c r="U15" s="775">
        <f t="shared" si="1"/>
        <v>100</v>
      </c>
      <c r="V15" s="774" t="s">
        <v>17</v>
      </c>
      <c r="W15" s="775">
        <f t="shared" si="2"/>
        <v>100</v>
      </c>
      <c r="X15" s="1817"/>
      <c r="Y15" s="3246" t="s">
        <v>2557</v>
      </c>
      <c r="Z15" s="1818" t="str">
        <f t="shared" si="7"/>
        <v>办公集聚程度</v>
      </c>
      <c r="AA15" s="1815">
        <f t="shared" si="3"/>
        <v>1</v>
      </c>
      <c r="AB15" s="1815">
        <f t="shared" si="4"/>
        <v>1</v>
      </c>
      <c r="AC15" s="2676">
        <f t="shared" si="5"/>
        <v>1</v>
      </c>
    </row>
    <row r="16" spans="1:29" ht="15">
      <c r="A16" s="428"/>
      <c r="B16" s="630"/>
      <c r="C16" s="2613" t="s">
        <v>3326</v>
      </c>
      <c r="D16" s="448"/>
      <c r="E16" s="447" t="s">
        <v>3326</v>
      </c>
      <c r="F16" s="448"/>
      <c r="G16" s="2613" t="s">
        <v>3326</v>
      </c>
      <c r="H16" s="450"/>
      <c r="I16" s="447" t="s">
        <v>3326</v>
      </c>
      <c r="J16" s="448"/>
      <c r="K16" s="615"/>
      <c r="L16" s="1143"/>
      <c r="M16" s="1134"/>
      <c r="N16" s="1134"/>
      <c r="O16" s="1134"/>
      <c r="P16" s="3245"/>
      <c r="Q16" s="1814"/>
      <c r="R16" s="774"/>
      <c r="S16" s="775"/>
      <c r="T16" s="774"/>
      <c r="U16" s="775"/>
      <c r="V16" s="774"/>
      <c r="W16" s="775"/>
      <c r="X16" s="1817"/>
      <c r="Y16" s="3247"/>
      <c r="Z16" s="1818"/>
      <c r="AA16" s="1815">
        <v>1</v>
      </c>
      <c r="AB16" s="1815">
        <v>1</v>
      </c>
      <c r="AC16" s="2676">
        <v>1</v>
      </c>
    </row>
    <row r="17" spans="1:29" ht="114">
      <c r="A17" s="428"/>
      <c r="B17" s="631" t="s">
        <v>2096</v>
      </c>
      <c r="C17" s="2677" t="str">
        <f>估价对象房地状况!C6</f>
        <v>估价对象周边有113路、115路、117路等多条公交线路，有地铁团结湖站，路网较密集，停车便捷程度较好，综合评价交通便捷度较好。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45"/>
      <c r="Q17" s="1814" t="str">
        <f>B17</f>
        <v>交通便捷度</v>
      </c>
      <c r="R17" s="774" t="s">
        <v>17</v>
      </c>
      <c r="S17" s="775">
        <f>F17</f>
        <v>100</v>
      </c>
      <c r="T17" s="774" t="s">
        <v>17</v>
      </c>
      <c r="U17" s="775">
        <f>H17</f>
        <v>100</v>
      </c>
      <c r="V17" s="774" t="s">
        <v>17</v>
      </c>
      <c r="W17" s="775">
        <f>J17</f>
        <v>100</v>
      </c>
      <c r="X17" s="1817"/>
      <c r="Y17" s="3247"/>
      <c r="Z17" s="1818" t="str">
        <f>Q17</f>
        <v>交通便捷度</v>
      </c>
      <c r="AA17" s="1815">
        <f t="shared" si="3"/>
        <v>1</v>
      </c>
      <c r="AB17" s="1815">
        <f t="shared" si="4"/>
        <v>1</v>
      </c>
      <c r="AC17" s="2676">
        <f t="shared" si="5"/>
        <v>1</v>
      </c>
    </row>
    <row r="18" spans="1:29" ht="15">
      <c r="A18" s="428"/>
      <c r="B18" s="632"/>
      <c r="C18" s="2678" t="s">
        <v>3326</v>
      </c>
      <c r="D18" s="450"/>
      <c r="E18" s="2611" t="s">
        <v>3326</v>
      </c>
      <c r="F18" s="450"/>
      <c r="G18" s="2612" t="s">
        <v>3326</v>
      </c>
      <c r="H18" s="448"/>
      <c r="I18" s="2612" t="s">
        <v>3326</v>
      </c>
      <c r="J18" s="448"/>
      <c r="K18" s="615"/>
      <c r="L18" s="1143"/>
      <c r="M18" s="1134"/>
      <c r="N18" s="1134"/>
      <c r="O18" s="1134"/>
      <c r="P18" s="3245"/>
      <c r="Q18" s="1814"/>
      <c r="R18" s="774"/>
      <c r="S18" s="775"/>
      <c r="T18" s="774"/>
      <c r="U18" s="775"/>
      <c r="V18" s="774"/>
      <c r="W18" s="775"/>
      <c r="X18" s="1817"/>
      <c r="Y18" s="3247"/>
      <c r="Z18" s="1818"/>
      <c r="AA18" s="1815">
        <v>1</v>
      </c>
      <c r="AB18" s="1815">
        <v>1</v>
      </c>
      <c r="AC18" s="2676">
        <v>1</v>
      </c>
    </row>
    <row r="19" spans="1:29" ht="171">
      <c r="A19" s="428"/>
      <c r="B19" s="631" t="s">
        <v>2685</v>
      </c>
      <c r="C19" s="2677"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45"/>
      <c r="Q19" s="1814" t="str">
        <f>B19</f>
        <v>公共配套设施</v>
      </c>
      <c r="R19" s="774" t="s">
        <v>17</v>
      </c>
      <c r="S19" s="775">
        <f>F19</f>
        <v>100</v>
      </c>
      <c r="T19" s="774" t="s">
        <v>17</v>
      </c>
      <c r="U19" s="775">
        <f>H19</f>
        <v>100</v>
      </c>
      <c r="V19" s="774" t="s">
        <v>17</v>
      </c>
      <c r="W19" s="775">
        <f>J19</f>
        <v>100</v>
      </c>
      <c r="X19" s="1817"/>
      <c r="Y19" s="3247"/>
      <c r="Z19" s="1818" t="str">
        <f>Q19</f>
        <v>公共配套设施</v>
      </c>
      <c r="AA19" s="1815">
        <f t="shared" si="3"/>
        <v>1</v>
      </c>
      <c r="AB19" s="1815">
        <f t="shared" si="4"/>
        <v>1</v>
      </c>
      <c r="AC19" s="2676">
        <f t="shared" si="5"/>
        <v>1</v>
      </c>
    </row>
    <row r="20" spans="1:29" ht="15">
      <c r="A20" s="428"/>
      <c r="B20" s="632"/>
      <c r="C20" s="2613" t="s">
        <v>3326</v>
      </c>
      <c r="D20" s="448"/>
      <c r="E20" s="2606" t="s">
        <v>3326</v>
      </c>
      <c r="F20" s="448"/>
      <c r="G20" s="2607" t="s">
        <v>3326</v>
      </c>
      <c r="H20" s="448"/>
      <c r="I20" s="2607" t="s">
        <v>3326</v>
      </c>
      <c r="J20" s="448"/>
      <c r="K20" s="615"/>
      <c r="L20" s="1143"/>
      <c r="M20" s="1134"/>
      <c r="N20" s="1134"/>
      <c r="O20" s="1134"/>
      <c r="P20" s="3245"/>
      <c r="Q20" s="1814"/>
      <c r="R20" s="774"/>
      <c r="S20" s="775"/>
      <c r="T20" s="774"/>
      <c r="U20" s="775"/>
      <c r="V20" s="774"/>
      <c r="W20" s="775"/>
      <c r="X20" s="1817"/>
      <c r="Y20" s="3247"/>
      <c r="Z20" s="1818"/>
      <c r="AA20" s="1815">
        <v>1</v>
      </c>
      <c r="AB20" s="1815">
        <v>1</v>
      </c>
      <c r="AC20" s="2676">
        <v>1</v>
      </c>
    </row>
    <row r="21" spans="1:29" ht="42.75">
      <c r="A21" s="428"/>
      <c r="B21" s="633" t="s">
        <v>2686</v>
      </c>
      <c r="C21" s="2677"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45"/>
      <c r="Q21" s="1814" t="str">
        <f>B21</f>
        <v>基础设施水平</v>
      </c>
      <c r="R21" s="774" t="s">
        <v>17</v>
      </c>
      <c r="S21" s="775">
        <f>F21</f>
        <v>100</v>
      </c>
      <c r="T21" s="774" t="s">
        <v>17</v>
      </c>
      <c r="U21" s="775">
        <f>H21</f>
        <v>100</v>
      </c>
      <c r="V21" s="774" t="s">
        <v>17</v>
      </c>
      <c r="W21" s="775">
        <f>J21</f>
        <v>100</v>
      </c>
      <c r="X21" s="1817"/>
      <c r="Y21" s="3247"/>
      <c r="Z21" s="1818" t="str">
        <f>Q21</f>
        <v>基础设施水平</v>
      </c>
      <c r="AA21" s="1815">
        <f t="shared" ref="AA21" si="8">D21/F21</f>
        <v>1</v>
      </c>
      <c r="AB21" s="1815">
        <f t="shared" ref="AB21" si="9">D21/H21</f>
        <v>1</v>
      </c>
      <c r="AC21" s="2676">
        <f t="shared" ref="AC21" si="10">D21/J21</f>
        <v>1</v>
      </c>
    </row>
    <row r="22" spans="1:29" ht="15">
      <c r="A22" s="428"/>
      <c r="B22" s="633"/>
      <c r="C22" s="2678" t="s">
        <v>3304</v>
      </c>
      <c r="D22" s="448"/>
      <c r="E22" s="447" t="s">
        <v>3304</v>
      </c>
      <c r="F22" s="448"/>
      <c r="G22" s="2613" t="s">
        <v>3304</v>
      </c>
      <c r="H22" s="448"/>
      <c r="I22" s="2613" t="s">
        <v>3304</v>
      </c>
      <c r="J22" s="448"/>
      <c r="K22" s="1386"/>
      <c r="L22" s="1143"/>
      <c r="M22" s="1134"/>
      <c r="N22" s="1134"/>
      <c r="O22" s="1134"/>
      <c r="P22" s="3245"/>
      <c r="Q22" s="1814"/>
      <c r="R22" s="774"/>
      <c r="S22" s="775"/>
      <c r="T22" s="774"/>
      <c r="U22" s="775"/>
      <c r="V22" s="774"/>
      <c r="W22" s="775"/>
      <c r="X22" s="1817"/>
      <c r="Y22" s="3247"/>
      <c r="Z22" s="1818"/>
      <c r="AA22" s="1815">
        <v>1</v>
      </c>
      <c r="AB22" s="1815">
        <v>1</v>
      </c>
      <c r="AC22" s="2676">
        <v>1</v>
      </c>
    </row>
    <row r="23" spans="1:29" ht="128.25">
      <c r="A23" s="428"/>
      <c r="B23" s="631" t="s">
        <v>2687</v>
      </c>
      <c r="C23" s="2677" t="str">
        <f>估价对象房地状况!C9</f>
        <v>估价对象所在区域有团结湖公园，自然情况较好；有农业展览馆、北京联合大学机电学院等人文设施，人文情况较好；综合评价自然及人文环境较好。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45"/>
      <c r="Q23" s="1814" t="str">
        <f>B23</f>
        <v>环境质量</v>
      </c>
      <c r="R23" s="774" t="s">
        <v>17</v>
      </c>
      <c r="S23" s="775">
        <f>F23</f>
        <v>100</v>
      </c>
      <c r="T23" s="774" t="s">
        <v>17</v>
      </c>
      <c r="U23" s="775">
        <f>H23</f>
        <v>100</v>
      </c>
      <c r="V23" s="774" t="s">
        <v>17</v>
      </c>
      <c r="W23" s="775">
        <f>J23</f>
        <v>100</v>
      </c>
      <c r="X23" s="1817"/>
      <c r="Y23" s="3247"/>
      <c r="Z23" s="1818" t="str">
        <f>Q23</f>
        <v>环境质量</v>
      </c>
      <c r="AA23" s="1815">
        <f t="shared" si="3"/>
        <v>1</v>
      </c>
      <c r="AB23" s="1815">
        <f t="shared" si="4"/>
        <v>1</v>
      </c>
      <c r="AC23" s="2676">
        <f t="shared" si="5"/>
        <v>1</v>
      </c>
    </row>
    <row r="24" spans="1:29" ht="15">
      <c r="A24" s="428"/>
      <c r="B24" s="633"/>
      <c r="C24" s="2613" t="s">
        <v>3326</v>
      </c>
      <c r="D24" s="448"/>
      <c r="E24" s="2606" t="s">
        <v>3326</v>
      </c>
      <c r="F24" s="448"/>
      <c r="G24" s="2607" t="s">
        <v>3326</v>
      </c>
      <c r="H24" s="448"/>
      <c r="I24" s="2607" t="s">
        <v>3326</v>
      </c>
      <c r="J24" s="448"/>
      <c r="K24" s="615"/>
      <c r="L24" s="1143"/>
      <c r="M24" s="1134"/>
      <c r="N24" s="1134"/>
      <c r="O24" s="1134"/>
      <c r="P24" s="3245"/>
      <c r="Q24" s="1814"/>
      <c r="R24" s="774"/>
      <c r="S24" s="775"/>
      <c r="T24" s="774"/>
      <c r="U24" s="775"/>
      <c r="V24" s="774"/>
      <c r="W24" s="775"/>
      <c r="X24" s="1817"/>
      <c r="Y24" s="3247"/>
      <c r="Z24" s="1818"/>
      <c r="AA24" s="1815">
        <v>1</v>
      </c>
      <c r="AB24" s="1815">
        <v>1</v>
      </c>
      <c r="AC24" s="2676">
        <v>1</v>
      </c>
    </row>
    <row r="25" spans="1:29" ht="27">
      <c r="A25" s="404"/>
      <c r="B25" s="631" t="s">
        <v>2688</v>
      </c>
      <c r="C25" s="2617"/>
      <c r="D25" s="435">
        <v>100</v>
      </c>
      <c r="E25" s="434"/>
      <c r="F25" s="435">
        <f>SUMIF(87:87,E26,88:88)-SUMIF(87:87,C26,88:88)+100</f>
        <v>100</v>
      </c>
      <c r="G25" s="2617"/>
      <c r="H25" s="435">
        <f>SUMIF(87:87,G26,88:88)-SUMIF(87:87,C26,88:88)+100</f>
        <v>100</v>
      </c>
      <c r="I25" s="434"/>
      <c r="J25" s="435">
        <f>SUMIF(87:87,I26,88:88)-SUMIF(87:87,C26,88:88)+100</f>
        <v>100</v>
      </c>
      <c r="K25" s="614">
        <v>2</v>
      </c>
      <c r="L25" s="1143"/>
      <c r="M25" s="1134"/>
      <c r="N25" s="1134"/>
      <c r="O25" s="1134"/>
      <c r="P25" s="3245"/>
      <c r="Q25" s="1814" t="str">
        <f>B25</f>
        <v>毗邻道路的类型与等级</v>
      </c>
      <c r="R25" s="774" t="s">
        <v>17</v>
      </c>
      <c r="S25" s="775">
        <f>F25</f>
        <v>100</v>
      </c>
      <c r="T25" s="774" t="s">
        <v>17</v>
      </c>
      <c r="U25" s="775">
        <f>H25</f>
        <v>100</v>
      </c>
      <c r="V25" s="774" t="s">
        <v>17</v>
      </c>
      <c r="W25" s="775">
        <f>J25</f>
        <v>100</v>
      </c>
      <c r="X25" s="1817"/>
      <c r="Y25" s="3247"/>
      <c r="Z25" s="1818" t="str">
        <f>Q25</f>
        <v>毗邻道路的类型与等级</v>
      </c>
      <c r="AA25" s="1815">
        <f t="shared" si="3"/>
        <v>1</v>
      </c>
      <c r="AB25" s="1815">
        <f t="shared" si="4"/>
        <v>1</v>
      </c>
      <c r="AC25" s="2676">
        <f t="shared" si="5"/>
        <v>1</v>
      </c>
    </row>
    <row r="26" spans="1:29" ht="15">
      <c r="A26" s="404"/>
      <c r="B26" s="632"/>
      <c r="C26" s="634" t="s">
        <v>3290</v>
      </c>
      <c r="D26" s="435"/>
      <c r="E26" s="616" t="s">
        <v>3290</v>
      </c>
      <c r="F26" s="435"/>
      <c r="G26" s="634" t="s">
        <v>3290</v>
      </c>
      <c r="H26" s="435"/>
      <c r="I26" s="616" t="s">
        <v>3290</v>
      </c>
      <c r="J26" s="435"/>
      <c r="K26" s="615"/>
      <c r="L26" s="1143"/>
      <c r="M26" s="1134"/>
      <c r="N26" s="1134"/>
      <c r="O26" s="1134"/>
      <c r="P26" s="3245"/>
      <c r="Q26" s="1814"/>
      <c r="R26" s="774"/>
      <c r="S26" s="775"/>
      <c r="T26" s="774"/>
      <c r="U26" s="775"/>
      <c r="V26" s="774"/>
      <c r="W26" s="775"/>
      <c r="X26" s="1817"/>
      <c r="Y26" s="3247"/>
      <c r="Z26" s="1818"/>
      <c r="AA26" s="1815">
        <v>1</v>
      </c>
      <c r="AB26" s="1815">
        <v>1</v>
      </c>
      <c r="AC26" s="2676">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5"/>
      <c r="Q27" s="1814" t="str">
        <f t="shared" ref="Q27:Q47" si="11">B27</f>
        <v>楼层</v>
      </c>
      <c r="R27" s="774" t="s">
        <v>17</v>
      </c>
      <c r="S27" s="775">
        <f>F27</f>
        <v>100</v>
      </c>
      <c r="T27" s="774" t="s">
        <v>17</v>
      </c>
      <c r="U27" s="775">
        <f>H27</f>
        <v>100</v>
      </c>
      <c r="V27" s="774" t="s">
        <v>17</v>
      </c>
      <c r="W27" s="775">
        <f>J27</f>
        <v>100</v>
      </c>
      <c r="X27" s="1817"/>
      <c r="Y27" s="3247"/>
      <c r="Z27" s="1818" t="str">
        <f>Q27</f>
        <v>楼层</v>
      </c>
      <c r="AA27" s="1815">
        <f t="shared" si="3"/>
        <v>1</v>
      </c>
      <c r="AB27" s="1815">
        <f t="shared" si="4"/>
        <v>1</v>
      </c>
      <c r="AC27" s="2676">
        <f t="shared" si="5"/>
        <v>1</v>
      </c>
    </row>
    <row r="28" spans="1:29" s="116" customFormat="1" ht="15">
      <c r="A28" s="431"/>
      <c r="B28" s="631" t="s">
        <v>2689</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45"/>
      <c r="Q28" s="1799" t="str">
        <f t="shared" si="11"/>
        <v>朝向</v>
      </c>
      <c r="R28" s="770" t="s">
        <v>17</v>
      </c>
      <c r="S28" s="771">
        <f>F28</f>
        <v>100</v>
      </c>
      <c r="T28" s="770" t="s">
        <v>17</v>
      </c>
      <c r="U28" s="771">
        <f>H28</f>
        <v>100</v>
      </c>
      <c r="V28" s="770" t="s">
        <v>17</v>
      </c>
      <c r="W28" s="771">
        <f>J28</f>
        <v>100</v>
      </c>
      <c r="X28" s="772"/>
      <c r="Y28" s="3247"/>
      <c r="Z28" s="54" t="str">
        <f>Q28</f>
        <v>朝向</v>
      </c>
      <c r="AA28" s="1815">
        <f>D28/F28</f>
        <v>1</v>
      </c>
      <c r="AB28" s="1815">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45"/>
      <c r="Q29" s="1814">
        <f t="shared" si="11"/>
        <v>111</v>
      </c>
      <c r="R29" s="774" t="s">
        <v>17</v>
      </c>
      <c r="S29" s="775">
        <f t="shared" ref="S29:S47" si="12">F29</f>
        <v>100</v>
      </c>
      <c r="T29" s="774" t="s">
        <v>17</v>
      </c>
      <c r="U29" s="775">
        <f t="shared" ref="U29:U47" si="13">H29</f>
        <v>100</v>
      </c>
      <c r="V29" s="774" t="s">
        <v>17</v>
      </c>
      <c r="W29" s="775">
        <f t="shared" ref="W29:W47" si="14">J29</f>
        <v>100</v>
      </c>
      <c r="X29" s="1817"/>
      <c r="Y29" s="3247"/>
      <c r="Z29" s="1818">
        <f t="shared" ref="Z29:Z47" si="15">Q29</f>
        <v>111</v>
      </c>
      <c r="AA29" s="1815">
        <f t="shared" si="3"/>
        <v>1</v>
      </c>
      <c r="AB29" s="1815">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45"/>
      <c r="Q30" s="1814">
        <f t="shared" si="11"/>
        <v>111</v>
      </c>
      <c r="R30" s="774" t="s">
        <v>17</v>
      </c>
      <c r="S30" s="775">
        <f t="shared" si="12"/>
        <v>100</v>
      </c>
      <c r="T30" s="774" t="s">
        <v>17</v>
      </c>
      <c r="U30" s="775">
        <f t="shared" si="13"/>
        <v>100</v>
      </c>
      <c r="V30" s="774" t="s">
        <v>17</v>
      </c>
      <c r="W30" s="775">
        <f t="shared" si="14"/>
        <v>100</v>
      </c>
      <c r="X30" s="1817"/>
      <c r="Y30" s="3247"/>
      <c r="Z30" s="1818">
        <f t="shared" si="15"/>
        <v>111</v>
      </c>
      <c r="AA30" s="1815">
        <f t="shared" si="3"/>
        <v>1</v>
      </c>
      <c r="AB30" s="1815">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45"/>
      <c r="Q31" s="1814">
        <f t="shared" si="11"/>
        <v>111</v>
      </c>
      <c r="R31" s="774" t="s">
        <v>17</v>
      </c>
      <c r="S31" s="775">
        <f t="shared" si="12"/>
        <v>100</v>
      </c>
      <c r="T31" s="774" t="s">
        <v>17</v>
      </c>
      <c r="U31" s="775">
        <f t="shared" si="13"/>
        <v>100</v>
      </c>
      <c r="V31" s="774" t="s">
        <v>17</v>
      </c>
      <c r="W31" s="775">
        <f t="shared" si="14"/>
        <v>100</v>
      </c>
      <c r="X31" s="1817"/>
      <c r="Y31" s="3247"/>
      <c r="Z31" s="1818">
        <f t="shared" si="15"/>
        <v>111</v>
      </c>
      <c r="AA31" s="1815">
        <f t="shared" si="3"/>
        <v>1</v>
      </c>
      <c r="AB31" s="1815">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45"/>
      <c r="Q32" s="1814">
        <f t="shared" si="11"/>
        <v>111</v>
      </c>
      <c r="R32" s="774" t="s">
        <v>17</v>
      </c>
      <c r="S32" s="775">
        <f t="shared" si="12"/>
        <v>100</v>
      </c>
      <c r="T32" s="774" t="s">
        <v>17</v>
      </c>
      <c r="U32" s="775">
        <f t="shared" si="13"/>
        <v>100</v>
      </c>
      <c r="V32" s="774" t="s">
        <v>17</v>
      </c>
      <c r="W32" s="775">
        <f t="shared" si="14"/>
        <v>100</v>
      </c>
      <c r="X32" s="1817"/>
      <c r="Y32" s="3247"/>
      <c r="Z32" s="1818">
        <f t="shared" si="15"/>
        <v>111</v>
      </c>
      <c r="AA32" s="1815">
        <f t="shared" si="3"/>
        <v>1</v>
      </c>
      <c r="AB32" s="1815">
        <f t="shared" si="4"/>
        <v>1</v>
      </c>
      <c r="AC32" s="2676">
        <f t="shared" si="5"/>
        <v>1</v>
      </c>
    </row>
    <row r="33" spans="1:29" ht="15">
      <c r="A33" s="440" t="s">
        <v>2560</v>
      </c>
      <c r="B33" s="70" t="s">
        <v>2690</v>
      </c>
      <c r="C33" s="2681" t="s">
        <v>3059</v>
      </c>
      <c r="D33" s="467">
        <v>100</v>
      </c>
      <c r="E33" s="2681" t="s">
        <v>3059</v>
      </c>
      <c r="F33" s="461">
        <f>SUMIF(101:101,E33,102:102)-SUMIF(101:101,C33,102:102)+100</f>
        <v>100</v>
      </c>
      <c r="G33" s="2681" t="s">
        <v>3059</v>
      </c>
      <c r="H33" s="435">
        <f>SUMIF(101:101,G33,102:102)-SUMIF(101:101,C33,102:102)+100</f>
        <v>100</v>
      </c>
      <c r="I33" s="2681" t="s">
        <v>3059</v>
      </c>
      <c r="J33" s="467">
        <f>SUMIF(101:101,I33,102:102)-SUMIF(101:101,C33,102:102)+100</f>
        <v>100</v>
      </c>
      <c r="K33" s="612">
        <v>2</v>
      </c>
      <c r="L33" s="1143"/>
      <c r="M33" s="1134"/>
      <c r="N33" s="1134"/>
      <c r="O33" s="1134"/>
      <c r="P33" s="3248" t="s">
        <v>2562</v>
      </c>
      <c r="Q33" s="1814" t="str">
        <f t="shared" si="11"/>
        <v>建筑类型</v>
      </c>
      <c r="R33" s="774" t="s">
        <v>17</v>
      </c>
      <c r="S33" s="775">
        <f t="shared" si="12"/>
        <v>100</v>
      </c>
      <c r="T33" s="774" t="s">
        <v>17</v>
      </c>
      <c r="U33" s="775">
        <f t="shared" si="13"/>
        <v>100</v>
      </c>
      <c r="V33" s="774" t="s">
        <v>17</v>
      </c>
      <c r="W33" s="775">
        <f t="shared" si="14"/>
        <v>100</v>
      </c>
      <c r="X33" s="1817"/>
      <c r="Y33" s="3251" t="s">
        <v>2562</v>
      </c>
      <c r="Z33" s="1818" t="str">
        <f t="shared" si="15"/>
        <v>建筑类型</v>
      </c>
      <c r="AA33" s="1815">
        <f t="shared" si="3"/>
        <v>1</v>
      </c>
      <c r="AB33" s="1815">
        <f t="shared" si="4"/>
        <v>1</v>
      </c>
      <c r="AC33" s="2676">
        <f t="shared" si="5"/>
        <v>1</v>
      </c>
    </row>
    <row r="34" spans="1:29" s="471" customFormat="1" ht="15">
      <c r="A34" s="468"/>
      <c r="B34" s="422" t="s">
        <v>2563</v>
      </c>
      <c r="C34" s="469">
        <f>'数据-汇总表'!F19</f>
        <v>0</v>
      </c>
      <c r="D34" s="135">
        <v>100</v>
      </c>
      <c r="E34" s="430">
        <v>315680</v>
      </c>
      <c r="F34" s="425">
        <f>LOOKUP(E34,104:104,105:105)-LOOKUP(C34,104:104,105:105)+100</f>
        <v>105</v>
      </c>
      <c r="G34" s="429">
        <v>212000</v>
      </c>
      <c r="H34" s="135">
        <f>LOOKUP(G34,104:104,105:105)-LOOKUP(C34,104:104,105:105)+100</f>
        <v>104</v>
      </c>
      <c r="I34" s="429">
        <v>65000</v>
      </c>
      <c r="J34" s="135">
        <f>LOOKUP(I34,104:104,105:105)-LOOKUP(C34,104:104,105:105)+100</f>
        <v>101</v>
      </c>
      <c r="K34" s="613"/>
      <c r="L34" s="1141"/>
      <c r="M34" s="1144"/>
      <c r="N34" s="1144"/>
      <c r="O34" s="1144"/>
      <c r="P34" s="3249"/>
      <c r="Q34" s="776" t="str">
        <f t="shared" si="11"/>
        <v>项目建筑规模</v>
      </c>
      <c r="R34" s="777" t="s">
        <v>17</v>
      </c>
      <c r="S34" s="778">
        <f t="shared" si="12"/>
        <v>105</v>
      </c>
      <c r="T34" s="777" t="s">
        <v>17</v>
      </c>
      <c r="U34" s="778">
        <f t="shared" si="13"/>
        <v>104</v>
      </c>
      <c r="V34" s="777" t="s">
        <v>17</v>
      </c>
      <c r="W34" s="778">
        <f t="shared" si="14"/>
        <v>101</v>
      </c>
      <c r="X34" s="779"/>
      <c r="Y34" s="3251"/>
      <c r="Z34" s="780" t="str">
        <f t="shared" si="15"/>
        <v>项目建筑规模</v>
      </c>
      <c r="AA34" s="1815">
        <f t="shared" si="3"/>
        <v>0.95238095238095233</v>
      </c>
      <c r="AB34" s="1815">
        <f t="shared" si="4"/>
        <v>0.96153846153846156</v>
      </c>
      <c r="AC34" s="2676">
        <f t="shared" si="5"/>
        <v>0.99009900990099009</v>
      </c>
    </row>
    <row r="35" spans="1:29" ht="15">
      <c r="A35" s="472"/>
      <c r="B35" s="422" t="s">
        <v>2564</v>
      </c>
      <c r="C35" s="460" t="s">
        <v>3073</v>
      </c>
      <c r="D35" s="435">
        <v>100</v>
      </c>
      <c r="E35" s="460" t="s">
        <v>3073</v>
      </c>
      <c r="F35" s="461">
        <f>SUMIF(106:106,E35,107:107)-SUMIF(106:106,C35,107:107)+100</f>
        <v>100</v>
      </c>
      <c r="G35" s="460" t="s">
        <v>3073</v>
      </c>
      <c r="H35" s="435">
        <f>SUMIF(106:106,G35,107:107)-SUMIF(106:106,C35,107:107)+100</f>
        <v>100</v>
      </c>
      <c r="I35" s="460" t="s">
        <v>3073</v>
      </c>
      <c r="J35" s="435">
        <f>SUMIF(106:106,I35,107:107)-SUMIF(106:106,C35,107:107)+100</f>
        <v>100</v>
      </c>
      <c r="K35" s="612">
        <v>2</v>
      </c>
      <c r="L35" s="1143"/>
      <c r="M35" s="1134"/>
      <c r="N35" s="1134"/>
      <c r="O35" s="1134"/>
      <c r="P35" s="3249"/>
      <c r="Q35" s="1814" t="str">
        <f t="shared" si="11"/>
        <v>建筑结构</v>
      </c>
      <c r="R35" s="774" t="s">
        <v>17</v>
      </c>
      <c r="S35" s="775">
        <f t="shared" si="12"/>
        <v>100</v>
      </c>
      <c r="T35" s="774" t="s">
        <v>17</v>
      </c>
      <c r="U35" s="775">
        <f t="shared" si="13"/>
        <v>100</v>
      </c>
      <c r="V35" s="774" t="s">
        <v>17</v>
      </c>
      <c r="W35" s="775">
        <f t="shared" si="14"/>
        <v>100</v>
      </c>
      <c r="X35" s="1817"/>
      <c r="Y35" s="3251"/>
      <c r="Z35" s="1818" t="str">
        <f t="shared" si="15"/>
        <v>建筑结构</v>
      </c>
      <c r="AA35" s="1815">
        <f t="shared" si="3"/>
        <v>1</v>
      </c>
      <c r="AB35" s="1815">
        <f t="shared" si="4"/>
        <v>1</v>
      </c>
      <c r="AC35" s="2676">
        <f t="shared" si="5"/>
        <v>1</v>
      </c>
    </row>
    <row r="36" spans="1:29" ht="15">
      <c r="A36" s="472"/>
      <c r="B36" s="422" t="s">
        <v>2658</v>
      </c>
      <c r="C36" s="460" t="s">
        <v>3296</v>
      </c>
      <c r="D36" s="435">
        <v>100</v>
      </c>
      <c r="E36" s="460" t="s">
        <v>3296</v>
      </c>
      <c r="F36" s="461">
        <f>SUMIF(108:108,E36,109:109)-SUMIF(108:108,C36,109:109)+100</f>
        <v>100</v>
      </c>
      <c r="G36" s="460" t="s">
        <v>3296</v>
      </c>
      <c r="H36" s="435">
        <f>SUMIF(108:108,G36,109:109)-SUMIF(108:108,C36,109:109)+100</f>
        <v>100</v>
      </c>
      <c r="I36" s="460" t="s">
        <v>3296</v>
      </c>
      <c r="J36" s="435">
        <f>SUMIF(108:108,I36,109:109)-SUMIF(108:108,C36,109:109)+100</f>
        <v>100</v>
      </c>
      <c r="K36" s="612">
        <v>2</v>
      </c>
      <c r="L36" s="1143"/>
      <c r="M36" s="1134"/>
      <c r="N36" s="1134"/>
      <c r="O36" s="1134"/>
      <c r="P36" s="3249"/>
      <c r="Q36" s="1814" t="str">
        <f t="shared" si="11"/>
        <v>公共部分装修</v>
      </c>
      <c r="R36" s="774" t="s">
        <v>17</v>
      </c>
      <c r="S36" s="775">
        <f t="shared" si="12"/>
        <v>100</v>
      </c>
      <c r="T36" s="774" t="s">
        <v>17</v>
      </c>
      <c r="U36" s="775">
        <f t="shared" si="13"/>
        <v>100</v>
      </c>
      <c r="V36" s="774" t="s">
        <v>17</v>
      </c>
      <c r="W36" s="775">
        <f t="shared" si="14"/>
        <v>100</v>
      </c>
      <c r="X36" s="1817"/>
      <c r="Y36" s="3251"/>
      <c r="Z36" s="1818" t="str">
        <f t="shared" si="15"/>
        <v>公共部分装修</v>
      </c>
      <c r="AA36" s="1815">
        <f t="shared" si="3"/>
        <v>1</v>
      </c>
      <c r="AB36" s="1815">
        <f t="shared" si="4"/>
        <v>1</v>
      </c>
      <c r="AC36" s="2676">
        <f t="shared" si="5"/>
        <v>1</v>
      </c>
    </row>
    <row r="37" spans="1:29" ht="15">
      <c r="A37" s="472"/>
      <c r="B37" s="422" t="s">
        <v>2659</v>
      </c>
      <c r="C37" s="474">
        <f>'数据-取费表'!Y6</f>
        <v>0</v>
      </c>
      <c r="D37" s="435">
        <v>100</v>
      </c>
      <c r="E37" s="474">
        <f>ROUND(1-(2017-2008)/60,2)</f>
        <v>0.85</v>
      </c>
      <c r="F37" s="461" t="e">
        <f>LOOKUP(E37,111:111,112:112)-LOOKUP(C37,111:111,112:112)+100</f>
        <v>#N/A</v>
      </c>
      <c r="G37" s="474">
        <f>ROUND(1-(2017-2010)/60,2)</f>
        <v>0.88</v>
      </c>
      <c r="H37" s="461" t="e">
        <f>LOOKUP(G37,111:111,112:112)-LOOKUP(C37,111:111,112:112)+100</f>
        <v>#N/A</v>
      </c>
      <c r="I37" s="474">
        <f>ROUND(1-(2017-1999)/60,2)</f>
        <v>0.7</v>
      </c>
      <c r="J37" s="435" t="e">
        <f>LOOKUP(I37,111:111,112:112)-LOOKUP(C37,111:111,112:112)+100</f>
        <v>#N/A</v>
      </c>
      <c r="K37" s="612">
        <v>2</v>
      </c>
      <c r="L37" s="1143"/>
      <c r="M37" s="1134"/>
      <c r="N37" s="1134"/>
      <c r="O37" s="1134"/>
      <c r="P37" s="3249"/>
      <c r="Q37" s="1814" t="str">
        <f t="shared" si="11"/>
        <v>成新度</v>
      </c>
      <c r="R37" s="774" t="s">
        <v>17</v>
      </c>
      <c r="S37" s="775" t="e">
        <f t="shared" si="12"/>
        <v>#N/A</v>
      </c>
      <c r="T37" s="774" t="s">
        <v>17</v>
      </c>
      <c r="U37" s="775" t="e">
        <f t="shared" si="13"/>
        <v>#N/A</v>
      </c>
      <c r="V37" s="774" t="s">
        <v>17</v>
      </c>
      <c r="W37" s="775" t="e">
        <f t="shared" si="14"/>
        <v>#N/A</v>
      </c>
      <c r="X37" s="1817"/>
      <c r="Y37" s="3251"/>
      <c r="Z37" s="1818" t="str">
        <f t="shared" si="15"/>
        <v>成新度</v>
      </c>
      <c r="AA37" s="1815" t="e">
        <f t="shared" si="3"/>
        <v>#N/A</v>
      </c>
      <c r="AB37" s="1815" t="e">
        <f t="shared" si="4"/>
        <v>#N/A</v>
      </c>
      <c r="AC37" s="2676" t="e">
        <f t="shared" si="5"/>
        <v>#N/A</v>
      </c>
    </row>
    <row r="38" spans="1:29" s="116" customFormat="1" ht="15">
      <c r="A38" s="473"/>
      <c r="B38" s="422" t="s">
        <v>2691</v>
      </c>
      <c r="C38" s="460" t="s">
        <v>3319</v>
      </c>
      <c r="D38" s="135">
        <v>100</v>
      </c>
      <c r="E38" s="460" t="s">
        <v>3315</v>
      </c>
      <c r="F38" s="461">
        <f>SUMIF(113:113,E38,114:114)-SUMIF(113:113,C38,114:114)+100</f>
        <v>106</v>
      </c>
      <c r="G38" s="460" t="s">
        <v>3315</v>
      </c>
      <c r="H38" s="435">
        <f>SUMIF(113:113,G38,114:114)-SUMIF(113:113,C38,114:114)+100</f>
        <v>106</v>
      </c>
      <c r="I38" s="460" t="s">
        <v>3315</v>
      </c>
      <c r="J38" s="435">
        <f>SUMIF(113:113,I38,114:114)-SUMIF(113:113,C38,114:114)+100</f>
        <v>106</v>
      </c>
      <c r="K38" s="612">
        <v>2</v>
      </c>
      <c r="L38" s="1135"/>
      <c r="M38" s="1136"/>
      <c r="N38" s="1136"/>
      <c r="O38" s="1136"/>
      <c r="P38" s="3249"/>
      <c r="Q38" s="1799" t="str">
        <f t="shared" si="11"/>
        <v>写字楼等级</v>
      </c>
      <c r="R38" s="770" t="s">
        <v>17</v>
      </c>
      <c r="S38" s="771">
        <f t="shared" si="12"/>
        <v>106</v>
      </c>
      <c r="T38" s="770" t="s">
        <v>17</v>
      </c>
      <c r="U38" s="771">
        <f t="shared" si="13"/>
        <v>106</v>
      </c>
      <c r="V38" s="770" t="s">
        <v>17</v>
      </c>
      <c r="W38" s="771">
        <f t="shared" si="14"/>
        <v>106</v>
      </c>
      <c r="X38" s="772"/>
      <c r="Y38" s="3251"/>
      <c r="Z38" s="54" t="str">
        <f t="shared" si="15"/>
        <v>写字楼等级</v>
      </c>
      <c r="AA38" s="773">
        <f t="shared" si="3"/>
        <v>0.94339622641509435</v>
      </c>
      <c r="AB38" s="773">
        <f t="shared" si="4"/>
        <v>0.94339622641509435</v>
      </c>
      <c r="AC38" s="2673">
        <f t="shared" si="5"/>
        <v>0.94339622641509435</v>
      </c>
    </row>
    <row r="39" spans="1:29" ht="15">
      <c r="A39" s="472"/>
      <c r="B39" s="422" t="s">
        <v>2692</v>
      </c>
      <c r="C39" s="460" t="s">
        <v>3301</v>
      </c>
      <c r="D39" s="435">
        <v>100</v>
      </c>
      <c r="E39" s="460" t="s">
        <v>3301</v>
      </c>
      <c r="F39" s="461">
        <f>SUMIF(115:115,E39,116:116)-SUMIF(115:115,C39,116:116)+100</f>
        <v>100</v>
      </c>
      <c r="G39" s="460" t="s">
        <v>3301</v>
      </c>
      <c r="H39" s="435">
        <f>SUMIF(115:115,G39,116:116)-SUMIF(115:115,C39,116:116)+100</f>
        <v>100</v>
      </c>
      <c r="I39" s="460" t="s">
        <v>3301</v>
      </c>
      <c r="J39" s="435">
        <f>SUMIF(115:115,I39,116:116)-SUMIF(115:115,C39,116:116)+100</f>
        <v>100</v>
      </c>
      <c r="K39" s="612">
        <v>2</v>
      </c>
      <c r="L39" s="1143"/>
      <c r="M39" s="1134"/>
      <c r="N39" s="1134"/>
      <c r="O39" s="1134"/>
      <c r="P39" s="3249" t="s">
        <v>2562</v>
      </c>
      <c r="Q39" s="1814" t="str">
        <f t="shared" si="11"/>
        <v>物业管理</v>
      </c>
      <c r="R39" s="774" t="s">
        <v>17</v>
      </c>
      <c r="S39" s="775">
        <f t="shared" si="12"/>
        <v>100</v>
      </c>
      <c r="T39" s="774" t="s">
        <v>17</v>
      </c>
      <c r="U39" s="775">
        <f t="shared" si="13"/>
        <v>100</v>
      </c>
      <c r="V39" s="774" t="s">
        <v>17</v>
      </c>
      <c r="W39" s="775">
        <f t="shared" si="14"/>
        <v>100</v>
      </c>
      <c r="X39" s="1817"/>
      <c r="Y39" s="3251" t="s">
        <v>2562</v>
      </c>
      <c r="Z39" s="1818" t="str">
        <f t="shared" si="15"/>
        <v>物业管理</v>
      </c>
      <c r="AA39" s="1815">
        <f t="shared" si="3"/>
        <v>1</v>
      </c>
      <c r="AB39" s="1815">
        <f t="shared" si="4"/>
        <v>1</v>
      </c>
      <c r="AC39" s="2676">
        <f t="shared" si="5"/>
        <v>1</v>
      </c>
    </row>
    <row r="40" spans="1:29" ht="15">
      <c r="A40" s="472"/>
      <c r="B40" s="422" t="s">
        <v>2660</v>
      </c>
      <c r="C40" s="460" t="s">
        <v>3307</v>
      </c>
      <c r="D40" s="435">
        <v>100</v>
      </c>
      <c r="E40" s="460" t="s">
        <v>3307</v>
      </c>
      <c r="F40" s="461">
        <f>SUMIF(117:117,E40,118:118)-SUMIF(117:117,C40,118:118)+100</f>
        <v>100</v>
      </c>
      <c r="G40" s="460" t="s">
        <v>3307</v>
      </c>
      <c r="H40" s="435">
        <f>SUMIF(117:117,G40,118:118)-SUMIF(117:117,C40,118:118)+100</f>
        <v>100</v>
      </c>
      <c r="I40" s="460" t="s">
        <v>3307</v>
      </c>
      <c r="J40" s="435">
        <f>SUMIF(117:117,I40,118:118)-SUMIF(117:117,C40,118:118)+100</f>
        <v>100</v>
      </c>
      <c r="K40" s="612">
        <v>2</v>
      </c>
      <c r="L40" s="1143"/>
      <c r="M40" s="1134"/>
      <c r="N40" s="1134"/>
      <c r="O40" s="1134"/>
      <c r="P40" s="3249"/>
      <c r="Q40" s="1814" t="str">
        <f t="shared" si="11"/>
        <v>市政基础设施</v>
      </c>
      <c r="R40" s="774" t="s">
        <v>17</v>
      </c>
      <c r="S40" s="775">
        <f t="shared" si="12"/>
        <v>100</v>
      </c>
      <c r="T40" s="774" t="s">
        <v>17</v>
      </c>
      <c r="U40" s="775">
        <f t="shared" si="13"/>
        <v>100</v>
      </c>
      <c r="V40" s="774" t="s">
        <v>17</v>
      </c>
      <c r="W40" s="775">
        <f t="shared" si="14"/>
        <v>100</v>
      </c>
      <c r="X40" s="1817"/>
      <c r="Y40" s="3251"/>
      <c r="Z40" s="1818" t="str">
        <f t="shared" si="15"/>
        <v>市政基础设施</v>
      </c>
      <c r="AA40" s="1815">
        <f t="shared" si="3"/>
        <v>1</v>
      </c>
      <c r="AB40" s="1815">
        <f t="shared" si="4"/>
        <v>1</v>
      </c>
      <c r="AC40" s="2676">
        <f t="shared" si="5"/>
        <v>1</v>
      </c>
    </row>
    <row r="41" spans="1:29" ht="15">
      <c r="A41" s="472"/>
      <c r="B41" s="422" t="s">
        <v>2662</v>
      </c>
      <c r="C41" s="616" t="s">
        <v>3311</v>
      </c>
      <c r="D41" s="435">
        <v>100</v>
      </c>
      <c r="E41" s="616" t="s">
        <v>3311</v>
      </c>
      <c r="F41" s="461">
        <f>SUMIF(119:119,E41,120:120)-SUMIF(119:119,C41,120:120)+100</f>
        <v>100</v>
      </c>
      <c r="G41" s="616" t="s">
        <v>3311</v>
      </c>
      <c r="H41" s="435">
        <f>SUMIF(119:119,G41,120:120)-SUMIF(119:119,C41,120:120)+100</f>
        <v>100</v>
      </c>
      <c r="I41" s="616" t="s">
        <v>3311</v>
      </c>
      <c r="J41" s="435">
        <f>SUMIF(119:119,I41,120:120)-SUMIF(119:119,C41,120:120)+100</f>
        <v>100</v>
      </c>
      <c r="K41" s="612">
        <v>2</v>
      </c>
      <c r="L41" s="1143"/>
      <c r="M41" s="1134"/>
      <c r="N41" s="1134"/>
      <c r="O41" s="1134"/>
      <c r="P41" s="3249"/>
      <c r="Q41" s="1814" t="str">
        <f t="shared" si="11"/>
        <v>层高</v>
      </c>
      <c r="R41" s="774" t="s">
        <v>17</v>
      </c>
      <c r="S41" s="775">
        <f t="shared" si="12"/>
        <v>100</v>
      </c>
      <c r="T41" s="774" t="s">
        <v>17</v>
      </c>
      <c r="U41" s="775">
        <f t="shared" si="13"/>
        <v>100</v>
      </c>
      <c r="V41" s="774" t="s">
        <v>17</v>
      </c>
      <c r="W41" s="775">
        <f t="shared" si="14"/>
        <v>100</v>
      </c>
      <c r="X41" s="1817"/>
      <c r="Y41" s="3251"/>
      <c r="Z41" s="1818" t="str">
        <f t="shared" si="15"/>
        <v>层高</v>
      </c>
      <c r="AA41" s="1815">
        <f t="shared" si="3"/>
        <v>1</v>
      </c>
      <c r="AB41" s="1815">
        <f t="shared" si="4"/>
        <v>1</v>
      </c>
      <c r="AC41" s="2676">
        <f t="shared" si="5"/>
        <v>1</v>
      </c>
    </row>
    <row r="42" spans="1:29" s="471" customFormat="1" ht="15">
      <c r="A42" s="468"/>
      <c r="B42" s="1816"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9"/>
      <c r="Q42" s="776" t="str">
        <f t="shared" si="11"/>
        <v>单套建筑面积</v>
      </c>
      <c r="R42" s="777" t="s">
        <v>17</v>
      </c>
      <c r="S42" s="778">
        <f t="shared" si="12"/>
        <v>100</v>
      </c>
      <c r="T42" s="777" t="s">
        <v>17</v>
      </c>
      <c r="U42" s="778">
        <f t="shared" si="13"/>
        <v>100</v>
      </c>
      <c r="V42" s="777" t="s">
        <v>17</v>
      </c>
      <c r="W42" s="778">
        <f t="shared" si="14"/>
        <v>100</v>
      </c>
      <c r="X42" s="779"/>
      <c r="Y42" s="3251"/>
      <c r="Z42" s="780" t="str">
        <f t="shared" si="15"/>
        <v>单套建筑面积</v>
      </c>
      <c r="AA42" s="1815">
        <f t="shared" si="3"/>
        <v>1</v>
      </c>
      <c r="AB42" s="1815">
        <f t="shared" si="4"/>
        <v>1</v>
      </c>
      <c r="AC42" s="2676">
        <f t="shared" si="5"/>
        <v>1</v>
      </c>
    </row>
    <row r="43" spans="1:29" ht="15">
      <c r="A43" s="472"/>
      <c r="B43" s="422" t="s">
        <v>2665</v>
      </c>
      <c r="C43" s="460" t="s">
        <v>3296</v>
      </c>
      <c r="D43" s="435">
        <v>100</v>
      </c>
      <c r="E43" s="460" t="s">
        <v>3296</v>
      </c>
      <c r="F43" s="461">
        <f>SUMIF(123:123,E43,124:124)-SUMIF(123:123,C43,124:124)+100</f>
        <v>100</v>
      </c>
      <c r="G43" s="460" t="s">
        <v>3296</v>
      </c>
      <c r="H43" s="435">
        <f>SUMIF(123:123,G43,124:124)-SUMIF(123:123,C43,124:124)+100</f>
        <v>100</v>
      </c>
      <c r="I43" s="460" t="s">
        <v>3296</v>
      </c>
      <c r="J43" s="435">
        <f>SUMIF(123:123,I43,124:124)-SUMIF(123:123,C43,124:124)+100</f>
        <v>100</v>
      </c>
      <c r="K43" s="612">
        <v>2</v>
      </c>
      <c r="L43" s="1143"/>
      <c r="M43" s="1134"/>
      <c r="N43" s="1134"/>
      <c r="O43" s="1134"/>
      <c r="P43" s="3249"/>
      <c r="Q43" s="1814" t="str">
        <f t="shared" si="11"/>
        <v>内部装修</v>
      </c>
      <c r="R43" s="774" t="s">
        <v>17</v>
      </c>
      <c r="S43" s="775">
        <f t="shared" si="12"/>
        <v>100</v>
      </c>
      <c r="T43" s="774" t="s">
        <v>17</v>
      </c>
      <c r="U43" s="775">
        <f t="shared" si="13"/>
        <v>100</v>
      </c>
      <c r="V43" s="774" t="s">
        <v>17</v>
      </c>
      <c r="W43" s="775">
        <f t="shared" si="14"/>
        <v>100</v>
      </c>
      <c r="X43" s="1817"/>
      <c r="Y43" s="3251"/>
      <c r="Z43" s="1818" t="str">
        <f t="shared" si="15"/>
        <v>内部装修</v>
      </c>
      <c r="AA43" s="1815">
        <f t="shared" si="3"/>
        <v>1</v>
      </c>
      <c r="AB43" s="1815">
        <f t="shared" si="4"/>
        <v>1</v>
      </c>
      <c r="AC43" s="2676">
        <f t="shared" si="5"/>
        <v>1</v>
      </c>
    </row>
    <row r="44" spans="1:29" ht="15">
      <c r="A44" s="472"/>
      <c r="B44" s="422" t="s">
        <v>2573</v>
      </c>
      <c r="C44" s="460" t="s">
        <v>3326</v>
      </c>
      <c r="D44" s="435">
        <v>100</v>
      </c>
      <c r="E44" s="2615" t="s">
        <v>3326</v>
      </c>
      <c r="F44" s="461">
        <f>SUMIF(125:125,E44,126:126)-SUMIF(125:125,C44,126:126)+100</f>
        <v>100</v>
      </c>
      <c r="G44" s="2615" t="s">
        <v>3326</v>
      </c>
      <c r="H44" s="435">
        <f>SUMIF(125:125,G44,126:126)-SUMIF(125:125,C44,126:126)+100</f>
        <v>100</v>
      </c>
      <c r="I44" s="2615" t="s">
        <v>3326</v>
      </c>
      <c r="J44" s="435">
        <f>SUMIF(125:125,I44,126:126)-SUMIF(125:125,C44,126:126)+100</f>
        <v>100</v>
      </c>
      <c r="K44" s="612">
        <v>2</v>
      </c>
      <c r="L44" s="1143"/>
      <c r="M44" s="1134"/>
      <c r="N44" s="1134"/>
      <c r="O44" s="1134"/>
      <c r="P44" s="3249"/>
      <c r="Q44" s="1814" t="str">
        <f t="shared" si="11"/>
        <v>内部装修维护情况</v>
      </c>
      <c r="R44" s="774" t="s">
        <v>17</v>
      </c>
      <c r="S44" s="775">
        <f t="shared" si="12"/>
        <v>100</v>
      </c>
      <c r="T44" s="774" t="s">
        <v>17</v>
      </c>
      <c r="U44" s="775">
        <f t="shared" si="13"/>
        <v>100</v>
      </c>
      <c r="V44" s="774" t="s">
        <v>17</v>
      </c>
      <c r="W44" s="775">
        <f t="shared" si="14"/>
        <v>100</v>
      </c>
      <c r="X44" s="1817"/>
      <c r="Y44" s="3251"/>
      <c r="Z44" s="1818" t="str">
        <f t="shared" si="15"/>
        <v>内部装修维护情况</v>
      </c>
      <c r="AA44" s="1815">
        <f t="shared" si="3"/>
        <v>1</v>
      </c>
      <c r="AB44" s="1815">
        <f t="shared" si="4"/>
        <v>1</v>
      </c>
      <c r="AC44" s="2676">
        <f t="shared" si="5"/>
        <v>1</v>
      </c>
    </row>
    <row r="45" spans="1:29" s="116" customFormat="1" ht="15">
      <c r="A45" s="473"/>
      <c r="B45" s="1389">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5"/>
      <c r="M45" s="1136"/>
      <c r="N45" s="1136"/>
      <c r="O45" s="1136"/>
      <c r="P45" s="3249"/>
      <c r="Q45" s="1799">
        <f t="shared" si="11"/>
        <v>111</v>
      </c>
      <c r="R45" s="770" t="s">
        <v>17</v>
      </c>
      <c r="S45" s="771">
        <f t="shared" si="12"/>
        <v>100</v>
      </c>
      <c r="T45" s="770" t="s">
        <v>17</v>
      </c>
      <c r="U45" s="771">
        <f t="shared" si="13"/>
        <v>100</v>
      </c>
      <c r="V45" s="770" t="s">
        <v>17</v>
      </c>
      <c r="W45" s="771">
        <f t="shared" si="14"/>
        <v>100</v>
      </c>
      <c r="X45" s="772"/>
      <c r="Y45" s="3251"/>
      <c r="Z45" s="54">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9"/>
      <c r="Q46" s="1814">
        <f t="shared" si="11"/>
        <v>111</v>
      </c>
      <c r="R46" s="774" t="s">
        <v>17</v>
      </c>
      <c r="S46" s="775">
        <f t="shared" si="12"/>
        <v>100</v>
      </c>
      <c r="T46" s="774" t="s">
        <v>17</v>
      </c>
      <c r="U46" s="775">
        <f t="shared" si="13"/>
        <v>100</v>
      </c>
      <c r="V46" s="774" t="s">
        <v>17</v>
      </c>
      <c r="W46" s="775">
        <f t="shared" si="14"/>
        <v>100</v>
      </c>
      <c r="X46" s="1817"/>
      <c r="Y46" s="3251"/>
      <c r="Z46" s="1818">
        <f t="shared" si="15"/>
        <v>111</v>
      </c>
      <c r="AA46" s="1815">
        <f t="shared" si="3"/>
        <v>1</v>
      </c>
      <c r="AB46" s="1815">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0"/>
      <c r="Q47" s="1814">
        <f t="shared" si="11"/>
        <v>111</v>
      </c>
      <c r="R47" s="774" t="s">
        <v>17</v>
      </c>
      <c r="S47" s="775">
        <f t="shared" si="12"/>
        <v>100</v>
      </c>
      <c r="T47" s="774" t="s">
        <v>17</v>
      </c>
      <c r="U47" s="775">
        <f t="shared" si="13"/>
        <v>100</v>
      </c>
      <c r="V47" s="774" t="s">
        <v>17</v>
      </c>
      <c r="W47" s="775">
        <f t="shared" si="14"/>
        <v>100</v>
      </c>
      <c r="X47" s="1817"/>
      <c r="Y47" s="3252"/>
      <c r="Z47" s="1818">
        <f t="shared" si="15"/>
        <v>111</v>
      </c>
      <c r="AA47" s="1815">
        <f t="shared" si="3"/>
        <v>1</v>
      </c>
      <c r="AB47" s="1815">
        <f t="shared" si="4"/>
        <v>1</v>
      </c>
      <c r="AC47" s="2676">
        <f t="shared" si="5"/>
        <v>1</v>
      </c>
    </row>
    <row r="48" spans="1:29" ht="15">
      <c r="A48" s="479" t="s">
        <v>2574</v>
      </c>
      <c r="B48" s="480"/>
      <c r="C48" s="1410" t="s">
        <v>1</v>
      </c>
      <c r="D48" s="1411"/>
      <c r="E48" s="1412">
        <f>ROUND(47000*90%,0)</f>
        <v>42300</v>
      </c>
      <c r="F48" s="1413"/>
      <c r="G48" s="1414">
        <f>ROUND(43000*90%,0)</f>
        <v>38700</v>
      </c>
      <c r="H48" s="1415"/>
      <c r="I48" s="1412">
        <f>ROUND(45000*90%,0)</f>
        <v>40500</v>
      </c>
      <c r="J48" s="485"/>
      <c r="K48" s="783"/>
      <c r="L48" s="1146"/>
      <c r="M48" s="1134"/>
      <c r="N48" s="1134"/>
      <c r="O48" s="1134"/>
      <c r="P48" s="3238" t="str">
        <f>A48</f>
        <v>成交单价（元/平方米）</v>
      </c>
      <c r="Q48" s="3239"/>
      <c r="R48" s="3240">
        <f>E48</f>
        <v>42300</v>
      </c>
      <c r="S48" s="3240"/>
      <c r="T48" s="3240">
        <f>G48</f>
        <v>38700</v>
      </c>
      <c r="U48" s="3240"/>
      <c r="V48" s="3240">
        <f>I48</f>
        <v>40500</v>
      </c>
      <c r="W48" s="3240"/>
      <c r="X48" s="446"/>
      <c r="Y48" s="781"/>
      <c r="Z48" s="446"/>
      <c r="AA48" s="446"/>
      <c r="AB48" s="446"/>
      <c r="AC48" s="630"/>
    </row>
    <row r="49" spans="1:29" ht="15.75" thickBot="1">
      <c r="A49" s="486" t="s">
        <v>2666</v>
      </c>
      <c r="B49" s="487"/>
      <c r="C49" s="1416" t="e">
        <f>R50</f>
        <v>#N/A</v>
      </c>
      <c r="D49" s="1417"/>
      <c r="E49" s="1418" t="e">
        <f>R49</f>
        <v>#N/A</v>
      </c>
      <c r="F49" s="1418"/>
      <c r="G49" s="1416" t="e">
        <f>T49</f>
        <v>#N/A</v>
      </c>
      <c r="H49" s="1417"/>
      <c r="I49" s="1418" t="e">
        <f>V49</f>
        <v>#N/A</v>
      </c>
      <c r="J49" s="489"/>
      <c r="K49" s="784"/>
      <c r="L49" s="1146"/>
      <c r="M49" s="1134"/>
      <c r="N49" s="1134"/>
      <c r="O49" s="1134"/>
      <c r="P49" s="3238" t="str">
        <f>A49</f>
        <v>比较价值（元/平方米）</v>
      </c>
      <c r="Q49" s="3239"/>
      <c r="R49" s="3240" t="e">
        <f>IF(F1="售价",ROUND(PRODUCT(R48,AA7:AA47),0),ROUND(PRODUCT(R48,AA7:AA47),1))</f>
        <v>#N/A</v>
      </c>
      <c r="S49" s="3240"/>
      <c r="T49" s="3240" t="e">
        <f>IF(F1="售价",ROUND(PRODUCT(T48,AB7:AB47),0),ROUND(PRODUCT(T48,AB7:AB47),1))</f>
        <v>#N/A</v>
      </c>
      <c r="U49" s="3240"/>
      <c r="V49" s="3240" t="e">
        <f>IF(F1="售价",ROUND(PRODUCT(V48,AC7:AC47),0),ROUND(PRODUCT(V48,AC7:AC47),1))</f>
        <v>#N/A</v>
      </c>
      <c r="W49" s="3240"/>
      <c r="X49" s="446"/>
      <c r="Y49" s="446"/>
      <c r="Z49" s="446"/>
      <c r="AA49" s="446"/>
      <c r="AB49" s="446"/>
      <c r="AC49" s="630"/>
    </row>
    <row r="50" spans="1:29" ht="15.75" thickBot="1">
      <c r="A50" s="492" t="s">
        <v>2667</v>
      </c>
      <c r="B50" s="493"/>
      <c r="C50" s="1420" t="e">
        <f>R50</f>
        <v>#N/A</v>
      </c>
      <c r="D50" s="1420"/>
      <c r="E50" s="1420"/>
      <c r="F50" s="1420"/>
      <c r="G50" s="1420"/>
      <c r="H50" s="1420"/>
      <c r="I50" s="1420"/>
      <c r="J50" s="494"/>
      <c r="K50" s="785"/>
      <c r="L50" s="1146"/>
      <c r="M50" s="1134"/>
      <c r="N50" s="1134"/>
      <c r="O50" s="1134"/>
      <c r="P50" s="3241" t="str">
        <f>A50</f>
        <v>估价对象XX用房的比较价值（楼面单价，元/平方米）</v>
      </c>
      <c r="Q50" s="3242"/>
      <c r="R50" s="3243" t="e">
        <f>IF(F1="售价",ROUND(AVERAGE(R49:V49),0),ROUND(AVERAGE(R49:V49),1))</f>
        <v>#N/A</v>
      </c>
      <c r="S50" s="3243"/>
      <c r="T50" s="3243"/>
      <c r="U50" s="3243"/>
      <c r="V50" s="3243"/>
      <c r="W50" s="3243"/>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t="e">
        <f>IF(E48&lt;E49,E49/E48-1,E48/E49-1)</f>
        <v>#N/A</v>
      </c>
      <c r="F53" s="500" t="e">
        <f>IF(OR(E53&gt;=0.3,E53&lt;=-0.3),"超过30%","")</f>
        <v>#N/A</v>
      </c>
      <c r="G53" s="499" t="e">
        <f>IF(G48&lt;G49,G49/G48-1,G48/G49-1)</f>
        <v>#N/A</v>
      </c>
      <c r="H53" s="500" t="e">
        <f>IF(OR(G53&gt;=0.3,G53&lt;=-0.3),"超过30%","")</f>
        <v>#N/A</v>
      </c>
      <c r="I53" s="499" t="e">
        <f>IF(I48&lt;I49,I49/I48-1,I48/I49-1)</f>
        <v>#N/A</v>
      </c>
      <c r="J53" s="500" t="e">
        <f>IF(OR(I53&gt;=0.3,I53&lt;=-0.3),"超过30%","")</f>
        <v>#N/A</v>
      </c>
      <c r="K53" s="1108"/>
      <c r="L53" s="1109"/>
      <c r="M53" s="1147"/>
      <c r="N53" s="1147"/>
      <c r="O53" s="1147"/>
    </row>
    <row r="54" spans="1:29" ht="13.5" customHeight="1">
      <c r="A54" s="1147"/>
      <c r="B54" s="1147"/>
      <c r="C54" s="497" t="s">
        <v>2669</v>
      </c>
      <c r="D54" s="501"/>
      <c r="E54" s="499" t="e">
        <f>IF(E49&lt;G49,G49/E49-1,E49/G49-1)</f>
        <v>#N/A</v>
      </c>
      <c r="F54" s="500" t="e">
        <f>IF(OR(E54&gt;=0.2,E54&lt;=-0.2),"超过20%","")</f>
        <v>#N/A</v>
      </c>
      <c r="G54" s="499" t="e">
        <f>IF(G49&lt;I49,I49/G49-1,G49/I49-1)</f>
        <v>#N/A</v>
      </c>
      <c r="H54" s="500" t="e">
        <f>IF(OR(G54&gt;=0.2,G54&lt;=-0.2),"超过20%","")</f>
        <v>#N/A</v>
      </c>
      <c r="I54" s="499" t="e">
        <f>IF(I49&lt;E49,E49/I49-1,I49/E49-1)</f>
        <v>#N/A</v>
      </c>
      <c r="J54" s="500" t="e">
        <f>IF(OR(I54&gt;=0.2,I54&lt;=-0.2),"超过20%","")</f>
        <v>#N/A</v>
      </c>
      <c r="K54" s="1108"/>
      <c r="L54" s="1109"/>
      <c r="M54" s="1147"/>
      <c r="N54" s="1147"/>
      <c r="O54" s="1147"/>
    </row>
    <row r="55" spans="1:29" s="502" customFormat="1" ht="13.5" customHeight="1">
      <c r="A55" s="1148"/>
      <c r="B55" s="1148"/>
      <c r="C55" s="497" t="s">
        <v>2670</v>
      </c>
      <c r="D55" s="501"/>
      <c r="E55" s="499">
        <f>IF(E48&lt;G48,G48/E48-1,E48/G48-1)</f>
        <v>9.3023255813953432E-2</v>
      </c>
      <c r="F55" s="500" t="str">
        <f>IF(OR(E55&gt;=0.3,E55&lt;=-0.3),"超过30%","")</f>
        <v/>
      </c>
      <c r="G55" s="499">
        <f>IF(G48&lt;I48,I48/G48-1,G48/I48-1)</f>
        <v>4.6511627906976827E-2</v>
      </c>
      <c r="H55" s="500" t="str">
        <f>IF(OR(G55&gt;=0.3,G55&lt;=-0.3),"超过30%","")</f>
        <v/>
      </c>
      <c r="I55" s="499">
        <f>IF(I48&lt;E48,E48/I48-1,I48/E48-1)</f>
        <v>4.4444444444444509E-2</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3"/>
      <c r="Q58" s="504"/>
    </row>
    <row r="59" spans="1:29" s="508" customFormat="1" ht="15">
      <c r="A59" s="505" t="s">
        <v>2545</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6" customFormat="1" ht="15">
      <c r="A60" s="509"/>
      <c r="B60" s="510"/>
      <c r="C60" s="1577">
        <v>100</v>
      </c>
      <c r="D60" s="512">
        <v>99</v>
      </c>
      <c r="E60" s="512">
        <v>98</v>
      </c>
      <c r="F60" s="512">
        <v>97</v>
      </c>
      <c r="G60" s="512">
        <v>96</v>
      </c>
      <c r="H60" s="512">
        <v>95</v>
      </c>
      <c r="I60" s="512">
        <v>94</v>
      </c>
      <c r="J60" s="512">
        <v>93</v>
      </c>
      <c r="K60" s="512">
        <v>92</v>
      </c>
      <c r="L60" s="512">
        <v>91</v>
      </c>
      <c r="M60" s="512">
        <v>90</v>
      </c>
      <c r="N60" s="512">
        <v>89</v>
      </c>
      <c r="O60" s="512">
        <v>88</v>
      </c>
      <c r="P60" s="2684"/>
    </row>
    <row r="61" spans="1:29" s="116" customFormat="1" ht="15.75" thickBot="1">
      <c r="A61" s="515" t="s">
        <v>2582</v>
      </c>
      <c r="B61" s="516"/>
      <c r="C61" s="517"/>
      <c r="D61" s="518"/>
      <c r="E61" s="518"/>
      <c r="F61" s="518"/>
      <c r="G61" s="518"/>
      <c r="H61" s="518"/>
      <c r="I61" s="518"/>
      <c r="J61" s="518"/>
      <c r="K61" s="518"/>
      <c r="L61" s="518"/>
      <c r="M61" s="519"/>
      <c r="N61" s="518"/>
      <c r="O61" s="519"/>
      <c r="P61" s="2684"/>
      <c r="Q61" s="504"/>
    </row>
    <row r="62" spans="1:29" s="116" customFormat="1" ht="15">
      <c r="A62" s="521" t="s">
        <v>2547</v>
      </c>
      <c r="B62" s="510"/>
      <c r="C62" s="522" t="s">
        <v>2649</v>
      </c>
      <c r="D62" s="523"/>
      <c r="E62" s="523"/>
      <c r="F62" s="523"/>
      <c r="G62" s="523"/>
      <c r="H62" s="523"/>
      <c r="I62" s="523"/>
      <c r="J62" s="523"/>
      <c r="K62" s="523"/>
      <c r="L62" s="524"/>
      <c r="M62" s="525"/>
      <c r="N62" s="1154"/>
      <c r="O62" s="1154"/>
      <c r="P62" s="2685"/>
      <c r="Q62" s="504"/>
    </row>
    <row r="63" spans="1:29" s="116"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2585</v>
      </c>
      <c r="B64" s="528" t="s">
        <v>2551</v>
      </c>
      <c r="C64" s="529" t="str">
        <f>C9</f>
        <v>工业</v>
      </c>
      <c r="D64" s="3044" t="s">
        <v>3285</v>
      </c>
      <c r="E64" s="530"/>
      <c r="F64" s="530"/>
      <c r="G64" s="530"/>
      <c r="H64" s="530"/>
      <c r="I64" s="530"/>
      <c r="J64" s="530"/>
      <c r="K64" s="531"/>
      <c r="L64" s="532"/>
      <c r="M64" s="533"/>
      <c r="N64" s="1155"/>
      <c r="O64" s="1155"/>
      <c r="P64" s="2686"/>
      <c r="Q64" s="504"/>
    </row>
    <row r="65" spans="1:17" ht="15.75" thickBot="1">
      <c r="A65" s="534"/>
      <c r="B65" s="535"/>
      <c r="C65" s="536">
        <v>100</v>
      </c>
      <c r="D65" s="3045">
        <v>115</v>
      </c>
      <c r="E65" s="536"/>
      <c r="F65" s="536"/>
      <c r="G65" s="536"/>
      <c r="H65" s="536"/>
      <c r="I65" s="536"/>
      <c r="J65" s="536"/>
      <c r="K65" s="536"/>
      <c r="L65" s="536"/>
      <c r="M65" s="537"/>
      <c r="N65" s="1156"/>
      <c r="O65" s="1156"/>
      <c r="P65" s="2686"/>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6"/>
      <c r="Q67" s="504"/>
    </row>
    <row r="68" spans="1:17" ht="15.75" thickTop="1">
      <c r="A68" s="534"/>
      <c r="B68" s="546" t="s">
        <v>2555</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0</v>
      </c>
      <c r="D69" s="549">
        <v>1</v>
      </c>
      <c r="E69" s="549">
        <v>2</v>
      </c>
      <c r="F69" s="549">
        <v>3</v>
      </c>
      <c r="G69" s="549">
        <v>4</v>
      </c>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0"/>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6"/>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6"/>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6"/>
      <c r="Q86" s="504"/>
    </row>
    <row r="87" spans="1:17" s="116" customFormat="1" ht="27.75" thickTop="1">
      <c r="A87" s="579"/>
      <c r="B87" s="538" t="s">
        <v>2696</v>
      </c>
      <c r="C87" s="3046" t="s">
        <v>3286</v>
      </c>
      <c r="D87" s="3046" t="s">
        <v>3287</v>
      </c>
      <c r="E87" s="3046" t="s">
        <v>3288</v>
      </c>
      <c r="F87" s="3046" t="s">
        <v>3289</v>
      </c>
      <c r="G87" s="3046" t="s">
        <v>3291</v>
      </c>
      <c r="H87" s="554"/>
      <c r="I87" s="554"/>
      <c r="J87" s="554"/>
      <c r="K87" s="554"/>
      <c r="L87" s="580"/>
      <c r="M87" s="581"/>
      <c r="N87" s="1154"/>
      <c r="O87" s="1154"/>
      <c r="P87" s="2686"/>
      <c r="Q87" s="504"/>
    </row>
    <row r="88" spans="1:17" s="116"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6"/>
      <c r="Q88" s="504"/>
    </row>
    <row r="89" spans="1:17" s="116"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2560</v>
      </c>
      <c r="B101" s="528" t="s">
        <v>2609</v>
      </c>
      <c r="C101" s="3044" t="s">
        <v>3292</v>
      </c>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6"/>
      <c r="O102" s="1156"/>
      <c r="P102" s="2686"/>
      <c r="Q102" s="504"/>
    </row>
    <row r="103" spans="1:17" ht="29.25" thickTop="1">
      <c r="A103" s="534"/>
      <c r="B103" s="538" t="s">
        <v>2610</v>
      </c>
      <c r="C103" s="578" t="str">
        <f>C104&amp;"(含)"&amp;"-"&amp;D104</f>
        <v>0(含)-50000</v>
      </c>
      <c r="D103" s="578" t="str">
        <f t="shared" ref="D103:L103" si="23">D104&amp;"(含)"&amp;"-"&amp;E104</f>
        <v>50000(含)-100000</v>
      </c>
      <c r="E103" s="578" t="str">
        <f t="shared" si="23"/>
        <v>100000(含)-150000</v>
      </c>
      <c r="F103" s="578" t="str">
        <f t="shared" si="23"/>
        <v>150000(含)-200000</v>
      </c>
      <c r="G103" s="578" t="str">
        <f t="shared" si="23"/>
        <v>200000(含)-250000</v>
      </c>
      <c r="H103" s="578" t="str">
        <f t="shared" si="23"/>
        <v>250000(含)-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v>0</v>
      </c>
      <c r="D104" s="595">
        <v>50000</v>
      </c>
      <c r="E104" s="595">
        <v>100000</v>
      </c>
      <c r="F104" s="595">
        <v>150000</v>
      </c>
      <c r="G104" s="595">
        <v>200000</v>
      </c>
      <c r="H104" s="595">
        <v>250000</v>
      </c>
      <c r="I104" s="595"/>
      <c r="J104" s="596"/>
      <c r="K104" s="596"/>
      <c r="L104" s="597"/>
      <c r="M104" s="598"/>
      <c r="N104" s="1157"/>
      <c r="O104" s="1157"/>
      <c r="P104" s="2687"/>
      <c r="Q104" s="559"/>
    </row>
    <row r="105" spans="1:17" s="471" customFormat="1" ht="15.75" thickBot="1">
      <c r="A105" s="553"/>
      <c r="B105" s="543"/>
      <c r="C105" s="560">
        <v>100</v>
      </c>
      <c r="D105" s="536">
        <v>101</v>
      </c>
      <c r="E105" s="536">
        <v>102</v>
      </c>
      <c r="F105" s="536">
        <v>103</v>
      </c>
      <c r="G105" s="536">
        <v>104</v>
      </c>
      <c r="H105" s="536">
        <v>105</v>
      </c>
      <c r="I105" s="536"/>
      <c r="J105" s="536"/>
      <c r="K105" s="536"/>
      <c r="L105" s="536"/>
      <c r="M105" s="537"/>
      <c r="N105" s="1156"/>
      <c r="O105" s="1156"/>
      <c r="P105" s="2687"/>
      <c r="Q105" s="559"/>
    </row>
    <row r="106" spans="1:17" ht="15" thickTop="1">
      <c r="A106" s="599"/>
      <c r="B106" s="538" t="s">
        <v>2611</v>
      </c>
      <c r="C106" s="3046" t="s">
        <v>3293</v>
      </c>
      <c r="D106" s="3046" t="s">
        <v>3294</v>
      </c>
      <c r="E106" s="3047" t="s">
        <v>3295</v>
      </c>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6"/>
      <c r="Q107" s="504"/>
    </row>
    <row r="108" spans="1:17" ht="15" thickTop="1">
      <c r="A108" s="599"/>
      <c r="B108" s="538" t="s">
        <v>2613</v>
      </c>
      <c r="C108" s="3046" t="s">
        <v>3297</v>
      </c>
      <c r="D108" s="3046" t="s">
        <v>3298</v>
      </c>
      <c r="E108" s="3046" t="s">
        <v>3299</v>
      </c>
      <c r="F108" s="3047" t="s">
        <v>3300</v>
      </c>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6"/>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6"/>
      <c r="Q112" s="504"/>
    </row>
    <row r="113" spans="1:17" s="471" customFormat="1" ht="15" thickTop="1">
      <c r="A113" s="593"/>
      <c r="B113" s="538" t="s">
        <v>2697</v>
      </c>
      <c r="C113" s="3046" t="s">
        <v>3316</v>
      </c>
      <c r="D113" s="3046" t="s">
        <v>3317</v>
      </c>
      <c r="E113" s="3046" t="s">
        <v>3318</v>
      </c>
      <c r="F113" s="3046" t="s">
        <v>3320</v>
      </c>
      <c r="G113" s="554"/>
      <c r="H113" s="583"/>
      <c r="I113" s="583"/>
      <c r="J113" s="583"/>
      <c r="K113" s="584"/>
      <c r="L113" s="585"/>
      <c r="M113" s="586"/>
      <c r="N113" s="1157"/>
      <c r="O113" s="1157"/>
      <c r="P113" s="268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7"/>
      <c r="Q114" s="559"/>
    </row>
    <row r="115" spans="1:17" ht="15" thickTop="1">
      <c r="A115" s="599"/>
      <c r="B115" s="538" t="s">
        <v>2614</v>
      </c>
      <c r="C115" s="3046" t="s">
        <v>3302</v>
      </c>
      <c r="D115" s="3046" t="s">
        <v>3303</v>
      </c>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6"/>
      <c r="Q116" s="504"/>
    </row>
    <row r="117" spans="1:17" ht="15" thickTop="1">
      <c r="A117" s="599"/>
      <c r="B117" s="538" t="s">
        <v>2615</v>
      </c>
      <c r="C117" s="3046" t="s">
        <v>3305</v>
      </c>
      <c r="D117" s="3046" t="s">
        <v>3306</v>
      </c>
      <c r="E117" s="3046" t="s">
        <v>3308</v>
      </c>
      <c r="F117" s="3046" t="s">
        <v>3309</v>
      </c>
      <c r="G117" s="3046" t="s">
        <v>3310</v>
      </c>
      <c r="H117" s="583"/>
      <c r="I117" s="583"/>
      <c r="J117" s="583"/>
      <c r="K117" s="584"/>
      <c r="L117" s="585"/>
      <c r="M117" s="586"/>
      <c r="N117" s="1155"/>
      <c r="O117" s="1155"/>
      <c r="P117" s="268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6"/>
      <c r="Q118" s="504"/>
    </row>
    <row r="119" spans="1:17" ht="15" thickTop="1">
      <c r="A119" s="599"/>
      <c r="B119" s="636" t="s">
        <v>2698</v>
      </c>
      <c r="C119" s="3047" t="s">
        <v>3312</v>
      </c>
      <c r="D119" s="3047" t="s">
        <v>3313</v>
      </c>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6"/>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2617</v>
      </c>
      <c r="C123" s="3046" t="s">
        <v>3297</v>
      </c>
      <c r="D123" s="3046" t="s">
        <v>3298</v>
      </c>
      <c r="E123" s="3046" t="s">
        <v>3299</v>
      </c>
      <c r="F123" s="3047" t="s">
        <v>3300</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6"/>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3" priority="16" stopIfTrue="1" operator="containsText" text="超过">
      <formula>NOT(ISERROR(SEARCH("超过",F53)))</formula>
    </cfRule>
  </conditionalFormatting>
  <conditionalFormatting sqref="H55">
    <cfRule type="containsText" dxfId="172" priority="15" stopIfTrue="1" operator="containsText" text="超过">
      <formula>NOT(ISERROR(SEARCH("超过",H55)))</formula>
    </cfRule>
  </conditionalFormatting>
  <conditionalFormatting sqref="F55">
    <cfRule type="containsText" dxfId="171" priority="14" stopIfTrue="1" operator="containsText" text="超过">
      <formula>NOT(ISERROR(SEARCH("超过",F55)))</formula>
    </cfRule>
  </conditionalFormatting>
  <conditionalFormatting sqref="F54 H54">
    <cfRule type="containsText" dxfId="170" priority="13" stopIfTrue="1" operator="containsText" text="超过">
      <formula>NOT(ISERROR(SEARCH("超过",F54)))</formula>
    </cfRule>
  </conditionalFormatting>
  <conditionalFormatting sqref="E53">
    <cfRule type="expression" dxfId="169" priority="12" stopIfTrue="1">
      <formula>$F$53="超过30%"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5">
    <cfRule type="expression" dxfId="166" priority="9" stopIfTrue="1">
      <formula>$H$55="超过30%"</formula>
    </cfRule>
  </conditionalFormatting>
  <conditionalFormatting sqref="G53">
    <cfRule type="expression" dxfId="165" priority="8" stopIfTrue="1">
      <formula>$H$53="超过30%"</formula>
    </cfRule>
  </conditionalFormatting>
  <conditionalFormatting sqref="G54">
    <cfRule type="expression" dxfId="164" priority="7" stopIfTrue="1">
      <formula>$H$54="超过20%"</formula>
    </cfRule>
  </conditionalFormatting>
  <conditionalFormatting sqref="J53">
    <cfRule type="containsText" dxfId="163" priority="6" stopIfTrue="1" operator="containsText" text="超过">
      <formula>NOT(ISERROR(SEARCH("超过",J53)))</formula>
    </cfRule>
  </conditionalFormatting>
  <conditionalFormatting sqref="J55">
    <cfRule type="containsText" dxfId="162" priority="5" stopIfTrue="1" operator="containsText" text="超过">
      <formula>NOT(ISERROR(SEARCH("超过",J55)))</formula>
    </cfRule>
  </conditionalFormatting>
  <conditionalFormatting sqref="J54">
    <cfRule type="containsText" dxfId="161" priority="4" stopIfTrue="1" operator="containsText" text="超过">
      <formula>NOT(ISERROR(SEARCH("超过",J54)))</formula>
    </cfRule>
  </conditionalFormatting>
  <conditionalFormatting sqref="I53">
    <cfRule type="expression" dxfId="160" priority="3" stopIfTrue="1">
      <formula>$J$53="超过30%"</formula>
    </cfRule>
  </conditionalFormatting>
  <conditionalFormatting sqref="I54">
    <cfRule type="expression" dxfId="159" priority="2" stopIfTrue="1">
      <formula>$J$53+$J$54="超过20%"</formula>
    </cfRule>
  </conditionalFormatting>
  <conditionalFormatting sqref="I55">
    <cfRule type="expression" dxfId="1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52" t="str">
        <f>项目基本情况!B1</f>
        <v>北京市朝阳区酒仙桥北路7号北侧房地产市场价值预评估</v>
      </c>
      <c r="C37" s="3052"/>
      <c r="D37" s="3052"/>
      <c r="E37" s="3052"/>
      <c r="F37" s="3052"/>
      <c r="G37" s="3052"/>
      <c r="H37" s="3052"/>
      <c r="I37" s="3052"/>
    </row>
    <row r="38" spans="1:9">
      <c r="A38" s="1019"/>
      <c r="B38" s="1019"/>
    </row>
    <row r="39" spans="1:9">
      <c r="A39" s="1017" t="s">
        <v>818</v>
      </c>
      <c r="B39" s="1017" t="s">
        <v>820</v>
      </c>
    </row>
    <row r="40" spans="1:9">
      <c r="A40" s="1017"/>
      <c r="B40" s="1946" t="str">
        <f>项目基本情况!B5</f>
        <v>北京京城机电控股有限责任公司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吴薇（注册号：1419970001)、梁津（注册号：1119970066)</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90" zoomScaleNormal="90" zoomScaleSheetLayoutView="90" workbookViewId="0">
      <selection activeCell="F71" sqref="F7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3279</v>
      </c>
      <c r="D1" s="1824" t="s">
        <v>70</v>
      </c>
      <c r="E1" s="1825" t="s">
        <v>1388</v>
      </c>
      <c r="F1" s="1286" t="e">
        <f ca="1">J53</f>
        <v>#N/A</v>
      </c>
      <c r="G1" s="1840"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t="e">
        <f ca="1">C40+J29+L46</f>
        <v>#N/A</v>
      </c>
      <c r="C2" s="1849" t="s">
        <v>1518</v>
      </c>
      <c r="D2" s="1849"/>
      <c r="E2" s="1850"/>
      <c r="F2" s="1851"/>
      <c r="G2" s="1852"/>
      <c r="H2" s="1844"/>
      <c r="I2" s="1844"/>
      <c r="J2" s="1844"/>
      <c r="K2" s="1845"/>
      <c r="L2" s="1844"/>
      <c r="M2" s="1844"/>
    </row>
    <row r="3" spans="1:37" ht="18" customHeight="1" thickBot="1">
      <c r="A3" s="1853" t="s">
        <v>1519</v>
      </c>
      <c r="B3" s="1854">
        <f ca="1">IF(ISERROR(B2*10000/F43),0,ROUND(B2*10000/F43,0))</f>
        <v>0</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t="e">
        <f ca="1">C6+C10+C12</f>
        <v>#N/A</v>
      </c>
      <c r="D5" s="1826" t="s">
        <v>1403</v>
      </c>
      <c r="E5" s="1296"/>
      <c r="F5" s="1297"/>
      <c r="G5" s="1855"/>
      <c r="H5" s="344">
        <v>1</v>
      </c>
      <c r="I5" s="345" t="s">
        <v>1402</v>
      </c>
      <c r="J5" s="1295" t="e">
        <f ca="1">J6+J10+J12</f>
        <v>#N/A</v>
      </c>
      <c r="K5" s="1826" t="s">
        <v>1403</v>
      </c>
      <c r="L5" s="1296"/>
      <c r="M5" s="1297"/>
    </row>
    <row r="6" spans="1:37" ht="18" customHeight="1">
      <c r="A6" s="1294" t="s">
        <v>1035</v>
      </c>
      <c r="B6" s="3292" t="s">
        <v>1404</v>
      </c>
      <c r="C6" s="1299" t="e">
        <f ca="1">ROUND(F6*F8*F7*(1-F9)/10000,0)</f>
        <v>#N/A</v>
      </c>
      <c r="D6" s="164" t="s">
        <v>3029</v>
      </c>
      <c r="E6" s="347" t="s">
        <v>1406</v>
      </c>
      <c r="F6" s="348" t="e">
        <f ca="1">INDIRECT("'数据-取费表'!u"&amp;$G$1)</f>
        <v>#N/A</v>
      </c>
      <c r="G6" s="1855"/>
      <c r="H6" s="1294" t="s">
        <v>1035</v>
      </c>
      <c r="I6" s="3292" t="s">
        <v>1404</v>
      </c>
      <c r="J6" s="346" t="e">
        <f ca="1">ROUND(M6*M8*M7*(1-M9)/10000,0)</f>
        <v>#N/A</v>
      </c>
      <c r="K6" s="164" t="s">
        <v>3028</v>
      </c>
      <c r="L6" s="347" t="s">
        <v>1406</v>
      </c>
      <c r="M6" s="348" t="e">
        <f ca="1">INDIRECT("'数据-取费表'!z"&amp;$G$1)</f>
        <v>#N/A</v>
      </c>
    </row>
    <row r="7" spans="1:37" ht="18" customHeight="1">
      <c r="A7" s="1298"/>
      <c r="B7" s="3293"/>
      <c r="C7" s="1300"/>
      <c r="D7" s="352"/>
      <c r="E7" s="1301" t="s">
        <v>1407</v>
      </c>
      <c r="F7" s="348" t="e">
        <f ca="1">IF(INDIRECT("'数据-取费表'!ah"&amp;$G$1)="",INDIRECT("'数据-取费表'!k"&amp;$G$1),INDIRECT("'数据-取费表'!ah"&amp;$G$1))</f>
        <v>#N/A</v>
      </c>
      <c r="G7" s="1855"/>
      <c r="H7" s="349"/>
      <c r="I7" s="3293"/>
      <c r="J7" s="351"/>
      <c r="K7" s="352"/>
      <c r="L7" s="347" t="s">
        <v>1407</v>
      </c>
      <c r="M7" s="348" t="e">
        <f ca="1">F7</f>
        <v>#N/A</v>
      </c>
    </row>
    <row r="8" spans="1:37" ht="18" customHeight="1">
      <c r="A8" s="349"/>
      <c r="B8" s="3293"/>
      <c r="C8" s="351"/>
      <c r="D8" s="352"/>
      <c r="E8" s="347" t="s">
        <v>1408</v>
      </c>
      <c r="F8" s="348" t="e">
        <f ca="1">INDIRECT("'数据-取费表'!ai"&amp;$G$1)</f>
        <v>#N/A</v>
      </c>
      <c r="G8" s="1855"/>
      <c r="H8" s="349"/>
      <c r="I8" s="3293"/>
      <c r="J8" s="351"/>
      <c r="K8" s="352"/>
      <c r="L8" s="347" t="s">
        <v>1408</v>
      </c>
      <c r="M8" s="348" t="e">
        <f ca="1">INDIRECT("'数据-取费表'!ai"&amp;$G$1)</f>
        <v>#N/A</v>
      </c>
    </row>
    <row r="9" spans="1:37" ht="18" customHeight="1">
      <c r="A9" s="349"/>
      <c r="B9" s="3294"/>
      <c r="C9" s="351"/>
      <c r="D9" s="352"/>
      <c r="E9" s="347" t="s">
        <v>1409</v>
      </c>
      <c r="F9" s="357" t="e">
        <f ca="1">INDIRECT("'数据-取费表'!w"&amp;$G$1)</f>
        <v>#N/A</v>
      </c>
      <c r="G9" s="1855"/>
      <c r="H9" s="349"/>
      <c r="I9" s="3294"/>
      <c r="J9" s="351"/>
      <c r="K9" s="352"/>
      <c r="L9" s="358" t="s">
        <v>1409</v>
      </c>
      <c r="M9" s="359" t="e">
        <f ca="1">INDIRECT("'数据-取费表'!ab"&amp;$G$1)</f>
        <v>#N/A</v>
      </c>
    </row>
    <row r="10" spans="1:37" ht="18" customHeight="1">
      <c r="A10" s="1294" t="s">
        <v>1039</v>
      </c>
      <c r="B10" s="1827" t="s">
        <v>1410</v>
      </c>
      <c r="C10" s="361" t="e">
        <f ca="1">ROUND(IF(F10="押一",F6*F8*F7/12*F11,IF(F10="押二",F6*F8*F7/12*2*F11,IF(F10="押三",F6*F8*F7/12*3*F11,C11*F11)))/10000,0)</f>
        <v>#N/A</v>
      </c>
      <c r="D10" s="1828" t="s">
        <v>3030</v>
      </c>
      <c r="E10" s="358" t="s">
        <v>1412</v>
      </c>
      <c r="F10" s="1369" t="s">
        <v>3332</v>
      </c>
      <c r="G10" s="1855"/>
      <c r="H10" s="1294" t="s">
        <v>1039</v>
      </c>
      <c r="I10" s="1827" t="s">
        <v>1410</v>
      </c>
      <c r="J10" s="346" t="e">
        <f ca="1">ROUND(IF(M10="押一",M6*M8*M7/12*M11,IF(M10="押二",M6*M8*M7/12*2*M11,IF(M10="押三",M6*M8*M7/12*3*M11,J11*M11)))/10000,0)</f>
        <v>#N/A</v>
      </c>
      <c r="K10" s="1828" t="s">
        <v>3031</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t="e">
        <f ca="1">ROUND(C29*F13,0)</f>
        <v>#N/A</v>
      </c>
      <c r="D13" s="1334" t="s">
        <v>1417</v>
      </c>
      <c r="E13" s="1334" t="s">
        <v>1418</v>
      </c>
      <c r="F13" s="1335" t="e">
        <f ca="1">INDIRECT("'数据-取费表'!y"&amp;$G$1)</f>
        <v>#N/A</v>
      </c>
      <c r="G13" s="1855"/>
      <c r="H13" s="1332">
        <v>2</v>
      </c>
      <c r="I13" s="1333" t="s">
        <v>1416</v>
      </c>
      <c r="J13" s="1293" t="e">
        <f ca="1">ROUND(J14*J15,0)</f>
        <v>#N/A</v>
      </c>
      <c r="K13" s="1340" t="s">
        <v>1417</v>
      </c>
      <c r="L13" s="1856"/>
      <c r="M13" s="1857"/>
    </row>
    <row r="14" spans="1:37" ht="18" customHeight="1">
      <c r="A14" s="1204" t="s">
        <v>1034</v>
      </c>
      <c r="B14" s="347" t="s">
        <v>1419</v>
      </c>
      <c r="C14" s="363" t="e">
        <f ca="1">INDIRECT("'数据-取费表'!m"&amp;$G$1)+INDIRECT("'数据-取费表'!t"&amp;$G$1)</f>
        <v>#N/A</v>
      </c>
      <c r="D14" s="1804" t="s">
        <v>1420</v>
      </c>
      <c r="E14" s="1798"/>
      <c r="F14" s="364"/>
      <c r="G14" s="1855"/>
      <c r="H14" s="1204" t="s">
        <v>1035</v>
      </c>
      <c r="I14" s="347" t="s">
        <v>1421</v>
      </c>
      <c r="J14" s="23" t="e">
        <f ca="1">C29</f>
        <v>#N/A</v>
      </c>
      <c r="K14" s="14"/>
      <c r="L14" s="982"/>
      <c r="M14" s="983"/>
    </row>
    <row r="15" spans="1:37" s="1862" customFormat="1" ht="18" customHeight="1" thickBot="1">
      <c r="A15" s="1204" t="s">
        <v>1036</v>
      </c>
      <c r="B15" s="347" t="s">
        <v>1422</v>
      </c>
      <c r="C15" s="23" t="e">
        <f ca="1">ROUND(C14*F15,0)</f>
        <v>#N/A</v>
      </c>
      <c r="D15" s="365" t="s">
        <v>1423</v>
      </c>
      <c r="E15" s="365" t="s">
        <v>1424</v>
      </c>
      <c r="F15" s="366">
        <f>'数据-取费表'!B33</f>
        <v>0.04</v>
      </c>
      <c r="G15" s="1858"/>
      <c r="H15" s="1342" t="s">
        <v>1039</v>
      </c>
      <c r="I15" s="1343" t="s">
        <v>1418</v>
      </c>
      <c r="J15" s="1352" t="e">
        <f ca="1">INDIRECT("'数据-取费表'!ad"&amp;$G$1)</f>
        <v>#N/A</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t="e">
        <f ca="1">ROUND(INDIRECT("'数据-取费表'!m"&amp;$G$1)*F16,0)</f>
        <v>#N/A</v>
      </c>
      <c r="D16" s="347" t="s">
        <v>1423</v>
      </c>
      <c r="E16" s="347" t="s">
        <v>1424</v>
      </c>
      <c r="F16" s="367" t="e">
        <f ca="1">IF(INDIRECT("'数据-取费表'!c"&amp;$G$1)="住宅",'数据-取费表'!B34,0)</f>
        <v>#N/A</v>
      </c>
      <c r="G16" s="1855"/>
      <c r="H16" s="1332" t="s">
        <v>1030</v>
      </c>
      <c r="I16" s="1333" t="s">
        <v>1426</v>
      </c>
      <c r="J16" s="355" t="e">
        <f ca="1">ROUND(J17+J22+J23+J24,0)</f>
        <v>#N/A</v>
      </c>
      <c r="K16" s="1340" t="s">
        <v>1427</v>
      </c>
      <c r="L16" s="1341"/>
      <c r="M16" s="1297"/>
    </row>
    <row r="17" spans="1:37" s="1862" customFormat="1" ht="18" customHeight="1">
      <c r="A17" s="1204" t="s">
        <v>1391</v>
      </c>
      <c r="B17" s="347" t="s">
        <v>1428</v>
      </c>
      <c r="C17" s="23" t="e">
        <f ca="1">ROUND(F17*(F43+INDIRECT("'数据-取费表'!S"&amp;$G$1))/10000,0)</f>
        <v>#N/A</v>
      </c>
      <c r="D17" s="347" t="s">
        <v>1429</v>
      </c>
      <c r="E17" s="347" t="s">
        <v>1430</v>
      </c>
      <c r="F17" s="25">
        <f>'数据-取费表'!B35</f>
        <v>200</v>
      </c>
      <c r="G17" s="1858"/>
      <c r="H17" s="1204" t="s">
        <v>1035</v>
      </c>
      <c r="I17" s="347" t="s">
        <v>1431</v>
      </c>
      <c r="J17" s="23" t="e">
        <f ca="1">ROUND(IF(项目基本情况!B11="自然人",J5*M17,J18+J19+J20),1)</f>
        <v>#N/A</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t="e">
        <f ca="1">ROUND(C14*F18,0)</f>
        <v>#N/A</v>
      </c>
      <c r="D18" s="347" t="s">
        <v>1423</v>
      </c>
      <c r="E18" s="347" t="s">
        <v>1424</v>
      </c>
      <c r="F18" s="367">
        <f>'数据-取费表'!B36</f>
        <v>1.4999999999999999E-2</v>
      </c>
      <c r="G18" s="1858"/>
      <c r="H18" s="1204" t="s">
        <v>1034</v>
      </c>
      <c r="I18" s="347" t="s">
        <v>1435</v>
      </c>
      <c r="J18" s="23" t="e">
        <f ca="1">ROUND(J5*M18/(1+'数据-取费表'!C42),2)</f>
        <v>#N/A</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t="e">
        <f ca="1">SUM(C14:C18)</f>
        <v>#N/A</v>
      </c>
      <c r="D19" s="139" t="s">
        <v>1438</v>
      </c>
      <c r="E19" s="1822"/>
      <c r="F19" s="25"/>
      <c r="G19" s="1855"/>
      <c r="H19" s="1204" t="s">
        <v>1036</v>
      </c>
      <c r="I19" s="347" t="s">
        <v>1439</v>
      </c>
      <c r="J19" s="23" t="e">
        <f ca="1">IF(K19="按租金收入计税",ROUND(J5*M19,2),ROUND(C29*M19*0.7,2))</f>
        <v>#N/A</v>
      </c>
      <c r="K19" s="1832" t="s">
        <v>1440</v>
      </c>
      <c r="L19" s="347" t="s">
        <v>1424</v>
      </c>
      <c r="M19" s="367">
        <f>IF(K19="按租金收入计税",'数据-取费表'!B51,'数据-取费表'!B50)</f>
        <v>1.2E-2</v>
      </c>
    </row>
    <row r="20" spans="1:37" s="1862" customFormat="1" ht="18" customHeight="1">
      <c r="A20" s="1204" t="s">
        <v>1039</v>
      </c>
      <c r="B20" s="347" t="s">
        <v>1441</v>
      </c>
      <c r="C20" s="23" t="e">
        <f ca="1">ROUND(C19*F20,0)</f>
        <v>#N/A</v>
      </c>
      <c r="D20" s="369" t="s">
        <v>1442</v>
      </c>
      <c r="E20" s="347" t="s">
        <v>1424</v>
      </c>
      <c r="F20" s="367">
        <f>'数据-取费表'!B37</f>
        <v>0.02</v>
      </c>
      <c r="G20" s="1858"/>
      <c r="H20" s="1204" t="s">
        <v>1390</v>
      </c>
      <c r="I20" s="164" t="s">
        <v>1443</v>
      </c>
      <c r="J20" s="24" t="e">
        <f ca="1">ROUND(M20*M21/10000,2)</f>
        <v>#N/A</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t="e">
        <f ca="1">INDIRECT("'数据-取费表'!r"&amp;$G$1)</f>
        <v>#N/A</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1822"/>
      <c r="F22" s="25"/>
      <c r="G22" s="1855"/>
      <c r="H22" s="1204" t="s">
        <v>1039</v>
      </c>
      <c r="I22" s="347" t="s">
        <v>1451</v>
      </c>
      <c r="J22" s="23" t="e">
        <f ca="1">ROUND(J14*M22,1)</f>
        <v>#N/A</v>
      </c>
      <c r="K22" s="1802" t="s">
        <v>1452</v>
      </c>
      <c r="L22" s="347" t="s">
        <v>1424</v>
      </c>
      <c r="M22" s="374" t="e">
        <f ca="1">INDIRECT("'数据-取费表'!Ak"&amp;$G$1)</f>
        <v>#N/A</v>
      </c>
    </row>
    <row r="23" spans="1:37" s="1862" customFormat="1" ht="18" customHeight="1">
      <c r="A23" s="1204" t="s">
        <v>1034</v>
      </c>
      <c r="B23" s="347" t="s">
        <v>1453</v>
      </c>
      <c r="C23" s="23"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3" t="e">
        <f ca="1">ROUND(J13*M23,1)</f>
        <v>#N/A</v>
      </c>
      <c r="K23" s="1802" t="s">
        <v>1456</v>
      </c>
      <c r="L23" s="347" t="s">
        <v>1457</v>
      </c>
      <c r="M23" s="376" t="e">
        <f ca="1">INDIRECT("'数据-取费表'!Al"&amp;$G$1)</f>
        <v>#N/A</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t="e">
        <f ca="1">ROUND(J5*M24,1)</f>
        <v>#N/A</v>
      </c>
      <c r="K24" s="1345" t="s">
        <v>1461</v>
      </c>
      <c r="L24" s="1343" t="s">
        <v>1457</v>
      </c>
      <c r="M24" s="1339" t="e">
        <f ca="1">INDIRECT("'数据-取费表'!Am"&amp;$G$1)</f>
        <v>#N/A</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1822"/>
      <c r="F25" s="25"/>
      <c r="G25" s="1855"/>
      <c r="H25" s="1332" t="s">
        <v>1031</v>
      </c>
      <c r="I25" s="1347" t="s">
        <v>1465</v>
      </c>
      <c r="J25" s="355" t="e">
        <f ca="1">J5-J16</f>
        <v>#N/A</v>
      </c>
      <c r="K25" s="1348" t="s">
        <v>1466</v>
      </c>
      <c r="L25" s="1349"/>
      <c r="M25" s="1350"/>
    </row>
    <row r="26" spans="1:37">
      <c r="A26" s="1204" t="s">
        <v>1034</v>
      </c>
      <c r="B26" s="347" t="s">
        <v>1467</v>
      </c>
      <c r="C26" s="23" t="e">
        <f ca="1">ROUND((C19+C20)*F26,0)</f>
        <v>#N/A</v>
      </c>
      <c r="D26" s="369" t="s">
        <v>1468</v>
      </c>
      <c r="E26" s="358" t="s">
        <v>1469</v>
      </c>
      <c r="F26" s="357" t="e">
        <f ca="1">INDIRECT("'数据-取费表'!q"&amp;$G$1)</f>
        <v>#N/A</v>
      </c>
      <c r="G26" s="1855"/>
      <c r="H26" s="344" t="s">
        <v>1032</v>
      </c>
      <c r="I26" s="345" t="s">
        <v>1470</v>
      </c>
      <c r="J26" s="346" t="e">
        <f ca="1">IF(J5&lt;&gt;0,ROUND(J25*(1-((1+M28)/(1+M26))^M27)/(M26-M28),0),0)</f>
        <v>#N/A</v>
      </c>
      <c r="K26" s="370" t="s">
        <v>1471</v>
      </c>
      <c r="L26" s="347" t="s">
        <v>1472</v>
      </c>
      <c r="M26" s="357" t="e">
        <f ca="1">INDIRECT("'数据-取费表'!I"&amp;$G$1)</f>
        <v>#N/A</v>
      </c>
    </row>
    <row r="27" spans="1:37" ht="18" customHeight="1">
      <c r="A27" s="1204" t="s">
        <v>1036</v>
      </c>
      <c r="B27" s="347" t="s">
        <v>1473</v>
      </c>
      <c r="C27" s="23" t="e">
        <f ca="1">ROUND(F21*F26,4)</f>
        <v>#N/A</v>
      </c>
      <c r="D27" s="369" t="s">
        <v>1474</v>
      </c>
      <c r="E27" s="365"/>
      <c r="F27" s="366"/>
      <c r="G27" s="1855"/>
      <c r="H27" s="349"/>
      <c r="I27" s="350"/>
      <c r="J27" s="351"/>
      <c r="K27" s="378" t="s">
        <v>1475</v>
      </c>
      <c r="L27" s="347" t="s">
        <v>1476</v>
      </c>
      <c r="M27" s="379" t="e">
        <f ca="1">INDIRECT("'数据-取费表'!ag"&amp;$G$1)</f>
        <v>#N/A</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t="e">
        <f ca="1">INDIRECT("'数据-取费表'!aa"&amp;$G$1)</f>
        <v>#N/A</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t="e">
        <f ca="1">ROUND((C19+C20+C23+C26)/(1-F21-C24-C27-C28),0)</f>
        <v>#N/A</v>
      </c>
      <c r="D29" s="1345"/>
      <c r="E29" s="1343"/>
      <c r="F29" s="1346"/>
      <c r="G29" s="1858"/>
      <c r="H29" s="380" t="s">
        <v>1033</v>
      </c>
      <c r="I29" s="381" t="s">
        <v>1481</v>
      </c>
      <c r="J29" s="382" t="e">
        <f ca="1">ROUND(J26/(1+F40)^F41,0)</f>
        <v>#N/A</v>
      </c>
      <c r="K29" s="383" t="s">
        <v>1482</v>
      </c>
      <c r="L29" s="384"/>
      <c r="M29" s="385" t="e">
        <f ca="1">INDIRECT("'数据-取费表'!k"&amp;$G$1)</f>
        <v>#N/A</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t="e">
        <f ca="1">ROUND(C31+C36+C37+C38,0)</f>
        <v>#N/A</v>
      </c>
      <c r="D30" s="1340" t="s">
        <v>1427</v>
      </c>
      <c r="E30" s="1341"/>
      <c r="F30" s="1297"/>
      <c r="G30" s="1855"/>
      <c r="H30" s="745"/>
      <c r="I30" s="746"/>
      <c r="J30" s="747"/>
      <c r="K30" s="748"/>
      <c r="L30" s="749"/>
      <c r="M30" s="750"/>
    </row>
    <row r="31" spans="1:37" ht="18" customHeight="1">
      <c r="A31" s="1204" t="s">
        <v>1035</v>
      </c>
      <c r="B31" s="347" t="s">
        <v>1431</v>
      </c>
      <c r="C31" s="23" t="e">
        <f ca="1">ROUND(IF(项目基本情况!B11="自然人",C5*F31,C32+C33+C34),1)</f>
        <v>#N/A</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t="e">
        <f ca="1">IF(项目基本情况!B11="自然人","——",ROUND(C5*F32/(1+'数据-取费表'!C42),2))</f>
        <v>#N/A</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3" t="e">
        <f ca="1">IF(项目基本情况!B11="自然人","——",IF(D33="按租金收入计税",ROUND(C5*F33,2),IF(D33="按房产原值计税",ROUND(C29*F33*0.7,2),INDIRECT("'数据-取费表'!Aj"&amp;$G$1))))</f>
        <v>#N/A</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t="e">
        <f ca="1">IF(项目基本情况!B11="自然人","——",ROUND(F34*F35/10000,2))</f>
        <v>#N/A</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t="e">
        <f ca="1">INDIRECT("'数据-取费表'!r"&amp;$G$1)</f>
        <v>#N/A</v>
      </c>
      <c r="G35" s="1855"/>
      <c r="H35" s="745"/>
      <c r="I35" s="1864"/>
      <c r="J35" s="1865"/>
      <c r="K35" s="1866"/>
      <c r="L35" s="1863"/>
      <c r="M35" s="1863"/>
    </row>
    <row r="36" spans="1:18" ht="18" customHeight="1">
      <c r="A36" s="1355" t="s">
        <v>1039</v>
      </c>
      <c r="B36" s="347" t="s">
        <v>1451</v>
      </c>
      <c r="C36" s="23" t="e">
        <f ca="1">ROUND(C29*F36,1)</f>
        <v>#N/A</v>
      </c>
      <c r="D36" s="1802" t="s">
        <v>1484</v>
      </c>
      <c r="E36" s="347" t="s">
        <v>1424</v>
      </c>
      <c r="F36" s="374" t="e">
        <f ca="1">INDIRECT("'数据-取费表'!Ak"&amp;$G$1)</f>
        <v>#N/A</v>
      </c>
      <c r="G36" s="1855"/>
      <c r="H36" s="1863"/>
      <c r="I36" s="1864"/>
      <c r="J36" s="1865"/>
      <c r="K36" s="751"/>
      <c r="L36" s="1863"/>
      <c r="M36" s="1863"/>
    </row>
    <row r="37" spans="1:18" ht="18" customHeight="1">
      <c r="A37" s="1204" t="s">
        <v>1075</v>
      </c>
      <c r="B37" s="347" t="s">
        <v>1455</v>
      </c>
      <c r="C37" s="23" t="e">
        <f ca="1">ROUND(C13*F37,1)</f>
        <v>#N/A</v>
      </c>
      <c r="D37" s="1802" t="s">
        <v>1456</v>
      </c>
      <c r="E37" s="347" t="s">
        <v>1457</v>
      </c>
      <c r="F37" s="376" t="e">
        <f ca="1">INDIRECT("'数据-取费表'!Al"&amp;$G$1)</f>
        <v>#N/A</v>
      </c>
      <c r="G37" s="1855"/>
      <c r="H37" s="1863"/>
      <c r="I37" s="1864"/>
      <c r="J37" s="1865"/>
      <c r="K37" s="751"/>
      <c r="L37" s="1863"/>
      <c r="M37" s="1863"/>
    </row>
    <row r="38" spans="1:18" ht="18" customHeight="1" thickBot="1">
      <c r="A38" s="1342" t="s">
        <v>1394</v>
      </c>
      <c r="B38" s="1343" t="s">
        <v>1441</v>
      </c>
      <c r="C38" s="1344" t="e">
        <f ca="1">ROUND(C5*F38,1)</f>
        <v>#N/A</v>
      </c>
      <c r="D38" s="1345" t="s">
        <v>1461</v>
      </c>
      <c r="E38" s="1343" t="s">
        <v>1457</v>
      </c>
      <c r="F38" s="1339" t="e">
        <f ca="1">INDIRECT("'数据-取费表'!Am"&amp;$G$1)</f>
        <v>#N/A</v>
      </c>
      <c r="G38" s="1855"/>
      <c r="H38" s="1863"/>
      <c r="I38" s="1864"/>
      <c r="J38" s="1865"/>
      <c r="K38" s="1869"/>
      <c r="L38" s="1863"/>
      <c r="M38" s="1863"/>
    </row>
    <row r="39" spans="1:18" ht="24.6" customHeight="1" thickTop="1">
      <c r="A39" s="1332" t="s">
        <v>1031</v>
      </c>
      <c r="B39" s="1347" t="s">
        <v>1485</v>
      </c>
      <c r="C39" s="355" t="e">
        <f ca="1">C5-C30</f>
        <v>#N/A</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#N/A</v>
      </c>
      <c r="D40" s="370" t="s">
        <v>1471</v>
      </c>
      <c r="E40" s="347" t="s">
        <v>1472</v>
      </c>
      <c r="F40" s="357" t="e">
        <f ca="1">INDIRECT("'数据-取费表'!I"&amp;$G$1)</f>
        <v>#N/A</v>
      </c>
      <c r="G40" s="1855"/>
      <c r="H40" s="1843"/>
      <c r="I40" s="1864"/>
      <c r="J40" s="1865"/>
      <c r="K40" s="1869"/>
      <c r="L40" s="1843"/>
      <c r="M40" s="1843"/>
    </row>
    <row r="41" spans="1:18" ht="18" customHeight="1">
      <c r="A41" s="349"/>
      <c r="B41" s="350"/>
      <c r="C41" s="351"/>
      <c r="D41" s="378" t="s">
        <v>1488</v>
      </c>
      <c r="E41" s="347" t="s">
        <v>1476</v>
      </c>
      <c r="F41" s="379" t="e">
        <f ca="1">IF(INDIRECT("'数据-取费表'!af"&amp;$G$1)=0,INDIRECT("'数据-取费表'!ae"&amp;$G$1),INDIRECT("'数据-取费表'!af"&amp;$G$1))</f>
        <v>#N/A</v>
      </c>
      <c r="G41" s="1855"/>
      <c r="H41" s="732"/>
      <c r="I41" s="1864"/>
      <c r="J41" s="1865"/>
      <c r="K41" s="751"/>
      <c r="L41" s="732"/>
      <c r="M41" s="732"/>
    </row>
    <row r="42" spans="1:18" ht="18" customHeight="1">
      <c r="A42" s="353"/>
      <c r="B42" s="354"/>
      <c r="C42" s="355"/>
      <c r="D42" s="373"/>
      <c r="E42" s="347" t="s">
        <v>1479</v>
      </c>
      <c r="F42" s="357" t="e">
        <f ca="1">INDIRECT("'数据-取费表'!v"&amp;$G$1)</f>
        <v>#N/A</v>
      </c>
      <c r="G42" s="1855"/>
      <c r="H42" s="732"/>
      <c r="I42" s="1864"/>
      <c r="J42" s="1865"/>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t="e">
        <f ca="1">C68-C40</f>
        <v>#N/A</v>
      </c>
      <c r="D46" s="1876" t="str">
        <f>C2</f>
        <v>万元</v>
      </c>
      <c r="E46" s="1870"/>
      <c r="F46" s="1870"/>
      <c r="I46" s="1877" t="s">
        <v>1523</v>
      </c>
      <c r="J46" s="1878"/>
      <c r="K46" s="1879"/>
      <c r="L46" s="1880" t="e">
        <f ca="1">IF(M47="住宅",0,IF(L48&gt;J51,L60,J60))</f>
        <v>#N/A</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3277</v>
      </c>
      <c r="K47" s="1886" t="s">
        <v>1529</v>
      </c>
      <c r="L47" s="1887" t="e">
        <f ca="1">INDIRECT("'数据-取费表'!d"&amp;$G$1)</f>
        <v>#N/A</v>
      </c>
      <c r="M47" s="1842" t="str">
        <f>IF(ISNUMBER(FIND("住宅",C1)),"住宅","非住宅")</f>
        <v>非住宅</v>
      </c>
      <c r="O47" s="1888" t="s">
        <v>1040</v>
      </c>
      <c r="P47" s="1889" t="s">
        <v>1530</v>
      </c>
      <c r="Q47" s="1890" t="e">
        <f ca="1">C40+J29</f>
        <v>#N/A</v>
      </c>
      <c r="R47" s="1890" t="s">
        <v>1531</v>
      </c>
    </row>
    <row r="48" spans="1:18" s="1846" customFormat="1" ht="28.5" thickBot="1">
      <c r="A48" s="1363" t="s">
        <v>1135</v>
      </c>
      <c r="B48" s="345" t="s">
        <v>1402</v>
      </c>
      <c r="C48" s="1821" t="e">
        <f ca="1">C49+C53+C55</f>
        <v>#N/A</v>
      </c>
      <c r="D48" s="1365"/>
      <c r="E48" s="1366"/>
      <c r="F48" s="1184"/>
      <c r="G48" s="792"/>
      <c r="H48" s="793"/>
      <c r="I48" s="1891" t="s">
        <v>1532</v>
      </c>
      <c r="J48" s="1892" t="s">
        <v>3278</v>
      </c>
      <c r="K48" s="1893" t="s">
        <v>1533</v>
      </c>
      <c r="L48" s="1894" t="e">
        <f ca="1">INDIRECT("'数据-取费表'!f"&amp;$G$1)</f>
        <v>#N/A</v>
      </c>
      <c r="O48" s="1888" t="s">
        <v>1041</v>
      </c>
      <c r="P48" s="1889" t="s">
        <v>1534</v>
      </c>
      <c r="Q48" s="1890" t="e">
        <f ca="1">J60</f>
        <v>#N/A</v>
      </c>
      <c r="R48" s="1890" t="s">
        <v>1535</v>
      </c>
    </row>
    <row r="49" spans="1:18" s="1846" customFormat="1" ht="13.5" thickBot="1">
      <c r="A49" s="1197" t="s">
        <v>1136</v>
      </c>
      <c r="B49" s="1833" t="s">
        <v>1492</v>
      </c>
      <c r="C49" s="1367" t="e">
        <f ca="1">ROUND(F49*F51*F50*(1-F52)/10000,0)</f>
        <v>#N/A</v>
      </c>
      <c r="D49" s="1279" t="s">
        <v>3032</v>
      </c>
      <c r="E49" s="1834" t="s">
        <v>1493</v>
      </c>
      <c r="F49" s="1284">
        <f>市场租金整理!A4</f>
        <v>5.4</v>
      </c>
      <c r="G49" s="1895"/>
      <c r="H49" s="793"/>
      <c r="I49" s="1891" t="s">
        <v>1536</v>
      </c>
      <c r="J49" s="1896"/>
      <c r="K49" s="1893" t="s">
        <v>1537</v>
      </c>
      <c r="L49" s="1897"/>
      <c r="O49" s="1898" t="s">
        <v>1042</v>
      </c>
      <c r="P49" s="1889" t="s">
        <v>1538</v>
      </c>
      <c r="Q49" s="1890" t="e">
        <f ca="1">C29</f>
        <v>#N/A</v>
      </c>
      <c r="R49" s="1890" t="s">
        <v>1531</v>
      </c>
    </row>
    <row r="50" spans="1:18" s="1846" customFormat="1" ht="13.5" thickBot="1">
      <c r="A50" s="1198"/>
      <c r="B50" s="1201"/>
      <c r="C50" s="1371"/>
      <c r="D50" s="1175"/>
      <c r="E50" s="1280" t="s">
        <v>1407</v>
      </c>
      <c r="F50" s="1281" t="e">
        <f ca="1">F7</f>
        <v>#N/A</v>
      </c>
      <c r="H50" s="793"/>
      <c r="I50" s="1891" t="s">
        <v>1539</v>
      </c>
      <c r="J50" s="1899">
        <f>SUMPRODUCT((I63:I65=J47)*(J62:L62=J48)*(J63:L65))</f>
        <v>70</v>
      </c>
      <c r="K50" s="1893" t="s">
        <v>1540</v>
      </c>
      <c r="L50" s="1897"/>
      <c r="M50" s="1900"/>
      <c r="O50" s="1898" t="s">
        <v>1043</v>
      </c>
      <c r="P50" s="1889" t="s">
        <v>1541</v>
      </c>
      <c r="Q50" s="1901" t="e">
        <f ca="1">J58</f>
        <v>#N/A</v>
      </c>
      <c r="R50" s="1890"/>
    </row>
    <row r="51" spans="1:18" s="1846" customFormat="1" ht="13.5" thickBot="1">
      <c r="A51" s="1199"/>
      <c r="B51" s="1201"/>
      <c r="C51" s="1202"/>
      <c r="D51" s="1175"/>
      <c r="E51" s="1203" t="s">
        <v>1408</v>
      </c>
      <c r="F51" s="348" t="e">
        <f ca="1">F8</f>
        <v>#N/A</v>
      </c>
      <c r="I51" s="1902" t="s">
        <v>1542</v>
      </c>
      <c r="J51" s="1903">
        <f>IF(J49="",J50,J49+J50-YEAR('数据-取费表'!B2))</f>
        <v>70</v>
      </c>
      <c r="K51" s="1904" t="s">
        <v>1543</v>
      </c>
      <c r="L51" s="1905" t="e">
        <f ca="1">ROUND(-PV(INDIRECT("'数据-取费表'!h"&amp;$G$1),L48,(C39-C13*C76),0),0)</f>
        <v>#N/A</v>
      </c>
      <c r="M51" s="1906"/>
      <c r="O51" s="1898" t="s">
        <v>1044</v>
      </c>
      <c r="P51" s="1889" t="s">
        <v>1544</v>
      </c>
      <c r="Q51" s="1901">
        <f>J52</f>
        <v>0</v>
      </c>
      <c r="R51" s="1890"/>
    </row>
    <row r="52" spans="1:18" s="1846" customFormat="1" ht="13.5" thickBot="1">
      <c r="A52" s="1199"/>
      <c r="B52" s="1201"/>
      <c r="C52" s="1202"/>
      <c r="D52" s="1175"/>
      <c r="E52" s="1203" t="s">
        <v>1409</v>
      </c>
      <c r="F52" s="1278">
        <f>'数据-取费表'!W9</f>
        <v>0.1</v>
      </c>
      <c r="I52" s="1907" t="s">
        <v>1545</v>
      </c>
      <c r="J52" s="1908"/>
      <c r="K52" s="1907" t="s">
        <v>1546</v>
      </c>
      <c r="L52" s="1908"/>
      <c r="O52" s="1898" t="s">
        <v>1045</v>
      </c>
      <c r="P52" s="1889" t="s">
        <v>1547</v>
      </c>
      <c r="Q52" s="1890" t="e">
        <f ca="1">J53</f>
        <v>#N/A</v>
      </c>
      <c r="R52" s="1890" t="s">
        <v>1548</v>
      </c>
    </row>
    <row r="53" spans="1:18" s="1846" customFormat="1" ht="24.75" thickBot="1">
      <c r="A53" s="1408" t="s">
        <v>1137</v>
      </c>
      <c r="B53" s="1835" t="s">
        <v>1410</v>
      </c>
      <c r="C53" s="361" t="e">
        <f ca="1">ROUND(IF(F53="押一",F49*F51*F50/12*F11,IF(F53="押二",F49*F51*F50/12*2*F11,IF(F53="押三",F49*F51*F50/12*3*F11,C54*F11)))/10000,0)</f>
        <v>#N/A</v>
      </c>
      <c r="D53" s="1828" t="s">
        <v>3030</v>
      </c>
      <c r="E53" s="358" t="s">
        <v>1412</v>
      </c>
      <c r="F53" s="1369" t="s">
        <v>3332</v>
      </c>
      <c r="I53" s="1909" t="s">
        <v>1549</v>
      </c>
      <c r="J53" s="1910" t="e">
        <f ca="1">IF(M47="住宅",J51,IF(D1="——",MIN(J51,L48),IF(D1="在建（套用方法）",MIN(J51,L48-'数据-取费表'!B24),IF(D1="土地（套用方法）",MIN(J51,L48-'数据-取费表'!B20)))))</f>
        <v>#N/A</v>
      </c>
      <c r="K53" s="3290" t="s">
        <v>1550</v>
      </c>
      <c r="L53" s="3291"/>
      <c r="O53" s="1888" t="s">
        <v>1046</v>
      </c>
      <c r="P53" s="1889" t="s">
        <v>1551</v>
      </c>
      <c r="Q53" s="1890" t="e">
        <f ca="1">Q47+Q48</f>
        <v>#N/A</v>
      </c>
      <c r="R53" s="1890" t="s">
        <v>1047</v>
      </c>
    </row>
    <row r="54" spans="1:18" s="1846" customFormat="1" ht="13.5" thickBot="1">
      <c r="A54" s="1409"/>
      <c r="B54" s="1829" t="s">
        <v>1389</v>
      </c>
      <c r="C54" s="1181"/>
      <c r="D54" s="1828"/>
      <c r="E54" s="1836"/>
      <c r="F54" s="1911"/>
      <c r="I54" s="191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#N/A</v>
      </c>
      <c r="K55" s="1916" t="s">
        <v>1554</v>
      </c>
      <c r="L55" s="1917" t="s">
        <v>1555</v>
      </c>
      <c r="O55" s="1881" t="s">
        <v>1524</v>
      </c>
      <c r="P55" s="1882" t="s">
        <v>1525</v>
      </c>
      <c r="Q55" s="1883" t="s">
        <v>1526</v>
      </c>
      <c r="R55" s="1883" t="s">
        <v>1527</v>
      </c>
    </row>
    <row r="56" spans="1:18" s="1846" customFormat="1" ht="25.5" thickTop="1" thickBot="1">
      <c r="A56" s="1179">
        <v>2</v>
      </c>
      <c r="B56" s="1180" t="s">
        <v>1416</v>
      </c>
      <c r="C56" s="276" t="e">
        <f ca="1">C13</f>
        <v>#N/A</v>
      </c>
      <c r="D56" s="1918"/>
      <c r="E56" s="1919"/>
      <c r="F56" s="1911"/>
      <c r="I56" s="1920" t="s">
        <v>1556</v>
      </c>
      <c r="J56" s="1921" t="s">
        <v>3233</v>
      </c>
      <c r="K56" s="1891" t="s">
        <v>1557</v>
      </c>
      <c r="L56" s="1894" t="e">
        <f ca="1">IF(L48&lt;J51,"——",L48-J53)</f>
        <v>#N/A</v>
      </c>
      <c r="O56" s="1888" t="s">
        <v>1040</v>
      </c>
      <c r="P56" s="1889" t="s">
        <v>1530</v>
      </c>
      <c r="Q56" s="1890" t="e">
        <f ca="1">C40+J29</f>
        <v>#N/A</v>
      </c>
      <c r="R56" s="1890" t="s">
        <v>1531</v>
      </c>
    </row>
    <row r="57" spans="1:18" s="1846" customFormat="1" ht="24.75" thickBot="1">
      <c r="A57" s="1922"/>
      <c r="B57" s="1172" t="s">
        <v>1480</v>
      </c>
      <c r="C57" s="282" t="e">
        <f ca="1">C29</f>
        <v>#N/A</v>
      </c>
      <c r="D57" s="1923"/>
      <c r="E57" s="1924"/>
      <c r="F57" s="1925"/>
      <c r="I57" s="1926" t="s">
        <v>1558</v>
      </c>
      <c r="J57" s="1927" t="e">
        <f ca="1">IF(OR(M47="住宅",J51&lt;L48,J56="是"),"——",J51-L48)</f>
        <v>#N/A</v>
      </c>
      <c r="K57" s="1891" t="s">
        <v>1559</v>
      </c>
      <c r="L57" s="1894" t="e">
        <f ca="1">IF(L48&lt;J51,"——",IF(L55="比较法",L49,IF(L55="基准地价",L50,L51)))</f>
        <v>#N/A</v>
      </c>
      <c r="O57" s="1888" t="s">
        <v>1041</v>
      </c>
      <c r="P57" s="1889" t="s">
        <v>1560</v>
      </c>
      <c r="Q57" s="1890" t="e">
        <f ca="1">L60</f>
        <v>#N/A</v>
      </c>
      <c r="R57" s="1890" t="s">
        <v>1561</v>
      </c>
    </row>
    <row r="58" spans="1:18" s="1846" customFormat="1" ht="24.75" thickBot="1">
      <c r="A58" s="360" t="s">
        <v>1030</v>
      </c>
      <c r="B58" s="1180" t="s">
        <v>1426</v>
      </c>
      <c r="C58" s="361" t="e">
        <f ca="1">ROUND(C59+C64+C65+C66,0)</f>
        <v>#N/A</v>
      </c>
      <c r="D58" s="1182" t="s">
        <v>1427</v>
      </c>
      <c r="E58" s="1183"/>
      <c r="F58" s="1184"/>
      <c r="I58" s="1926" t="s">
        <v>1562</v>
      </c>
      <c r="J58" s="1928" t="e">
        <f ca="1">IF(J55&lt;0.4,0.4,J55)</f>
        <v>#N/A</v>
      </c>
      <c r="K58" s="1904" t="s">
        <v>1563</v>
      </c>
      <c r="L58" s="1894" t="e">
        <f ca="1">ROUND(POWER(1+L52,L47-L48)*(POWER(1+L52,L48)-1)/(POWER(1+L52,L47)-1),4)</f>
        <v>#N/A</v>
      </c>
      <c r="O58" s="1898" t="s">
        <v>1042</v>
      </c>
      <c r="P58" s="1889" t="s">
        <v>1564</v>
      </c>
      <c r="Q58" s="1890">
        <f>IF(L55="比较法",L49,IF(L55="基准地价",L50,0))</f>
        <v>0</v>
      </c>
      <c r="R58" s="1890" t="s">
        <v>1531</v>
      </c>
    </row>
    <row r="59" spans="1:18" s="1846" customFormat="1" ht="24.75" thickBot="1">
      <c r="A59" s="1204" t="s">
        <v>1035</v>
      </c>
      <c r="B59" s="1172" t="s">
        <v>1431</v>
      </c>
      <c r="C59" s="23" t="e">
        <f ca="1">ROUND(IF(项目基本情况!B11="自然人",C48*F59,C60+C61+C62),1)</f>
        <v>#N/A</v>
      </c>
      <c r="D59" s="1185" t="s">
        <v>1432</v>
      </c>
      <c r="E59" s="1186" t="s">
        <v>1433</v>
      </c>
      <c r="F59" s="368" t="str">
        <f ca="1">IF(项目基本情况!B11="企业","",IF(INDIRECT("'数据-取费表'!c"&amp;$G$1)="住宅",5%,IF(F49*F50*F51/12/(1+'数据-取费表'!C42)&gt;20000,12%,7%)))</f>
        <v/>
      </c>
      <c r="I59" s="1926" t="s">
        <v>1565</v>
      </c>
      <c r="J59" s="1927" t="e">
        <f ca="1">IF(OR(M47="住宅",J51&lt;L48,J56="是"),"——",ROUND(C29*J58,0))</f>
        <v>#N/A</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#N/A</v>
      </c>
      <c r="M59" s="1842" t="e">
        <f ca="1">ROUND(POWER(1+L52,L47-(J51+'数据-取费表'!B24))*(POWER(1+L52,(J51+'数据-取费表'!B24))-1)/(POWER(1+L52,L47)-1),4)</f>
        <v>#N/A</v>
      </c>
      <c r="N59" s="1842" t="e">
        <f ca="1">ROUND(POWER(1+L52,L47-(J51+'数据-取费表'!B20))*(POWER(1+L52,(J51+'数据-取费表'!B20))-1)/(POWER(1+L52,L47)-1),4)</f>
        <v>#N/A</v>
      </c>
      <c r="O59" s="1898" t="s">
        <v>1043</v>
      </c>
      <c r="P59" s="1889" t="s">
        <v>1566</v>
      </c>
      <c r="Q59" s="1901">
        <f>L52</f>
        <v>0</v>
      </c>
      <c r="R59" s="1890"/>
    </row>
    <row r="60" spans="1:18" s="1846" customFormat="1" ht="16.5" thickBot="1">
      <c r="A60" s="1204" t="s">
        <v>1034</v>
      </c>
      <c r="B60" s="1172" t="s">
        <v>1435</v>
      </c>
      <c r="C60" s="23" t="e">
        <f ca="1">IF(项目基本情况!B11="自然人","——",ROUND(C48*F60/(1+'数据-取费表'!C42),2))</f>
        <v>#N/A</v>
      </c>
      <c r="D60" s="1186" t="s">
        <v>1436</v>
      </c>
      <c r="E60" s="1172" t="s">
        <v>1424</v>
      </c>
      <c r="F60" s="377">
        <f t="shared" ref="F60:F66" si="0">F32</f>
        <v>5.6000000000000001E-2</v>
      </c>
      <c r="I60" s="1929" t="s">
        <v>1567</v>
      </c>
      <c r="J60" s="1930" t="e">
        <f ca="1">IF(OR(M47="住宅",J51&lt;L48,J56="是"),"0",ROUND(J59/(1+J52)^J53,0))</f>
        <v>#N/A</v>
      </c>
      <c r="K60" s="1931" t="s">
        <v>1568</v>
      </c>
      <c r="L60" s="1930" t="e">
        <f ca="1">IF(OR(M47="住宅",L48&lt;J51),0,ROUND(L57*(L58/L59-1),0))</f>
        <v>#N/A</v>
      </c>
      <c r="O60" s="1898" t="s">
        <v>1044</v>
      </c>
      <c r="P60" s="1889" t="s">
        <v>1569</v>
      </c>
      <c r="Q60" s="1890" t="e">
        <f ca="1">L58</f>
        <v>#N/A</v>
      </c>
      <c r="R60" s="1890" t="s">
        <v>1570</v>
      </c>
    </row>
    <row r="61" spans="1:18" s="1846" customFormat="1" ht="13.5" thickBot="1">
      <c r="A61" s="1204" t="s">
        <v>1494</v>
      </c>
      <c r="B61" s="1172" t="s">
        <v>1495</v>
      </c>
      <c r="C61" s="23" t="e">
        <f ca="1">IF(项目基本情况!B11="自然人","——",IF(D61="按租金收入计税",ROUND(C48*F61,2),IF(D61="按房产原值计税",ROUND(C57*F61*0.7,2),INDIRECT("'数据-取费表'!Aj"&amp;$G$1))))</f>
        <v>#N/A</v>
      </c>
      <c r="D61" s="1832" t="s">
        <v>1440</v>
      </c>
      <c r="E61" s="1172" t="s">
        <v>1496</v>
      </c>
      <c r="F61" s="367">
        <f t="shared" si="0"/>
        <v>1.2E-2</v>
      </c>
      <c r="I61" s="1932"/>
      <c r="J61" s="1932"/>
      <c r="K61" s="1932"/>
      <c r="L61" s="1932"/>
      <c r="O61" s="1898" t="s">
        <v>1045</v>
      </c>
      <c r="P61" s="1889" t="str">
        <f>K59</f>
        <v>建筑物剩余耐用年限下的土地年期修正系数Kn</v>
      </c>
      <c r="Q61" s="1890" t="e">
        <f ca="1">L59</f>
        <v>#N/A</v>
      </c>
      <c r="R61" s="1890" t="s">
        <v>1571</v>
      </c>
    </row>
    <row r="62" spans="1:18" s="1846" customFormat="1" ht="13.5" thickBot="1">
      <c r="A62" s="1204" t="s">
        <v>1497</v>
      </c>
      <c r="B62" s="1171" t="s">
        <v>1498</v>
      </c>
      <c r="C62" s="24" t="e">
        <f ca="1">IF(项目基本情况!B11="自然人","——",ROUND(F62*F63/10000,2))</f>
        <v>#N/A</v>
      </c>
      <c r="D62" s="1187" t="s">
        <v>1499</v>
      </c>
      <c r="E62" s="1172" t="s">
        <v>1500</v>
      </c>
      <c r="F62" s="371">
        <f t="shared" si="0"/>
        <v>18</v>
      </c>
      <c r="I62" s="1933" t="s">
        <v>1572</v>
      </c>
      <c r="J62" s="1934" t="s">
        <v>1573</v>
      </c>
      <c r="K62" s="1934" t="s">
        <v>1574</v>
      </c>
      <c r="L62" s="1934" t="s">
        <v>1575</v>
      </c>
      <c r="M62" s="1935" t="s">
        <v>1576</v>
      </c>
      <c r="O62" s="1888" t="s">
        <v>1046</v>
      </c>
      <c r="P62" s="1889" t="s">
        <v>1577</v>
      </c>
      <c r="Q62" s="1890" t="e">
        <f ca="1">Q56+Q57</f>
        <v>#N/A</v>
      </c>
      <c r="R62" s="1890" t="s">
        <v>1047</v>
      </c>
    </row>
    <row r="63" spans="1:18" s="1846" customFormat="1" ht="13.5" thickBot="1">
      <c r="A63" s="372"/>
      <c r="B63" s="1178"/>
      <c r="C63" s="28"/>
      <c r="D63" s="1188"/>
      <c r="E63" s="1172" t="s">
        <v>1501</v>
      </c>
      <c r="F63" s="348" t="e">
        <f t="shared" ca="1" si="0"/>
        <v>#N/A</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3" t="e">
        <f ca="1">ROUND(C57*F64,1)</f>
        <v>#N/A</v>
      </c>
      <c r="D64" s="1186" t="s">
        <v>1504</v>
      </c>
      <c r="E64" s="1172" t="s">
        <v>1496</v>
      </c>
      <c r="F64" s="374" t="e">
        <f t="shared" ca="1" si="0"/>
        <v>#N/A</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t="e">
        <f ca="1">ROUND(C56*F65,1)</f>
        <v>#N/A</v>
      </c>
      <c r="D65" s="1186" t="s">
        <v>1456</v>
      </c>
      <c r="E65" s="1172" t="s">
        <v>1457</v>
      </c>
      <c r="F65" s="376" t="e">
        <f t="shared" ca="1" si="0"/>
        <v>#N/A</v>
      </c>
      <c r="I65" s="1933" t="s">
        <v>1581</v>
      </c>
      <c r="J65" s="1934">
        <v>40</v>
      </c>
      <c r="K65" s="1934">
        <v>30</v>
      </c>
      <c r="L65" s="1934">
        <v>50</v>
      </c>
      <c r="M65" s="1936">
        <v>0.02</v>
      </c>
      <c r="O65" s="1888" t="s">
        <v>1040</v>
      </c>
      <c r="P65" s="1889" t="s">
        <v>1582</v>
      </c>
      <c r="Q65" s="1890" t="e">
        <f ca="1">C40+J29</f>
        <v>#N/A</v>
      </c>
      <c r="R65" s="1890" t="s">
        <v>1531</v>
      </c>
    </row>
    <row r="66" spans="1:18" s="1846" customFormat="1" ht="16.5" thickBot="1">
      <c r="A66" s="1204" t="s">
        <v>1506</v>
      </c>
      <c r="B66" s="1172" t="s">
        <v>1441</v>
      </c>
      <c r="C66" s="23" t="e">
        <f ca="1">ROUND(C48*F66,1)</f>
        <v>#N/A</v>
      </c>
      <c r="D66" s="1186" t="s">
        <v>1507</v>
      </c>
      <c r="E66" s="1172" t="s">
        <v>1424</v>
      </c>
      <c r="F66" s="357" t="e">
        <f t="shared" ca="1" si="0"/>
        <v>#N/A</v>
      </c>
      <c r="O66" s="1888" t="s">
        <v>1041</v>
      </c>
      <c r="P66" s="1889" t="s">
        <v>1560</v>
      </c>
      <c r="Q66" s="1890" t="e">
        <f ca="1">L60</f>
        <v>#N/A</v>
      </c>
      <c r="R66" s="1890" t="s">
        <v>1583</v>
      </c>
    </row>
    <row r="67" spans="1:18" s="1846" customFormat="1" ht="16.5" thickBot="1">
      <c r="A67" s="1179" t="s">
        <v>1031</v>
      </c>
      <c r="B67" s="1189" t="s">
        <v>1465</v>
      </c>
      <c r="C67" s="361" t="e">
        <f ca="1">C48-C58</f>
        <v>#N/A</v>
      </c>
      <c r="D67" s="1185" t="s">
        <v>1466</v>
      </c>
      <c r="E67" s="1190"/>
      <c r="F67" s="1191"/>
      <c r="O67" s="1898" t="s">
        <v>1042</v>
      </c>
      <c r="P67" s="1889" t="s">
        <v>1564</v>
      </c>
      <c r="Q67" s="1937" t="e">
        <f ca="1">L51</f>
        <v>#N/A</v>
      </c>
      <c r="R67" s="1890" t="s">
        <v>1584</v>
      </c>
    </row>
    <row r="68" spans="1:18" s="1846" customFormat="1" ht="16.5" thickBot="1">
      <c r="A68" s="1169" t="s">
        <v>1032</v>
      </c>
      <c r="B68" s="1170" t="s">
        <v>1487</v>
      </c>
      <c r="C68" s="346" t="e">
        <f ca="1">ROUND(C67*(1-((1+F70)/(1+F68))^F69)/(F68-F70),0)</f>
        <v>#N/A</v>
      </c>
      <c r="D68" s="1187" t="s">
        <v>1471</v>
      </c>
      <c r="E68" s="1172" t="s">
        <v>1472</v>
      </c>
      <c r="F68" s="357" t="e">
        <f ca="1">F40</f>
        <v>#N/A</v>
      </c>
      <c r="O68" s="1898" t="s">
        <v>1043</v>
      </c>
      <c r="P68" s="1938" t="s">
        <v>1585</v>
      </c>
      <c r="Q68" s="1890" t="e">
        <f ca="1">ROUND(Q69-Q70*Q71,0)</f>
        <v>#N/A</v>
      </c>
      <c r="R68" s="1890" t="s">
        <v>1051</v>
      </c>
    </row>
    <row r="69" spans="1:18" s="1846" customFormat="1" ht="13.5" thickBot="1">
      <c r="A69" s="1173"/>
      <c r="B69" s="1174"/>
      <c r="C69" s="351"/>
      <c r="D69" s="1192" t="s">
        <v>1475</v>
      </c>
      <c r="E69" s="1172" t="s">
        <v>1476</v>
      </c>
      <c r="F69" s="379" t="e">
        <f ca="1">F41</f>
        <v>#N/A</v>
      </c>
      <c r="O69" s="1898" t="s">
        <v>1048</v>
      </c>
      <c r="P69" s="1938" t="s">
        <v>1586</v>
      </c>
      <c r="Q69" s="1890" t="e">
        <f ca="1">C39</f>
        <v>#N/A</v>
      </c>
      <c r="R69" s="1890" t="s">
        <v>1531</v>
      </c>
    </row>
    <row r="70" spans="1:18" s="1846" customFormat="1" ht="13.5" thickBot="1">
      <c r="A70" s="1176"/>
      <c r="B70" s="1177"/>
      <c r="C70" s="355"/>
      <c r="D70" s="1188"/>
      <c r="E70" s="1172" t="s">
        <v>1479</v>
      </c>
      <c r="F70" s="1278">
        <f>市场租金整理!B2</f>
        <v>0.03</v>
      </c>
      <c r="O70" s="1898" t="s">
        <v>1049</v>
      </c>
      <c r="P70" s="1938" t="s">
        <v>1587</v>
      </c>
      <c r="Q70" s="1890" t="e">
        <f ca="1">C13</f>
        <v>#N/A</v>
      </c>
      <c r="R70" s="1890" t="s">
        <v>1531</v>
      </c>
    </row>
    <row r="71" spans="1:18" s="1846" customFormat="1" ht="13.5" thickBot="1">
      <c r="A71" s="1193" t="s">
        <v>1033</v>
      </c>
      <c r="B71" s="1194" t="s">
        <v>1489</v>
      </c>
      <c r="C71" s="382" t="e">
        <f ca="1">ROUND(C68*10000/F71,0)</f>
        <v>#N/A</v>
      </c>
      <c r="D71" s="1195" t="s">
        <v>1490</v>
      </c>
      <c r="E71" s="1196" t="s">
        <v>1491</v>
      </c>
      <c r="F71" s="385" t="e">
        <f ca="1">F43</f>
        <v>#N/A</v>
      </c>
      <c r="O71" s="1898" t="s">
        <v>1050</v>
      </c>
      <c r="P71" s="1938" t="s">
        <v>1588</v>
      </c>
      <c r="Q71" s="1901" t="e">
        <f ca="1">C76</f>
        <v>#N/A</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#N/A</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#N/A</v>
      </c>
      <c r="R74" s="1890" t="s">
        <v>1571</v>
      </c>
    </row>
    <row r="75" spans="1:18" ht="13.5" thickBot="1">
      <c r="A75" s="1846"/>
      <c r="B75" s="386" t="s">
        <v>1508</v>
      </c>
      <c r="C75" s="387" t="e">
        <f ca="1">ROUND(C13*C76,0)</f>
        <v>#N/A</v>
      </c>
      <c r="D75" s="1846"/>
      <c r="E75" s="1846"/>
      <c r="F75" s="1846"/>
      <c r="K75" s="1872"/>
      <c r="L75" s="1846"/>
      <c r="O75" s="1888" t="s">
        <v>1046</v>
      </c>
      <c r="P75" s="1889" t="s">
        <v>1551</v>
      </c>
      <c r="Q75" s="1890" t="e">
        <f ca="1">Q65+Q66</f>
        <v>#N/A</v>
      </c>
      <c r="R75" s="1890" t="s">
        <v>1047</v>
      </c>
    </row>
    <row r="76" spans="1:18">
      <c r="B76" s="388" t="s">
        <v>1509</v>
      </c>
      <c r="C76" s="389" t="e">
        <f ca="1">INDIRECT("'数据-取费表'!j"&amp;$G$1)</f>
        <v>#N/A</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zoomScalePageLayoutView="80" workbookViewId="0">
      <selection activeCell="C14" sqref="C14:D16"/>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8" t="s">
        <v>2114</v>
      </c>
      <c r="B1" s="2418"/>
      <c r="C1" s="2419"/>
      <c r="D1" s="2418"/>
      <c r="E1" s="2418"/>
      <c r="F1" s="2420" t="s">
        <v>2115</v>
      </c>
      <c r="G1" s="2074" t="s">
        <v>3051</v>
      </c>
      <c r="H1" s="2421" t="str">
        <f>IF(G1="现房","——","估价对象范围")</f>
        <v>——</v>
      </c>
      <c r="I1" s="2422"/>
    </row>
    <row r="2" spans="1:12" ht="21.75" customHeight="1" thickBot="1">
      <c r="A2" s="3178" t="str">
        <f>项目基本情况!S2</f>
        <v>北京市朝阳区酒仙桥北路7号北侧房地产</v>
      </c>
      <c r="B2" s="3179"/>
      <c r="C2" s="3179"/>
      <c r="D2" s="3179"/>
      <c r="E2" s="3179"/>
      <c r="F2" s="3179"/>
      <c r="G2" s="3179"/>
      <c r="H2" s="3179"/>
      <c r="I2" s="3180"/>
    </row>
    <row r="3" spans="1:12" ht="12.75">
      <c r="A3" s="3182" t="s">
        <v>2116</v>
      </c>
      <c r="B3" s="3183"/>
      <c r="C3" s="3183"/>
      <c r="D3" s="3183"/>
      <c r="E3" s="3183"/>
      <c r="F3" s="3183"/>
      <c r="G3" s="3183"/>
      <c r="H3" s="3183"/>
      <c r="I3" s="3183"/>
    </row>
    <row r="4" spans="1:12" ht="14.25">
      <c r="A4" s="2425" t="s">
        <v>2117</v>
      </c>
      <c r="B4" s="2426" t="s">
        <v>2118</v>
      </c>
      <c r="C4" s="2427" t="s">
        <v>3351</v>
      </c>
      <c r="D4" s="2427" t="s">
        <v>3269</v>
      </c>
      <c r="E4" s="3175" t="s">
        <v>2119</v>
      </c>
      <c r="F4" s="3176"/>
      <c r="G4" s="3176"/>
      <c r="H4" s="3176"/>
      <c r="I4" s="3184"/>
      <c r="K4" s="2428" t="str">
        <f>IF(ISNUMBER(FIND("比较法",'结果表-办公'!C4)),"比较法",IF(ISNUMBER(FIND("成本法",'结果表-办公'!C4)),"成本法",IF(ISNUMBER(FIND("假设开发法",'结果表-办公'!C4)),"假设开发法",IF(ISNUMBER(FIND("收益法",'结果表-办公'!C4)),"收益法","基准地价系数修正法"))))</f>
        <v>成本法</v>
      </c>
      <c r="L4" s="2428"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58" t="s">
        <v>2120</v>
      </c>
      <c r="B5" s="3096">
        <v>25</v>
      </c>
      <c r="C5" s="3161"/>
      <c r="D5" s="3181"/>
      <c r="E5" s="139" t="s">
        <v>2121</v>
      </c>
      <c r="F5" s="2429"/>
      <c r="G5" s="2429"/>
      <c r="H5" s="2429"/>
      <c r="I5" s="1835"/>
    </row>
    <row r="6" spans="1:12" ht="12.75">
      <c r="A6" s="3158"/>
      <c r="B6" s="3096"/>
      <c r="C6" s="3162"/>
      <c r="D6" s="3181"/>
      <c r="E6" s="139" t="s">
        <v>2122</v>
      </c>
      <c r="F6" s="2429"/>
      <c r="G6" s="2429"/>
      <c r="H6" s="2429"/>
      <c r="I6" s="1835"/>
    </row>
    <row r="7" spans="1:12" ht="12.75">
      <c r="A7" s="3158"/>
      <c r="B7" s="3096"/>
      <c r="C7" s="3163"/>
      <c r="D7" s="3181"/>
      <c r="E7" s="139" t="s">
        <v>2123</v>
      </c>
      <c r="F7" s="2429"/>
      <c r="G7" s="2429"/>
      <c r="H7" s="2429"/>
      <c r="I7" s="1835"/>
    </row>
    <row r="8" spans="1:12" ht="12.75">
      <c r="A8" s="3158" t="s">
        <v>2124</v>
      </c>
      <c r="B8" s="3096">
        <v>15</v>
      </c>
      <c r="C8" s="3161"/>
      <c r="D8" s="3181"/>
      <c r="E8" s="139" t="s">
        <v>2125</v>
      </c>
      <c r="F8" s="2429"/>
      <c r="G8" s="2429"/>
      <c r="H8" s="2429"/>
      <c r="I8" s="1835"/>
    </row>
    <row r="9" spans="1:12" ht="12.75">
      <c r="A9" s="3158"/>
      <c r="B9" s="3096"/>
      <c r="C9" s="3163"/>
      <c r="D9" s="3181"/>
      <c r="E9" s="139" t="s">
        <v>2126</v>
      </c>
      <c r="F9" s="2429"/>
      <c r="G9" s="2429"/>
      <c r="H9" s="2429"/>
      <c r="I9" s="1835"/>
    </row>
    <row r="10" spans="1:12" ht="12.75">
      <c r="A10" s="3158" t="s">
        <v>2127</v>
      </c>
      <c r="B10" s="3096">
        <v>15</v>
      </c>
      <c r="C10" s="3161"/>
      <c r="D10" s="3181"/>
      <c r="E10" s="139" t="s">
        <v>2128</v>
      </c>
      <c r="F10" s="2429"/>
      <c r="G10" s="2429"/>
      <c r="H10" s="2429"/>
      <c r="I10" s="1835"/>
    </row>
    <row r="11" spans="1:12" ht="12.75">
      <c r="A11" s="3158"/>
      <c r="B11" s="3096"/>
      <c r="C11" s="3163"/>
      <c r="D11" s="3181"/>
      <c r="E11" s="139" t="s">
        <v>2129</v>
      </c>
      <c r="F11" s="2429"/>
      <c r="G11" s="2429"/>
      <c r="H11" s="2429"/>
      <c r="I11" s="1835"/>
    </row>
    <row r="12" spans="1:12" ht="12.75">
      <c r="A12" s="3158" t="s">
        <v>2130</v>
      </c>
      <c r="B12" s="3096">
        <v>15</v>
      </c>
      <c r="C12" s="3161"/>
      <c r="D12" s="3181"/>
      <c r="E12" s="139" t="s">
        <v>2131</v>
      </c>
      <c r="F12" s="2429"/>
      <c r="G12" s="2429"/>
      <c r="H12" s="2429"/>
      <c r="I12" s="1835"/>
    </row>
    <row r="13" spans="1:12" ht="12.75">
      <c r="A13" s="3158"/>
      <c r="B13" s="3096"/>
      <c r="C13" s="3163"/>
      <c r="D13" s="3181"/>
      <c r="E13" s="139" t="s">
        <v>2132</v>
      </c>
      <c r="F13" s="2429"/>
      <c r="G13" s="2429"/>
      <c r="H13" s="2429"/>
      <c r="I13" s="1835"/>
    </row>
    <row r="14" spans="1:12" ht="12.75">
      <c r="A14" s="3158" t="s">
        <v>2133</v>
      </c>
      <c r="B14" s="3096">
        <v>30</v>
      </c>
      <c r="C14" s="3388">
        <v>4</v>
      </c>
      <c r="D14" s="3389">
        <v>6</v>
      </c>
      <c r="E14" s="139" t="s">
        <v>2134</v>
      </c>
      <c r="F14" s="2429"/>
      <c r="G14" s="2429"/>
      <c r="H14" s="2429"/>
      <c r="I14" s="1835"/>
    </row>
    <row r="15" spans="1:12" ht="12.75">
      <c r="A15" s="3158"/>
      <c r="B15" s="3096"/>
      <c r="C15" s="3390"/>
      <c r="D15" s="3389"/>
      <c r="E15" s="139" t="s">
        <v>2135</v>
      </c>
      <c r="F15" s="2429"/>
      <c r="G15" s="2429"/>
      <c r="H15" s="2429"/>
      <c r="I15" s="1835"/>
    </row>
    <row r="16" spans="1:12" ht="12.75">
      <c r="A16" s="3158"/>
      <c r="B16" s="3096"/>
      <c r="C16" s="3391"/>
      <c r="D16" s="3389"/>
      <c r="E16" s="139" t="s">
        <v>2136</v>
      </c>
      <c r="F16" s="2429"/>
      <c r="G16" s="2429"/>
      <c r="H16" s="2429"/>
      <c r="I16" s="1835"/>
    </row>
    <row r="17" spans="1:35" ht="15">
      <c r="A17" s="2430" t="s">
        <v>2137</v>
      </c>
      <c r="B17" s="63"/>
      <c r="C17" s="140">
        <f>SUM(C5:C16)</f>
        <v>4</v>
      </c>
      <c r="D17" s="140">
        <f>SUM(D5:D16)</f>
        <v>6</v>
      </c>
      <c r="E17" s="137"/>
      <c r="F17" s="137"/>
      <c r="G17" s="137"/>
      <c r="H17" s="137"/>
      <c r="I17" s="137"/>
      <c r="K17" s="2428"/>
      <c r="L17" s="2431" t="s">
        <v>2138</v>
      </c>
      <c r="M17" s="2431" t="s">
        <v>2139</v>
      </c>
    </row>
    <row r="18" spans="1:35" ht="15.75" thickBot="1">
      <c r="A18" s="2432" t="s">
        <v>2140</v>
      </c>
      <c r="B18" s="2433"/>
      <c r="C18" s="141">
        <f>ROUND(C17/SUM(C17:D17),2)</f>
        <v>0.4</v>
      </c>
      <c r="D18" s="141">
        <f>1-C18</f>
        <v>0.6</v>
      </c>
      <c r="E18" s="137"/>
      <c r="F18" s="137"/>
      <c r="G18" s="137"/>
      <c r="H18" s="137"/>
      <c r="I18" s="137"/>
      <c r="K18" s="2428" t="s">
        <v>2141</v>
      </c>
      <c r="L18" s="2428">
        <f>IF(C1="",'数据-汇总表'!E3,SUMIF(项目类型,C1,'数据-汇总表'!E17:E26)+SUMIF(项目类型,C1,'数据-汇总表'!I17:I26))</f>
        <v>25430.71</v>
      </c>
      <c r="M18" s="2428">
        <f>IF(C1="",'数据-汇总表'!E3,SUMIF(项目类型,C1,'数据-汇总表'!E17:E26))</f>
        <v>25430.71</v>
      </c>
    </row>
    <row r="19" spans="1:35" ht="15">
      <c r="A19" s="2434" t="s">
        <v>2142</v>
      </c>
      <c r="B19" s="2435" t="s">
        <v>2143</v>
      </c>
      <c r="C19" s="142">
        <f ca="1">SUMIF(INDIRECT("'"&amp;C4&amp;"'"&amp;"!A:A"),'结果表-办公'!B19,INDIRECT("'"&amp;C4&amp;"'"&amp;"!B:B"))</f>
        <v>65282</v>
      </c>
      <c r="D19" s="143">
        <f ca="1">SUMIF(INDIRECT("'"&amp;D4&amp;"'"&amp;"!A:A"),'结果表-办公'!B19,INDIRECT("'"&amp;D4&amp;"'"&amp;"!B:B"))</f>
        <v>100537</v>
      </c>
      <c r="E19" s="2434" t="s">
        <v>2144</v>
      </c>
      <c r="F19" s="2435" t="s">
        <v>2143</v>
      </c>
      <c r="G19" s="144">
        <f ca="1">ROUND(C19*$C$18+D19*$D$18,0)</f>
        <v>86435</v>
      </c>
      <c r="H19" s="2436" t="s">
        <v>2145</v>
      </c>
      <c r="I19" s="137"/>
      <c r="K19" s="2428" t="s">
        <v>2146</v>
      </c>
      <c r="L19" s="2428">
        <f>IF(C1="",'数据-汇总表'!D3,SUMIF(项目类型,C1,'数据-汇总表'!D17:D26)+SUMIF(项目类型,C1,'数据-汇总表'!H17:H27))</f>
        <v>38167.26</v>
      </c>
      <c r="M19" s="2428">
        <f>IF(C1="",'数据-汇总表'!D3,SUMIF(项目类型,C1,'数据-汇总表'!D17:D26))</f>
        <v>38167.26</v>
      </c>
    </row>
    <row r="20" spans="1:35" ht="15">
      <c r="A20" s="2437"/>
      <c r="B20" s="1250" t="s">
        <v>2147</v>
      </c>
      <c r="C20" s="145">
        <f ca="1">SUMIF(INDIRECT("'"&amp;C4&amp;"'"&amp;"!A:A"),'结果表-办公'!B20,INDIRECT("'"&amp;C4&amp;"'"&amp;"!B:B"))</f>
        <v>25671</v>
      </c>
      <c r="D20" s="146">
        <f ca="1">SUMIF(INDIRECT("'"&amp;D4&amp;"'"&amp;"!A:A"),'结果表-办公'!B20,INDIRECT("'"&amp;D4&amp;"'"&amp;"!B:B"))</f>
        <v>39534</v>
      </c>
      <c r="E20" s="2437"/>
      <c r="F20" s="1250" t="s">
        <v>2147</v>
      </c>
      <c r="G20" s="147">
        <f ca="1">ROUND(C20*$C$18+D20*$D$18,0)</f>
        <v>33989</v>
      </c>
      <c r="H20" s="983" t="s">
        <v>2148</v>
      </c>
      <c r="I20" s="137"/>
    </row>
    <row r="21" spans="1:35" ht="15" customHeight="1" thickBot="1">
      <c r="A21" s="1003"/>
      <c r="B21" s="2438" t="s">
        <v>2149</v>
      </c>
      <c r="C21" s="789">
        <f ca="1">ROUND(C19*10000/L19,0)</f>
        <v>17104</v>
      </c>
      <c r="D21" s="790">
        <f ca="1">ROUND(D19*10000/L19,0)</f>
        <v>26341</v>
      </c>
      <c r="E21" s="1003"/>
      <c r="F21" s="2438" t="s">
        <v>2149</v>
      </c>
      <c r="G21" s="148">
        <f ca="1">ROUND(G19*10000/L19,0)</f>
        <v>22646</v>
      </c>
      <c r="H21" s="2439" t="s">
        <v>2148</v>
      </c>
      <c r="I21" s="137"/>
    </row>
    <row r="22" spans="1:35" ht="15" thickBot="1">
      <c r="A22" s="2283" t="s">
        <v>2150</v>
      </c>
      <c r="B22" s="2440"/>
      <c r="C22" s="2441"/>
      <c r="D22" s="791">
        <f ca="1">IF(C19&lt;D19,D19/C19-1,C19/D19-1)</f>
        <v>0.54004166539015341</v>
      </c>
      <c r="E22" s="137"/>
      <c r="F22" s="137"/>
      <c r="G22" s="137"/>
      <c r="H22" s="137"/>
      <c r="I22" s="137"/>
    </row>
    <row r="23" spans="1:35" ht="13.5" thickBot="1">
      <c r="A23" s="2418"/>
      <c r="B23" s="2418"/>
      <c r="C23" s="2418"/>
      <c r="D23" s="2418"/>
      <c r="E23" s="137"/>
      <c r="F23" s="137"/>
      <c r="G23" s="137"/>
      <c r="H23" s="137"/>
      <c r="I23" s="137"/>
    </row>
    <row r="24" spans="1:35" ht="14.25">
      <c r="A24" s="3152" t="s">
        <v>2151</v>
      </c>
      <c r="B24" s="2435" t="s">
        <v>2143</v>
      </c>
      <c r="C24" s="144">
        <f>IF(B30=0,0,D30)</f>
        <v>0</v>
      </c>
      <c r="D24" s="2442"/>
      <c r="E24" s="137"/>
      <c r="F24" s="137"/>
      <c r="G24" s="137"/>
      <c r="H24" s="137"/>
      <c r="I24" s="137"/>
    </row>
    <row r="25" spans="1:35" ht="14.25">
      <c r="A25" s="3153"/>
      <c r="B25" s="1250" t="s">
        <v>2147</v>
      </c>
      <c r="C25" s="149">
        <f>IF(B30=0,0,C30)</f>
        <v>0</v>
      </c>
      <c r="D25" s="2443"/>
      <c r="E25" s="137"/>
      <c r="F25" s="137"/>
      <c r="G25" s="137"/>
      <c r="H25" s="137"/>
      <c r="I25" s="137"/>
    </row>
    <row r="26" spans="1:35" ht="13.5" customHeight="1">
      <c r="A26" s="2444" t="s">
        <v>2152</v>
      </c>
      <c r="B26" s="150" t="s">
        <v>2153</v>
      </c>
      <c r="C26" s="150" t="s">
        <v>2154</v>
      </c>
      <c r="D26" s="151" t="s">
        <v>2155</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2" t="s">
        <v>2156</v>
      </c>
      <c r="B30" s="152">
        <f>SUM(B27:B29)</f>
        <v>0</v>
      </c>
      <c r="C30" s="152" t="e">
        <f>ROUND(D30*10000/B30,0)</f>
        <v>#DIV/0!</v>
      </c>
      <c r="D30" s="152">
        <f>SUM(D27:D29)</f>
        <v>0</v>
      </c>
      <c r="E30" s="137"/>
      <c r="F30" s="137"/>
      <c r="G30" s="137"/>
      <c r="H30" s="137"/>
      <c r="I30" s="137"/>
    </row>
    <row r="31" spans="1:35" s="2446" customFormat="1" ht="15" thickBot="1">
      <c r="A31" s="2445"/>
      <c r="B31" s="2445"/>
      <c r="C31" s="2445"/>
      <c r="D31" s="2445"/>
      <c r="E31" s="137"/>
      <c r="F31" s="137"/>
      <c r="G31" s="137"/>
      <c r="H31" s="137"/>
      <c r="I31" s="137"/>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2157</v>
      </c>
      <c r="B32" s="2448"/>
      <c r="C32" s="153">
        <f ca="1">IF(D32="总价",G19-C24,G20-C25)</f>
        <v>86435</v>
      </c>
      <c r="D32" s="2449" t="s">
        <v>2158</v>
      </c>
      <c r="E32" s="137"/>
      <c r="F32" s="137"/>
      <c r="G32" s="137"/>
      <c r="H32" s="137"/>
      <c r="I32" s="137"/>
    </row>
    <row r="33" spans="1:15" ht="15">
      <c r="A33" s="960" t="s">
        <v>2159</v>
      </c>
      <c r="B33" s="2450"/>
      <c r="C33" s="2451"/>
      <c r="D33" s="2452"/>
      <c r="E33" s="2453" t="s">
        <v>2160</v>
      </c>
      <c r="F33" s="2942" t="str">
        <f>IF(D32="楼面单价","取值（单价）","取值（总价）")</f>
        <v>取值（总价）</v>
      </c>
      <c r="G33" s="137"/>
      <c r="H33" s="137"/>
      <c r="I33" s="137"/>
    </row>
    <row r="34" spans="1:15" ht="15">
      <c r="A34" s="2455"/>
      <c r="B34" s="2456" t="s">
        <v>2161</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2162</v>
      </c>
      <c r="F34" s="1740"/>
      <c r="G34" s="137"/>
      <c r="H34" s="137"/>
      <c r="I34" s="137"/>
    </row>
    <row r="35" spans="1:15" ht="15.75" thickBot="1">
      <c r="A35" s="2458"/>
      <c r="B35" s="2459" t="s">
        <v>2163</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2164</v>
      </c>
      <c r="F35" s="163"/>
      <c r="G35" s="137"/>
      <c r="H35" s="137"/>
      <c r="I35" s="137"/>
    </row>
    <row r="36" spans="1:15" ht="15.75" thickBot="1">
      <c r="A36" s="3170" t="s">
        <v>2165</v>
      </c>
      <c r="B36" s="2461" t="s">
        <v>2166</v>
      </c>
      <c r="C36" s="154"/>
      <c r="D36" s="2462"/>
      <c r="E36" s="2463"/>
      <c r="F36" s="2464"/>
      <c r="G36" s="137"/>
      <c r="H36" s="137"/>
      <c r="I36" s="137"/>
    </row>
    <row r="37" spans="1:15" ht="15.75" thickBot="1">
      <c r="A37" s="3171"/>
      <c r="B37" s="2269" t="s">
        <v>2167</v>
      </c>
      <c r="C37" s="156"/>
      <c r="D37" s="1395"/>
      <c r="E37" s="1395"/>
      <c r="F37" s="2464"/>
      <c r="G37" s="137"/>
      <c r="H37" s="137"/>
      <c r="I37" s="137"/>
    </row>
    <row r="38" spans="1:15" ht="15.75" thickBot="1">
      <c r="A38" s="3172"/>
      <c r="B38" s="2465" t="s">
        <v>2168</v>
      </c>
      <c r="C38" s="727"/>
      <c r="D38" s="2466" t="s">
        <v>2169</v>
      </c>
      <c r="E38" s="1395"/>
      <c r="F38" s="2464"/>
      <c r="G38" s="137"/>
      <c r="H38" s="137"/>
      <c r="I38" s="137"/>
    </row>
    <row r="39" spans="1:15" ht="15">
      <c r="A39" s="2437" t="s">
        <v>2170</v>
      </c>
      <c r="B39" s="2467" t="s">
        <v>2153</v>
      </c>
      <c r="C39" s="2468" t="s">
        <v>2154</v>
      </c>
      <c r="D39" s="2468" t="s">
        <v>2173</v>
      </c>
      <c r="E39" s="2469" t="s">
        <v>2155</v>
      </c>
      <c r="F39" s="2464"/>
      <c r="G39" s="137"/>
      <c r="H39" s="137"/>
      <c r="I39" s="137"/>
    </row>
    <row r="40" spans="1:15" ht="14.25">
      <c r="A40" s="2470" t="s">
        <v>2175</v>
      </c>
      <c r="B40" s="158"/>
      <c r="C40" s="159"/>
      <c r="D40" s="159"/>
      <c r="E40" s="160"/>
      <c r="F40" s="2464"/>
      <c r="G40" s="137"/>
      <c r="H40" s="137"/>
      <c r="I40" s="137"/>
    </row>
    <row r="41" spans="1:15" ht="14.25">
      <c r="A41" s="2470" t="s">
        <v>2176</v>
      </c>
      <c r="B41" s="158"/>
      <c r="C41" s="159"/>
      <c r="D41" s="159"/>
      <c r="E41" s="160"/>
      <c r="F41" s="2464"/>
      <c r="G41" s="137"/>
      <c r="H41" s="137"/>
      <c r="I41" s="137"/>
    </row>
    <row r="42" spans="1:15" ht="15" thickBot="1">
      <c r="A42" s="2471"/>
      <c r="B42" s="161"/>
      <c r="C42" s="162"/>
      <c r="D42" s="162"/>
      <c r="E42" s="163"/>
      <c r="F42" s="2464"/>
      <c r="G42" s="137"/>
      <c r="H42" s="137"/>
      <c r="I42" s="137"/>
    </row>
    <row r="43" spans="1:15" ht="12.75">
      <c r="A43" s="2168"/>
      <c r="B43" s="2168"/>
      <c r="C43" s="2168"/>
      <c r="D43" s="2168"/>
      <c r="E43" s="2168"/>
      <c r="F43" s="2472"/>
      <c r="G43" s="2472"/>
      <c r="H43" s="2472"/>
      <c r="I43" s="2473"/>
    </row>
    <row r="44" spans="1:15" ht="18.75">
      <c r="A44" s="2474" t="s">
        <v>2177</v>
      </c>
      <c r="B44" s="2475"/>
      <c r="C44" s="2475"/>
      <c r="D44" s="2476"/>
      <c r="E44" s="2476"/>
      <c r="F44" s="2477"/>
      <c r="G44" s="2477"/>
      <c r="H44" s="2477"/>
      <c r="I44" s="2477"/>
      <c r="J44" s="2478" t="s">
        <v>2178</v>
      </c>
      <c r="K44" s="2479"/>
      <c r="L44" s="2479"/>
      <c r="M44" s="2479"/>
      <c r="N44" s="2479"/>
      <c r="O44" s="2479"/>
    </row>
    <row r="45" spans="1:15" ht="14.25" customHeight="1" thickBot="1">
      <c r="A45" s="3149" t="s">
        <v>2179</v>
      </c>
      <c r="B45" s="3150"/>
      <c r="C45" s="3151"/>
      <c r="D45" s="164">
        <f ca="1">ROUND(H101*F45,0)</f>
        <v>86435</v>
      </c>
      <c r="E45" s="165" t="s">
        <v>2180</v>
      </c>
      <c r="F45" s="166">
        <v>1</v>
      </c>
      <c r="G45" s="167" t="s">
        <v>2181</v>
      </c>
      <c r="H45" s="137"/>
      <c r="I45" s="137"/>
      <c r="J45" s="3209" t="s">
        <v>2182</v>
      </c>
      <c r="K45" s="3209"/>
      <c r="L45" s="3209"/>
      <c r="M45" s="3209"/>
      <c r="N45" s="3209"/>
      <c r="O45" s="3209"/>
    </row>
    <row r="46" spans="1:15" ht="14.25" customHeight="1">
      <c r="A46" s="3146" t="s">
        <v>2183</v>
      </c>
      <c r="B46" s="3147"/>
      <c r="C46" s="3147"/>
      <c r="D46" s="3147"/>
      <c r="E46" s="3147"/>
      <c r="F46" s="3147"/>
      <c r="G46" s="3148"/>
      <c r="H46" s="2480"/>
      <c r="I46" s="168"/>
      <c r="J46" s="2956">
        <v>1</v>
      </c>
      <c r="K46" s="3209" t="s">
        <v>2184</v>
      </c>
      <c r="L46" s="3209"/>
      <c r="M46" s="3229"/>
      <c r="N46" s="3229"/>
      <c r="O46" s="3229"/>
    </row>
    <row r="47" spans="1:15" ht="12" customHeight="1">
      <c r="A47" s="169" t="s">
        <v>2185</v>
      </c>
      <c r="B47" s="170"/>
      <c r="C47" s="171"/>
      <c r="D47" s="172" t="s">
        <v>2186</v>
      </c>
      <c r="E47" s="23" t="s">
        <v>2187</v>
      </c>
      <c r="F47" s="173" t="s">
        <v>2188</v>
      </c>
      <c r="G47" s="174" t="s">
        <v>2189</v>
      </c>
      <c r="H47" s="2480"/>
      <c r="I47" s="168"/>
      <c r="J47" s="2956">
        <v>2</v>
      </c>
      <c r="K47" s="3209" t="s">
        <v>2190</v>
      </c>
      <c r="L47" s="3209"/>
      <c r="M47" s="3230">
        <f>'数据-取费表'!B2</f>
        <v>43047</v>
      </c>
      <c r="N47" s="3230"/>
      <c r="O47" s="3230"/>
    </row>
    <row r="48" spans="1:15" ht="25.5">
      <c r="A48" s="3177" t="s">
        <v>2191</v>
      </c>
      <c r="B48" s="3160"/>
      <c r="C48" s="3160"/>
      <c r="D48" s="139">
        <f>IF(H48="情况1",0,IF(H48="情况2",D52,IF(H48="情况3",D53,IF(H48="情况4",D54))))</f>
        <v>0</v>
      </c>
      <c r="E48" s="2947" t="str">
        <f>IF(H48="情况4","(销售额-原购置价)×税（费）率","销售额×税（费）率")</f>
        <v>销售额×税（费）率</v>
      </c>
      <c r="F48" s="175" t="str">
        <f>IF(H48="情况1","免征",'数据-取费表'!B41)</f>
        <v>免征</v>
      </c>
      <c r="G48" s="2481" t="s">
        <v>2192</v>
      </c>
      <c r="H48" s="2482" t="s">
        <v>2193</v>
      </c>
      <c r="I48" s="2480"/>
      <c r="J48" s="2956">
        <v>3</v>
      </c>
      <c r="K48" s="3209" t="s">
        <v>2194</v>
      </c>
      <c r="L48" s="3209"/>
      <c r="M48" s="3231">
        <f ca="1">H101</f>
        <v>86435</v>
      </c>
      <c r="N48" s="3231"/>
      <c r="O48" s="3231"/>
    </row>
    <row r="49" spans="1:35" ht="25.5" customHeight="1">
      <c r="A49" s="176" t="s">
        <v>2195</v>
      </c>
      <c r="B49" s="3145" t="s">
        <v>2196</v>
      </c>
      <c r="C49" s="3145"/>
      <c r="D49" s="177">
        <v>0</v>
      </c>
      <c r="E49" s="22" t="s">
        <v>2197</v>
      </c>
      <c r="F49" s="27" t="s">
        <v>34</v>
      </c>
      <c r="G49" s="3215"/>
      <c r="H49" s="137"/>
      <c r="I49" s="2483"/>
      <c r="J49" s="2956">
        <v>4</v>
      </c>
      <c r="K49" s="3209" t="str">
        <f>IF(项目基本情况!E8="房地产抵押价值","房地产抵押价值","抵押担保权已注销时的房地产抵押价值")</f>
        <v>房地产抵押价值</v>
      </c>
      <c r="L49" s="3209"/>
      <c r="M49" s="3231">
        <f ca="1">IF(项目基本情况!E8="房地产抵押价值",H107,H109)</f>
        <v>86435</v>
      </c>
      <c r="N49" s="3231"/>
      <c r="O49" s="3231"/>
    </row>
    <row r="50" spans="1:35" ht="25.5" customHeight="1">
      <c r="A50" s="178"/>
      <c r="B50" s="3145" t="s">
        <v>2198</v>
      </c>
      <c r="C50" s="3145"/>
      <c r="D50" s="179"/>
      <c r="E50" s="30"/>
      <c r="F50" s="180"/>
      <c r="G50" s="3216"/>
      <c r="H50" s="137"/>
      <c r="I50" s="2483"/>
      <c r="J50" s="3209" t="s">
        <v>2199</v>
      </c>
      <c r="K50" s="3209"/>
      <c r="L50" s="3209"/>
      <c r="M50" s="3209"/>
      <c r="N50" s="3209"/>
      <c r="O50" s="3209"/>
    </row>
    <row r="51" spans="1:35" ht="12" customHeight="1">
      <c r="A51" s="181"/>
      <c r="B51" s="3145" t="s">
        <v>2200</v>
      </c>
      <c r="C51" s="3145"/>
      <c r="D51" s="182"/>
      <c r="E51" s="29"/>
      <c r="F51" s="180"/>
      <c r="G51" s="3217"/>
      <c r="H51" s="137"/>
      <c r="I51" s="2483"/>
      <c r="J51" s="2955" t="s">
        <v>2201</v>
      </c>
      <c r="K51" s="3209" t="s">
        <v>2202</v>
      </c>
      <c r="L51" s="3209"/>
      <c r="M51" s="2955" t="s">
        <v>2203</v>
      </c>
      <c r="N51" s="2955" t="s">
        <v>2204</v>
      </c>
      <c r="O51" s="2955" t="s">
        <v>2205</v>
      </c>
    </row>
    <row r="52" spans="1:35" ht="24" customHeight="1">
      <c r="A52" s="183" t="s">
        <v>2206</v>
      </c>
      <c r="B52" s="3145" t="s">
        <v>2207</v>
      </c>
      <c r="C52" s="3145"/>
      <c r="D52" s="182">
        <f ca="1">ROUND(D45*'数据-取费表'!B41/(1+'数据-取费表'!C42),0)</f>
        <v>4610</v>
      </c>
      <c r="E52" s="11" t="s">
        <v>2208</v>
      </c>
      <c r="F52" s="184">
        <f>'数据-取费表'!B41</f>
        <v>5.6000000000000001E-2</v>
      </c>
      <c r="G52" s="2485"/>
      <c r="H52" s="137"/>
      <c r="I52" s="2483"/>
      <c r="J52" s="2956">
        <v>1</v>
      </c>
      <c r="K52" s="3210" t="s">
        <v>2209</v>
      </c>
      <c r="L52" s="3210"/>
      <c r="M52" s="1755">
        <f>D48</f>
        <v>0</v>
      </c>
      <c r="N52" s="2956" t="str">
        <f>E48</f>
        <v>销售额×税（费）率</v>
      </c>
      <c r="O52" s="1756" t="str">
        <f>F48</f>
        <v>免征</v>
      </c>
    </row>
    <row r="53" spans="1:35" ht="12" customHeight="1">
      <c r="A53" s="183" t="s">
        <v>2210</v>
      </c>
      <c r="B53" s="3168" t="s">
        <v>2211</v>
      </c>
      <c r="C53" s="3169"/>
      <c r="D53" s="182">
        <f ca="1">ROUND(D45*'数据-取费表'!B41/(1+'数据-取费表'!C42),0)</f>
        <v>4610</v>
      </c>
      <c r="E53" s="11" t="s">
        <v>2208</v>
      </c>
      <c r="F53" s="184">
        <f>'数据-取费表'!B41</f>
        <v>5.6000000000000001E-2</v>
      </c>
      <c r="G53" s="2485"/>
      <c r="H53" s="137"/>
      <c r="I53" s="2483"/>
      <c r="J53" s="2956">
        <v>2</v>
      </c>
      <c r="K53" s="3210" t="s">
        <v>2212</v>
      </c>
      <c r="L53" s="3210"/>
      <c r="M53" s="1755">
        <f t="shared" ref="M53:O54" ca="1" si="0">D55</f>
        <v>43</v>
      </c>
      <c r="N53" s="2956" t="str">
        <f t="shared" si="0"/>
        <v>销售额×税（费）率</v>
      </c>
      <c r="O53" s="1756">
        <f t="shared" si="0"/>
        <v>5.0000000000000001E-4</v>
      </c>
    </row>
    <row r="54" spans="1:35" ht="12" customHeight="1">
      <c r="A54" s="183" t="s">
        <v>2213</v>
      </c>
      <c r="B54" s="3168" t="s">
        <v>2214</v>
      </c>
      <c r="C54" s="3169"/>
      <c r="D54" s="182">
        <f ca="1">C68</f>
        <v>4610</v>
      </c>
      <c r="E54" s="29" t="s">
        <v>2215</v>
      </c>
      <c r="F54" s="184">
        <f>'数据-取费表'!B41</f>
        <v>5.6000000000000001E-2</v>
      </c>
      <c r="G54" s="2485"/>
      <c r="H54" s="2486"/>
      <c r="I54" s="2483"/>
      <c r="J54" s="2956">
        <v>3</v>
      </c>
      <c r="K54" s="3210" t="s">
        <v>2216</v>
      </c>
      <c r="L54" s="3210"/>
      <c r="M54" s="1755">
        <f t="shared" ca="1" si="0"/>
        <v>48922</v>
      </c>
      <c r="N54" s="2956" t="str">
        <f t="shared" si="0"/>
        <v>增值额×税（费）率</v>
      </c>
      <c r="O54" s="1757" t="str">
        <f t="shared" si="0"/>
        <v>——</v>
      </c>
    </row>
    <row r="55" spans="1:35" ht="24" customHeight="1">
      <c r="A55" s="3159" t="s">
        <v>2217</v>
      </c>
      <c r="B55" s="3160"/>
      <c r="C55" s="3160"/>
      <c r="D55" s="185">
        <f ca="1">IF(H55="个人住宅",0,ROUND(D45*I55,0))</f>
        <v>43</v>
      </c>
      <c r="E55" s="11" t="s">
        <v>2218</v>
      </c>
      <c r="F55" s="184">
        <f>IF(H55="正常",I55,"免征")</f>
        <v>5.0000000000000001E-4</v>
      </c>
      <c r="G55" s="2485"/>
      <c r="H55" s="2482" t="s">
        <v>2219</v>
      </c>
      <c r="I55" s="186">
        <f>'数据-取费表'!B49</f>
        <v>5.0000000000000001E-4</v>
      </c>
      <c r="J55" s="2956" t="str">
        <f>IF(H59="非个人房产","",4)</f>
        <v/>
      </c>
      <c r="K55" s="3210" t="str">
        <f>IF(H59="非个人房产","——","个人所得税")</f>
        <v>——</v>
      </c>
      <c r="L55" s="3210"/>
      <c r="M55" s="1758" t="str">
        <f>D59</f>
        <v>——</v>
      </c>
      <c r="N55" s="2957" t="str">
        <f>E59</f>
        <v>——</v>
      </c>
      <c r="O55" s="1759" t="str">
        <f>F59</f>
        <v>——</v>
      </c>
    </row>
    <row r="56" spans="1:35" ht="24.75">
      <c r="A56" s="3159" t="s">
        <v>2220</v>
      </c>
      <c r="B56" s="3160"/>
      <c r="C56" s="3160"/>
      <c r="D56" s="185">
        <f ca="1">IF(H56="个人住宅",D57,D58)</f>
        <v>48922</v>
      </c>
      <c r="E56" s="11" t="s">
        <v>2221</v>
      </c>
      <c r="F56" s="184" t="str">
        <f>IF(H56="正常",F58,"免征")</f>
        <v>——</v>
      </c>
      <c r="G56" s="2487" t="s">
        <v>2222</v>
      </c>
      <c r="H56" s="2488" t="s">
        <v>2219</v>
      </c>
      <c r="I56" s="2489"/>
      <c r="J56" s="2956" t="str">
        <f>IF(项目基本情况!K6="上海银行",IF(J55="",4,J55+1),"")</f>
        <v/>
      </c>
      <c r="K56" s="3233" t="str">
        <f>IF(项目基本情况!K6="上海银行","其他处置费用","")</f>
        <v/>
      </c>
      <c r="L56" s="3234"/>
      <c r="M56" s="1755" t="str">
        <f>IF(项目基本情况!K6="上海银行",M69,"")</f>
        <v/>
      </c>
      <c r="N56" s="3236" t="str">
        <f>IF(项目基本情况!K6="上海银行","包含处置中涉及的律师、诉讼、拍卖、评估等费用","")</f>
        <v/>
      </c>
      <c r="O56" s="3237"/>
    </row>
    <row r="57" spans="1:35" ht="12.75">
      <c r="A57" s="183" t="s">
        <v>2195</v>
      </c>
      <c r="B57" s="3175" t="s">
        <v>2223</v>
      </c>
      <c r="C57" s="3184"/>
      <c r="D57" s="187">
        <v>0</v>
      </c>
      <c r="E57" s="22" t="s">
        <v>2197</v>
      </c>
      <c r="F57" s="155"/>
      <c r="G57" s="2485"/>
      <c r="H57" s="2489"/>
      <c r="I57" s="2489"/>
      <c r="J57" s="3210">
        <f>IF(AND(J55="",J56=""),4,IF(项目基本情况!K6="上海银行",'结果表-办公'!J56+1,'结果表-办公'!J55+1))</f>
        <v>4</v>
      </c>
      <c r="K57" s="3210" t="s">
        <v>2224</v>
      </c>
      <c r="L57" s="2490" t="s">
        <v>2225</v>
      </c>
      <c r="M57" s="1760"/>
      <c r="N57" s="1761">
        <f ca="1">SUMIF(M52:M56,"&lt;9e307")</f>
        <v>48965</v>
      </c>
      <c r="O57" s="2491"/>
      <c r="P57" s="1754">
        <f ca="1">N57/M49</f>
        <v>0.56649505408688605</v>
      </c>
    </row>
    <row r="58" spans="1:35" ht="24.75">
      <c r="A58" s="183" t="s">
        <v>2206</v>
      </c>
      <c r="B58" s="3175" t="s">
        <v>2226</v>
      </c>
      <c r="C58" s="3176"/>
      <c r="D58" s="185">
        <f ca="1">IF(H58="转让取得",C81,C97)</f>
        <v>48922</v>
      </c>
      <c r="E58" s="11" t="s">
        <v>2221</v>
      </c>
      <c r="F58" s="23" t="s">
        <v>34</v>
      </c>
      <c r="G58" s="2485"/>
      <c r="H58" s="2488" t="s">
        <v>2227</v>
      </c>
      <c r="I58" s="2489"/>
      <c r="J58" s="3210"/>
      <c r="K58" s="3210"/>
      <c r="L58" s="2490" t="s">
        <v>2228</v>
      </c>
      <c r="M58" s="1762"/>
      <c r="N58" s="2492" t="str">
        <f ca="1">NUMBERSTRING(INT(N57*10000),2)&amp;"元整"</f>
        <v>肆亿捌仟玖佰陆拾伍万元整</v>
      </c>
      <c r="O58" s="2493"/>
    </row>
    <row r="59" spans="1:35" ht="24.75" thickBot="1">
      <c r="A59" s="3213" t="s">
        <v>2229</v>
      </c>
      <c r="B59" s="3214"/>
      <c r="C59" s="3214"/>
      <c r="D59" s="188" t="str">
        <f>IF(H59="非个人房产","——",IF(H59="个人住宅",0,ROUND(D45*I59,0)))</f>
        <v>——</v>
      </c>
      <c r="E59" s="189" t="str">
        <f>IF(H59="非个人房产","——","销售额×税（费）率")</f>
        <v>——</v>
      </c>
      <c r="F59" s="190" t="str">
        <f>IF(H59="非个人房产","——",IF(H59="个人住宅","免征",I59))</f>
        <v>——</v>
      </c>
      <c r="G59" s="2494" t="s">
        <v>2222</v>
      </c>
      <c r="H59" s="2488" t="s">
        <v>2230</v>
      </c>
      <c r="I59" s="191">
        <v>0.01</v>
      </c>
      <c r="J59" s="3211">
        <f>J57+1</f>
        <v>5</v>
      </c>
      <c r="K59" s="3210" t="s">
        <v>2231</v>
      </c>
      <c r="L59" s="2956" t="s">
        <v>2225</v>
      </c>
      <c r="M59" s="1763"/>
      <c r="N59" s="1764">
        <f ca="1">M49-N57</f>
        <v>37470</v>
      </c>
      <c r="O59" s="2495"/>
    </row>
    <row r="60" spans="1:35" ht="12" customHeight="1">
      <c r="A60" s="2496"/>
      <c r="B60" s="2418"/>
      <c r="C60" s="2418"/>
      <c r="D60" s="2418"/>
      <c r="E60" s="2169"/>
      <c r="F60" s="2489"/>
      <c r="G60" s="2489"/>
      <c r="H60" s="2497"/>
      <c r="I60" s="137"/>
      <c r="J60" s="3212"/>
      <c r="K60" s="3210"/>
      <c r="L60" s="2490" t="s">
        <v>2228</v>
      </c>
      <c r="M60" s="1762"/>
      <c r="N60" s="2492" t="str">
        <f ca="1">NUMBERSTRING(INT(N59*10000),2)&amp;"元整"</f>
        <v>叁亿柒仟肆佰柒拾万元整</v>
      </c>
      <c r="O60" s="2493"/>
    </row>
    <row r="61" spans="1:35" ht="13.5" thickBot="1">
      <c r="A61" s="3157" t="s">
        <v>2232</v>
      </c>
      <c r="B61" s="3157"/>
      <c r="C61" s="3157"/>
      <c r="D61" s="3157"/>
      <c r="E61" s="3157"/>
      <c r="F61" s="2489"/>
      <c r="G61" s="2489"/>
      <c r="H61" s="2497"/>
      <c r="I61" s="137"/>
      <c r="J61" s="2956">
        <f>J59+1</f>
        <v>6</v>
      </c>
      <c r="K61" s="3210" t="s">
        <v>2233</v>
      </c>
      <c r="L61" s="3210"/>
      <c r="M61" s="1765"/>
      <c r="N61" s="1766">
        <f ca="1">ROUND(N59*10000/'数据-汇总表'!E3,0)</f>
        <v>14734</v>
      </c>
      <c r="O61" s="2498"/>
    </row>
    <row r="62" spans="1:35" ht="12.75">
      <c r="A62" s="3173" t="s">
        <v>2234</v>
      </c>
      <c r="B62" s="3174"/>
      <c r="C62" s="2950"/>
      <c r="D62" s="2950" t="s">
        <v>2235</v>
      </c>
      <c r="E62" s="192" t="s">
        <v>2236</v>
      </c>
      <c r="F62" s="2489"/>
      <c r="G62" s="2489"/>
      <c r="H62" s="2497"/>
      <c r="I62" s="137"/>
    </row>
    <row r="63" spans="1:35" ht="12.75">
      <c r="A63" s="203" t="s">
        <v>775</v>
      </c>
      <c r="B63" s="193" t="s">
        <v>2237</v>
      </c>
      <c r="C63" s="194">
        <f ca="1">ROUND((C64+C65)/(1+'数据-取费表'!C42),0)</f>
        <v>82319</v>
      </c>
      <c r="D63" s="195"/>
      <c r="E63" s="196"/>
      <c r="F63" s="2489"/>
      <c r="G63" s="2489"/>
      <c r="H63" s="2497"/>
      <c r="I63" s="137"/>
      <c r="J63" s="3235" t="s">
        <v>2238</v>
      </c>
      <c r="K63" s="2960" t="s">
        <v>2239</v>
      </c>
      <c r="L63" s="1753">
        <f ca="1">IF(M49&gt;10000,M49*0.5%,IF(AND(M49&gt;1000,M49&lt;=10000),M49*1%,IF(AND(M49&gt;100,M49&lt;=1000),M49*3%,IF(AND(M49&gt;10,M49&lt;=100),M49*5%,M49*8%))))</f>
        <v>432.17500000000001</v>
      </c>
      <c r="M63" s="23">
        <f ca="1">ROUND(L63,1)</f>
        <v>432.2</v>
      </c>
      <c r="Z63" s="2423"/>
      <c r="AI63" s="2424"/>
    </row>
    <row r="64" spans="1:35" ht="14.25" customHeight="1">
      <c r="A64" s="197" t="s">
        <v>770</v>
      </c>
      <c r="B64" s="198" t="s">
        <v>2240</v>
      </c>
      <c r="C64" s="199">
        <f ca="1">D45</f>
        <v>86435</v>
      </c>
      <c r="D64" s="200" t="s">
        <v>32</v>
      </c>
      <c r="E64" s="201"/>
      <c r="F64" s="2489"/>
      <c r="G64" s="2489"/>
      <c r="H64" s="2497"/>
      <c r="I64" s="137"/>
      <c r="J64" s="3235"/>
      <c r="K64" s="2960" t="s">
        <v>2241</v>
      </c>
      <c r="L64" s="1753">
        <f ca="1">IF(M49&gt;2000,M49*0.5%,IF(AND(M49&gt;1000,M49&lt;=2000),M49*0.6%,IF(AND(M49&gt;500,M49&lt;=1000),M49*0.7%,IF(AND(M49&gt;200,M49&lt;=500),M49*0.8%,IF(AND(M49&gt;100,M49&lt;=200),M49*0.9%,IF(AND(M49&gt;50,M49&lt;=100),M49*1%,IF(AND(M49&gt;20,M49&lt;=50),M49*1.5%,IF(AND(M49&gt;10,M49&lt;=20),M49*2%,IF(AND(M49&gt;1,M49&lt;=10),M49*2.5%)))))))))</f>
        <v>432.17500000000001</v>
      </c>
      <c r="M64" s="23">
        <f t="shared" ref="M64:M65" ca="1" si="1">ROUND(L64,1)</f>
        <v>432.2</v>
      </c>
      <c r="N64" s="137" t="s">
        <v>2242</v>
      </c>
      <c r="Z64" s="2423"/>
      <c r="AI64" s="2424"/>
    </row>
    <row r="65" spans="1:35" ht="14.25" customHeight="1">
      <c r="A65" s="197" t="s">
        <v>771</v>
      </c>
      <c r="B65" s="198" t="s">
        <v>2243</v>
      </c>
      <c r="C65" s="202"/>
      <c r="D65" s="200"/>
      <c r="E65" s="201"/>
      <c r="F65" s="2489"/>
      <c r="G65" s="2489"/>
      <c r="H65" s="2497"/>
      <c r="I65" s="137"/>
      <c r="J65" s="3235"/>
      <c r="K65" s="2960" t="s">
        <v>2244</v>
      </c>
      <c r="L65" s="1753">
        <f ca="1">IF(M49&gt;1000,M49*0.1%,IF(AND(M49&gt;500,M49&lt;=1000),M49*0.5%,IF(AND(M49&gt;50,M49&lt;=500),M49*1%,IF(AND(M49&gt;1,M49&lt;=50),M49*1.5%))))</f>
        <v>86.435000000000002</v>
      </c>
      <c r="M65" s="23">
        <f t="shared" ca="1" si="1"/>
        <v>86.4</v>
      </c>
      <c r="N65" s="137" t="s">
        <v>2242</v>
      </c>
      <c r="Z65" s="2423"/>
      <c r="AI65" s="2424"/>
    </row>
    <row r="66" spans="1:35" ht="14.25" customHeight="1">
      <c r="A66" s="203" t="s">
        <v>772</v>
      </c>
      <c r="B66" s="204" t="s">
        <v>2245</v>
      </c>
      <c r="C66" s="205"/>
      <c r="D66" s="206" t="s">
        <v>32</v>
      </c>
      <c r="E66" s="1777" t="s">
        <v>1372</v>
      </c>
      <c r="F66" s="2489"/>
      <c r="G66" s="2489"/>
      <c r="H66" s="2497"/>
      <c r="I66" s="137"/>
      <c r="J66" s="3235"/>
      <c r="K66" s="2960" t="s">
        <v>2246</v>
      </c>
      <c r="L66" s="1753">
        <f ca="1">M49*0.5%</f>
        <v>432.17500000000001</v>
      </c>
      <c r="M66" s="23">
        <f ca="1">IF(L66&gt;0.5,0.5,ROUND(L66,0))</f>
        <v>0.5</v>
      </c>
      <c r="N66" s="137" t="s">
        <v>2247</v>
      </c>
      <c r="Z66" s="2423"/>
      <c r="AI66" s="2424"/>
    </row>
    <row r="67" spans="1:35" ht="14.25" customHeight="1">
      <c r="A67" s="203" t="s">
        <v>773</v>
      </c>
      <c r="B67" s="204" t="s">
        <v>2248</v>
      </c>
      <c r="C67" s="207">
        <f ca="1">C63-C66</f>
        <v>82319</v>
      </c>
      <c r="D67" s="200" t="s">
        <v>32</v>
      </c>
      <c r="E67" s="201"/>
      <c r="F67" s="2489"/>
      <c r="G67" s="2489"/>
      <c r="H67" s="2497"/>
      <c r="I67" s="137"/>
      <c r="J67" s="3235"/>
      <c r="K67" s="2960" t="s">
        <v>2249</v>
      </c>
      <c r="L67" s="1753">
        <f ca="1">IF(M49&gt;=10000,(8.25+(M49-10000)*0.01%),IF(AND(M49&gt;=8000,M49&lt;10000),(7.85+(M49-8000)*0.02%),IF(AND(M49&gt;=5000,M49&lt;8000),(6.65+(M49-5000)*0.04%),IF(AND(M49&gt;=2000,M49&lt;5000),(4.25+(PM49-2000)*0.08%),IF(AND(M49&gt;=1000,M49&lt;2000),(2.75+(M49-1000)*0.15%),IF(AND(M49&gt;=100,M49&lt;1000),(0.5+(M49-100)*0.25%),IF(AND(M49&gt;0,M49&lt;100),M49*0.5%)))))))</f>
        <v>15.8935</v>
      </c>
      <c r="M67" s="23">
        <f ca="1">ROUND(L67*0.9,1)</f>
        <v>14.3</v>
      </c>
      <c r="Z67" s="2423"/>
      <c r="AI67" s="2424"/>
    </row>
    <row r="68" spans="1:35" ht="14.25" customHeight="1" thickBot="1">
      <c r="A68" s="208" t="s">
        <v>774</v>
      </c>
      <c r="B68" s="209" t="s">
        <v>2250</v>
      </c>
      <c r="C68" s="210">
        <f ca="1">IF(C67&lt;=0,0,ROUND(C67*D68,0))</f>
        <v>4610</v>
      </c>
      <c r="D68" s="211">
        <f>'数据-取费表'!B41</f>
        <v>5.6000000000000001E-2</v>
      </c>
      <c r="E68" s="212"/>
      <c r="F68" s="2489"/>
      <c r="G68" s="2489"/>
      <c r="H68" s="2497"/>
      <c r="I68" s="137"/>
      <c r="J68" s="3235"/>
      <c r="K68" s="2960" t="s">
        <v>2251</v>
      </c>
      <c r="L68" s="1753">
        <f ca="1">IF(M49&gt;10000,M49*0.5%,IF(AND(M49&gt;5000,M49&lt;=10000),M49*1%,IF(AND(M49&gt;1000,M49&lt;=5000),M49*2%,IF(AND(M49&gt;200,M49&lt;=1000),M49*3%,M49*5%))))</f>
        <v>432.17500000000001</v>
      </c>
      <c r="M68" s="23">
        <f ca="1">ROUND(L68,1)</f>
        <v>432.2</v>
      </c>
      <c r="Z68" s="2423"/>
      <c r="AI68" s="2424"/>
    </row>
    <row r="69" spans="1:35" s="2446" customFormat="1" ht="16.5" customHeight="1">
      <c r="A69" s="2500"/>
      <c r="B69" s="2501"/>
      <c r="C69" s="2502"/>
      <c r="D69" s="2503"/>
      <c r="E69" s="2504"/>
      <c r="F69" s="2169"/>
      <c r="G69" s="2169"/>
      <c r="H69" s="2168"/>
      <c r="I69" s="2418"/>
      <c r="J69" s="3235"/>
      <c r="K69" s="2960" t="s">
        <v>2252</v>
      </c>
      <c r="L69" s="2505"/>
      <c r="M69" s="23">
        <f ca="1">ROUND(SUM(M63:M68),0)</f>
        <v>1398</v>
      </c>
      <c r="N69" s="1754">
        <f ca="1">M69/M49</f>
        <v>1.6174003586510093E-2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94" t="s">
        <v>2253</v>
      </c>
      <c r="B70" s="3195"/>
      <c r="C70" s="3195"/>
      <c r="D70" s="3195"/>
      <c r="E70" s="3195"/>
      <c r="F70" s="3195"/>
      <c r="G70" s="3195"/>
      <c r="H70" s="319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73" t="s">
        <v>2234</v>
      </c>
      <c r="B71" s="3174"/>
      <c r="C71" s="2950"/>
      <c r="D71" s="2950"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f ca="1">ROUND(D45/(1+'数据-取费表'!C42),0)</f>
        <v>82319</v>
      </c>
      <c r="D72" s="200" t="s">
        <v>32</v>
      </c>
      <c r="E72" s="2949"/>
      <c r="F72" s="2944"/>
      <c r="G72" s="294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f ca="1">C74+C78</f>
        <v>494</v>
      </c>
      <c r="D73" s="200" t="s">
        <v>32</v>
      </c>
      <c r="E73" s="2949"/>
      <c r="F73" s="2944"/>
      <c r="G73" s="294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0</v>
      </c>
      <c r="D74" s="200" t="s">
        <v>32</v>
      </c>
      <c r="E74" s="2949"/>
      <c r="F74" s="2944"/>
      <c r="G74" s="294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c r="D75" s="200" t="s">
        <v>32</v>
      </c>
      <c r="E75" s="219" t="s">
        <v>2258</v>
      </c>
      <c r="F75" s="2511" t="s">
        <v>2259</v>
      </c>
      <c r="G75" s="219" t="s">
        <v>2260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168" t="s">
        <v>2262</v>
      </c>
      <c r="F76" s="3145"/>
      <c r="G76" s="3145"/>
      <c r="H76" s="319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0</v>
      </c>
      <c r="D77" s="223">
        <f>'数据-取费表'!B48+'数据-取费表'!B49</f>
        <v>3.0499999999999999E-2</v>
      </c>
      <c r="E77" s="2961" t="s">
        <v>2264</v>
      </c>
      <c r="F77" s="224"/>
      <c r="G77" s="2513" t="s">
        <v>2265</v>
      </c>
      <c r="H77" s="2952"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494</v>
      </c>
      <c r="D78" s="226">
        <f>'数据-取费表'!B43</f>
        <v>6.000000000000001E-3</v>
      </c>
      <c r="E78" s="3154" t="s">
        <v>2267</v>
      </c>
      <c r="F78" s="3155"/>
      <c r="G78" s="3155"/>
      <c r="H78" s="316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773</v>
      </c>
      <c r="B79" s="204" t="s">
        <v>2268</v>
      </c>
      <c r="C79" s="207">
        <f ca="1">C72-C73</f>
        <v>81825</v>
      </c>
      <c r="D79" s="200" t="s">
        <v>32</v>
      </c>
      <c r="E79" s="2949"/>
      <c r="F79" s="2944"/>
      <c r="G79" s="294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165.63765182186233</v>
      </c>
      <c r="D80" s="200" t="s">
        <v>32</v>
      </c>
      <c r="E80" s="2961" t="str">
        <f ca="1">IF(C80&gt;=200%,"增值额超过扣除项目金额200%",IF(C80&gt;=100%,"增值额超过扣除项目金额100%，未超过200%",IF(C80&gt;=50%,"增值额超过扣除项目金额50%，未超过100%",IF(C80&lt;50%,"增值额未超过扣除项目金额50%"))))</f>
        <v>增值额超过扣除项目金额200%</v>
      </c>
      <c r="F80" s="2944"/>
      <c r="G80" s="294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48922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94" t="s">
        <v>2271</v>
      </c>
      <c r="B83" s="3195"/>
      <c r="C83" s="3195"/>
      <c r="D83" s="3195"/>
      <c r="E83" s="3195"/>
      <c r="F83" s="3195"/>
      <c r="G83" s="3195"/>
      <c r="H83" s="319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73" t="s">
        <v>2234</v>
      </c>
      <c r="B84" s="3174"/>
      <c r="C84" s="2950"/>
      <c r="D84" s="2950"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f ca="1">ROUND(D45/(1+'数据-取费表'!C42),0)</f>
        <v>82319</v>
      </c>
      <c r="D85" s="200" t="s">
        <v>32</v>
      </c>
      <c r="E85" s="2949"/>
      <c r="F85" s="2944"/>
      <c r="G85" s="294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f ca="1">IF(H88="仅含出让金",C87+C90+C91+C92+C93+C94,C87+C91+C92+C93+C94)</f>
        <v>494</v>
      </c>
      <c r="D86" s="235"/>
      <c r="E86" s="2949"/>
      <c r="F86" s="2944"/>
      <c r="G86" s="294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2945"/>
      <c r="F87" s="2946"/>
      <c r="G87" s="2946"/>
      <c r="H87" s="294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2946"/>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2946"/>
      <c r="G89" s="2946"/>
      <c r="H89" s="294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2946"/>
      <c r="G90" s="2946"/>
      <c r="H90" s="294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IF(H91="——",'成本法-办公'!C33,I91)</f>
        <v>0</v>
      </c>
      <c r="D91" s="226"/>
      <c r="E91" s="3154" t="s">
        <v>2280</v>
      </c>
      <c r="F91" s="3155"/>
      <c r="G91" s="3155"/>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154" t="s">
        <v>2284</v>
      </c>
      <c r="F92" s="3155"/>
      <c r="G92" s="3155"/>
      <c r="H92" s="316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f ca="1">ROUND(D45*D93/(1+'数据-取费表'!C42),0)</f>
        <v>494</v>
      </c>
      <c r="D93" s="226">
        <f>'数据-取费表'!B43</f>
        <v>6.000000000000001E-3</v>
      </c>
      <c r="E93" s="3154" t="s">
        <v>2267</v>
      </c>
      <c r="F93" s="3155"/>
      <c r="G93" s="3155"/>
      <c r="H93" s="316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165" t="s">
        <v>2288</v>
      </c>
      <c r="F94" s="3166"/>
      <c r="G94" s="3166"/>
      <c r="H94" s="316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773</v>
      </c>
      <c r="B95" s="204" t="s">
        <v>2268</v>
      </c>
      <c r="C95" s="207">
        <f ca="1">ROUND(C85-C86,0)</f>
        <v>81825</v>
      </c>
      <c r="D95" s="200" t="s">
        <v>32</v>
      </c>
      <c r="E95" s="2949"/>
      <c r="F95" s="2944"/>
      <c r="G95" s="294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165.63765182186233</v>
      </c>
      <c r="D96" s="200" t="s">
        <v>32</v>
      </c>
      <c r="E96" s="2961" t="str">
        <f ca="1">IF(C96&gt;=200%,"增值额超过扣除项目金额200%",IF(C96&gt;=100%,"增值额超过扣除项目金额100%，未超过200%",IF(C96&gt;=50%,"增值额超过扣除项目金额50%，未超过100%",IF(C96&lt;50%,"增值额未超过扣除项目金额50%"))))</f>
        <v>增值额超过扣除项目金额200%</v>
      </c>
      <c r="F96" s="2944"/>
      <c r="G96" s="294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48922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9"/>
      <c r="F98" s="2169"/>
      <c r="G98" s="2169"/>
      <c r="H98" s="2168"/>
      <c r="I98" s="137"/>
    </row>
    <row r="99" spans="1:35" ht="21.75" customHeight="1" thickBot="1">
      <c r="A99" s="2474" t="s">
        <v>2289</v>
      </c>
      <c r="B99" s="2418"/>
      <c r="C99" s="2418"/>
      <c r="D99" s="2418"/>
      <c r="E99" s="2169"/>
      <c r="F99" s="2169"/>
      <c r="G99" s="2169"/>
      <c r="H99" s="2168"/>
      <c r="I99" s="137"/>
    </row>
    <row r="100" spans="1:35" ht="18.75" customHeight="1">
      <c r="A100" s="3139" t="s">
        <v>2290</v>
      </c>
      <c r="B100" s="3140"/>
      <c r="C100" s="3140"/>
      <c r="D100" s="3156"/>
      <c r="E100" s="3140" t="s">
        <v>2291</v>
      </c>
      <c r="F100" s="3140"/>
      <c r="G100" s="3140"/>
      <c r="H100" s="3156"/>
      <c r="I100" s="137"/>
    </row>
    <row r="101" spans="1:35" ht="18.75" customHeight="1">
      <c r="A101" s="3218" t="s">
        <v>2292</v>
      </c>
      <c r="B101" s="3219"/>
      <c r="C101" s="736" t="str">
        <f>C4</f>
        <v>成本法-办公</v>
      </c>
      <c r="D101" s="737" t="str">
        <f>D4</f>
        <v>收益法（办公汇总）</v>
      </c>
      <c r="E101" s="3232" t="s">
        <v>2293</v>
      </c>
      <c r="F101" s="3186"/>
      <c r="G101" s="2520" t="s">
        <v>2294</v>
      </c>
      <c r="H101" s="1048">
        <f ca="1">H118</f>
        <v>86435</v>
      </c>
      <c r="I101" s="137"/>
    </row>
    <row r="102" spans="1:35" ht="18.75" customHeight="1">
      <c r="A102" s="3188" t="s">
        <v>2295</v>
      </c>
      <c r="B102" s="2520" t="s">
        <v>2294</v>
      </c>
      <c r="C102" s="736">
        <f ca="1">C19</f>
        <v>65282</v>
      </c>
      <c r="D102" s="737">
        <f ca="1">D19</f>
        <v>100537</v>
      </c>
      <c r="E102" s="3232"/>
      <c r="F102" s="3186"/>
      <c r="G102" s="2520" t="s">
        <v>2296</v>
      </c>
      <c r="H102" s="371">
        <f ca="1">I118</f>
        <v>33988</v>
      </c>
      <c r="I102" s="137"/>
    </row>
    <row r="103" spans="1:35" ht="42.75" customHeight="1">
      <c r="A103" s="3188"/>
      <c r="B103" s="2520" t="s">
        <v>2296</v>
      </c>
      <c r="C103" s="738">
        <f ca="1">C20</f>
        <v>25671</v>
      </c>
      <c r="D103" s="739">
        <f ca="1">D20</f>
        <v>39534</v>
      </c>
      <c r="E103" s="3227" t="s">
        <v>2297</v>
      </c>
      <c r="F103" s="3228"/>
      <c r="G103" s="2521" t="s">
        <v>2298</v>
      </c>
      <c r="H103" s="1048">
        <f>IF(D36="正常操作",H104+H105+H106,H105+H106)</f>
        <v>0</v>
      </c>
      <c r="I103" s="137"/>
    </row>
    <row r="104" spans="1:35" ht="18.75" customHeight="1">
      <c r="A104" s="3188" t="s">
        <v>2299</v>
      </c>
      <c r="B104" s="2522" t="s">
        <v>2294</v>
      </c>
      <c r="C104" s="740">
        <f ca="1">H118</f>
        <v>86435</v>
      </c>
      <c r="D104" s="741"/>
      <c r="E104" s="2269" t="s">
        <v>2300</v>
      </c>
      <c r="F104" s="2261"/>
      <c r="G104" s="2521" t="s">
        <v>2298</v>
      </c>
      <c r="H104" s="1049">
        <f>IF(D36="同一抵押权人同一抵押物续贷",C36&amp;"（未扣减，详见特别提示）",C36)</f>
        <v>0</v>
      </c>
      <c r="I104" s="137"/>
    </row>
    <row r="105" spans="1:35" ht="18.75" customHeight="1" thickBot="1">
      <c r="A105" s="3189"/>
      <c r="B105" s="2523" t="s">
        <v>2296</v>
      </c>
      <c r="C105" s="742">
        <f ca="1">I118</f>
        <v>33988</v>
      </c>
      <c r="D105" s="743"/>
      <c r="E105" s="2269" t="s">
        <v>2301</v>
      </c>
      <c r="F105" s="2261"/>
      <c r="G105" s="2521" t="s">
        <v>2298</v>
      </c>
      <c r="H105" s="1049">
        <f>C37</f>
        <v>0</v>
      </c>
      <c r="I105" s="137"/>
    </row>
    <row r="106" spans="1:35" ht="18.75" customHeight="1">
      <c r="A106" s="2418" t="s">
        <v>2302</v>
      </c>
      <c r="B106" s="2418"/>
      <c r="C106" s="2418"/>
      <c r="D106" s="2418"/>
      <c r="E106" s="2524" t="s">
        <v>2303</v>
      </c>
      <c r="F106" s="2261"/>
      <c r="G106" s="2521" t="s">
        <v>2298</v>
      </c>
      <c r="H106" s="1049">
        <f>C38</f>
        <v>0</v>
      </c>
      <c r="I106" s="137"/>
    </row>
    <row r="107" spans="1:35" ht="18.75" customHeight="1">
      <c r="A107" s="137"/>
      <c r="B107" s="137"/>
      <c r="C107" s="137"/>
      <c r="D107" s="137"/>
      <c r="E107" s="3185" t="str">
        <f>IF(项目基本情况!E8="已注销","——","3.房地产抵押价值")</f>
        <v>3.房地产抵押价值</v>
      </c>
      <c r="F107" s="3186"/>
      <c r="G107" s="2520" t="s">
        <v>2294</v>
      </c>
      <c r="H107" s="1048">
        <f ca="1">IF(E107="——","——",H101-H103)</f>
        <v>86435</v>
      </c>
      <c r="I107" s="137"/>
    </row>
    <row r="108" spans="1:35" ht="18.75" customHeight="1">
      <c r="A108" s="137"/>
      <c r="B108" s="137"/>
      <c r="C108" s="137"/>
      <c r="D108" s="137"/>
      <c r="E108" s="3185"/>
      <c r="F108" s="3186"/>
      <c r="G108" s="2520" t="s">
        <v>2296</v>
      </c>
      <c r="H108" s="371">
        <f ca="1">ROUND(H107*10000/'数据-汇总表'!E3,0)</f>
        <v>33988</v>
      </c>
      <c r="I108" s="137"/>
    </row>
    <row r="109" spans="1:35" ht="18.75" customHeight="1">
      <c r="A109" s="137"/>
      <c r="B109" s="137"/>
      <c r="C109" s="137"/>
      <c r="D109" s="137"/>
      <c r="E109" s="3185" t="str">
        <f>IF(项目基本情况!E8="已注销及未注销","4.抵押担保权已注销时的房地产抵押价值",IF(项目基本情况!E8="已注销","3.抵押担保权已注销时的房地产抵押价值","——"))</f>
        <v>——</v>
      </c>
      <c r="F109" s="3186"/>
      <c r="G109" s="2520" t="s">
        <v>2294</v>
      </c>
      <c r="H109" s="348" t="str">
        <f>IF(E109="——","——",H101-H105-H106)</f>
        <v>——</v>
      </c>
      <c r="I109" s="137"/>
    </row>
    <row r="110" spans="1:35" ht="18.75" customHeight="1">
      <c r="A110" s="137"/>
      <c r="B110" s="137"/>
      <c r="C110" s="137"/>
      <c r="D110" s="137"/>
      <c r="E110" s="3185"/>
      <c r="F110" s="3186"/>
      <c r="G110" s="2520" t="s">
        <v>2296</v>
      </c>
      <c r="H110" s="371" t="str">
        <f>IF(H109="——","——",ROUND(H109*10000/'数据-汇总表'!E3,0))</f>
        <v>——</v>
      </c>
      <c r="I110" s="137"/>
    </row>
    <row r="111" spans="1:35" ht="18.75" customHeight="1">
      <c r="A111" s="137"/>
      <c r="B111" s="137"/>
      <c r="C111" s="137"/>
      <c r="D111" s="137"/>
      <c r="E111" s="3220" t="str">
        <f>IF(项目基本情况!E9="抵押净值",IF(OR(项目基本情况!E8="已注销",项目基本情况!E8="房地产抵押价值"),"4.抵押净值","5.抵押净值"),"——")</f>
        <v>——</v>
      </c>
      <c r="F111" s="3221"/>
      <c r="G111" s="2520" t="s">
        <v>2294</v>
      </c>
      <c r="H111" s="1048" t="str">
        <f>IF(E111="——","——",N59)</f>
        <v>——</v>
      </c>
      <c r="I111" s="137"/>
    </row>
    <row r="112" spans="1:35" ht="18.75" customHeight="1" thickBot="1">
      <c r="A112" s="137"/>
      <c r="B112" s="137"/>
      <c r="C112" s="137"/>
      <c r="D112" s="137"/>
      <c r="E112" s="3222"/>
      <c r="F112" s="3223"/>
      <c r="G112" s="2525" t="s">
        <v>2296</v>
      </c>
      <c r="H112" s="790" t="str">
        <f>IF(E111="——","——",N61)</f>
        <v>——</v>
      </c>
      <c r="I112" s="137"/>
    </row>
    <row r="113" spans="1:11" ht="18.75" customHeight="1">
      <c r="A113" s="137"/>
      <c r="B113" s="137"/>
      <c r="C113" s="137"/>
      <c r="D113" s="137"/>
      <c r="E113" s="3190" t="s">
        <v>2302</v>
      </c>
      <c r="F113" s="3190"/>
      <c r="G113" s="3190"/>
      <c r="H113" s="3190"/>
      <c r="I113" s="137"/>
    </row>
    <row r="114" spans="1:11" ht="3.75" customHeight="1">
      <c r="A114" s="2418"/>
      <c r="B114" s="2418"/>
      <c r="C114" s="2418"/>
      <c r="D114" s="2418"/>
      <c r="E114" s="2496"/>
      <c r="F114" s="2496"/>
      <c r="G114" s="2496"/>
      <c r="H114" s="2496"/>
      <c r="I114" s="2418"/>
    </row>
    <row r="115" spans="1:11" ht="18.75" customHeight="1">
      <c r="A115" s="3203" t="s">
        <v>2304</v>
      </c>
      <c r="B115" s="3204"/>
      <c r="C115" s="3204"/>
      <c r="D115" s="3204"/>
      <c r="E115" s="3204"/>
      <c r="F115" s="3204"/>
      <c r="G115" s="3204"/>
      <c r="H115" s="3204"/>
      <c r="I115" s="3205"/>
    </row>
    <row r="116" spans="1:11" ht="27" customHeight="1">
      <c r="A116" s="3096" t="s">
        <v>2305</v>
      </c>
      <c r="B116" s="3191" t="s">
        <v>2306</v>
      </c>
      <c r="C116" s="3191" t="s">
        <v>2307</v>
      </c>
      <c r="D116" s="3207" t="s">
        <v>2308</v>
      </c>
      <c r="E116" s="3208"/>
      <c r="F116" s="3199" t="s">
        <v>2309</v>
      </c>
      <c r="G116" s="3199"/>
      <c r="H116" s="3096" t="s">
        <v>2310</v>
      </c>
      <c r="I116" s="3096"/>
    </row>
    <row r="117" spans="1:11" ht="18.75" customHeight="1">
      <c r="A117" s="3096"/>
      <c r="B117" s="3192"/>
      <c r="C117" s="3192"/>
      <c r="D117" s="2941" t="s">
        <v>2311</v>
      </c>
      <c r="E117" s="2941" t="s">
        <v>2312</v>
      </c>
      <c r="F117" s="2941" t="s">
        <v>2311</v>
      </c>
      <c r="G117" s="2941" t="s">
        <v>2313</v>
      </c>
      <c r="H117" s="2941" t="s">
        <v>2311</v>
      </c>
      <c r="I117" s="2941" t="s">
        <v>2313</v>
      </c>
    </row>
    <row r="118" spans="1:11" ht="24.75" customHeight="1">
      <c r="A118" s="2526" t="str">
        <f>项目基本情况!S2</f>
        <v>北京市朝阳区酒仙桥北路7号北侧房地产</v>
      </c>
      <c r="B118" s="2941">
        <f>M18</f>
        <v>25430.71</v>
      </c>
      <c r="C118" s="2941">
        <f>M19</f>
        <v>38167.26</v>
      </c>
      <c r="D118" s="2941" t="e">
        <f ca="1">ROUND(IF(D32="总价",C34,E118*B118/10000),0)</f>
        <v>#REF!</v>
      </c>
      <c r="E118" s="2941" t="e">
        <f ca="1">ROUND(IF(C33="自定义",IF(D32="楼面单价",C34,D118*10000/B118),I118-G118),0)</f>
        <v>#REF!</v>
      </c>
      <c r="F118" s="2941" t="e">
        <f ca="1">ROUND(IF(D32="总价",C35,G118*B118/10000),0)</f>
        <v>#REF!</v>
      </c>
      <c r="G118" s="2941" t="e">
        <f ca="1">ROUND(IF(D32="楼面单价",C35,F118*10000/B118),0)</f>
        <v>#REF!</v>
      </c>
      <c r="H118" s="2941">
        <f ca="1">ROUND(IF(D32="总价",C32,I118*B118/10000),0)</f>
        <v>86435</v>
      </c>
      <c r="I118" s="2941">
        <f ca="1">ROUND(IF(D32="楼面单价",C32,H118*10000/B118),0)</f>
        <v>33988</v>
      </c>
    </row>
    <row r="119" spans="1:11" ht="18.75" customHeight="1">
      <c r="A119" s="3096" t="s">
        <v>2314</v>
      </c>
      <c r="B119" s="3096"/>
      <c r="C119" s="3096"/>
      <c r="D119" s="3196" t="e">
        <f ca="1">NUMBERSTRING(INT(D118*10000),2)&amp;"元整"</f>
        <v>#REF!</v>
      </c>
      <c r="E119" s="3198"/>
      <c r="F119" s="3196" t="e">
        <f ca="1">NUMBERSTRING(INT(F118*10000),2)&amp;"元整"</f>
        <v>#REF!</v>
      </c>
      <c r="G119" s="3198"/>
      <c r="H119" s="3196" t="str">
        <f ca="1">NUMBERSTRING(INT(H118*10000),2)&amp;"元整"</f>
        <v>捌亿陆仟肆佰叁拾伍万元整</v>
      </c>
      <c r="I119" s="3198"/>
    </row>
    <row r="120" spans="1:11" ht="18.75" customHeight="1">
      <c r="A120" s="3224" t="str">
        <f>IF(项目基本情况!B9="房地产市场价值","",MID(E103,3,LEN(E103)-2))</f>
        <v/>
      </c>
      <c r="B120" s="3225"/>
      <c r="C120" s="3226"/>
      <c r="D120" s="3224">
        <f>H103</f>
        <v>0</v>
      </c>
      <c r="E120" s="3225"/>
      <c r="F120" s="3225"/>
      <c r="G120" s="3225"/>
      <c r="H120" s="3225"/>
      <c r="I120" s="3226"/>
      <c r="K120" s="2423" t="str">
        <f>IF(D120=0,"故，本次评估不存在"&amp;A120,"故，本次评估"&amp;A120&amp;"为人民币"&amp;D120&amp;"万元整。")</f>
        <v>故，本次评估不存在</v>
      </c>
    </row>
    <row r="121" spans="1:11" ht="18.75" customHeight="1">
      <c r="A121" s="3200" t="s">
        <v>2314</v>
      </c>
      <c r="B121" s="3201"/>
      <c r="C121" s="3202"/>
      <c r="D121" s="3196" t="str">
        <f>IF(D120=0,"零元整",NUMBERSTRING(INT(D120*10000),2)&amp;"元整")</f>
        <v>零元整</v>
      </c>
      <c r="E121" s="3197"/>
      <c r="F121" s="3197"/>
      <c r="G121" s="3197"/>
      <c r="H121" s="3197"/>
      <c r="I121" s="3198"/>
    </row>
    <row r="122" spans="1:11" ht="18.75" customHeight="1">
      <c r="A122" s="3187" t="str">
        <f>IF(项目基本情况!B9="房地产市场价值","",MID(E107,3,LEN(E107)-2))</f>
        <v/>
      </c>
      <c r="B122" s="3187"/>
      <c r="C122" s="3187"/>
      <c r="D122" s="3224">
        <f ca="1">H107</f>
        <v>86435</v>
      </c>
      <c r="E122" s="3225"/>
      <c r="F122" s="3225"/>
      <c r="G122" s="3225"/>
      <c r="H122" s="3225"/>
      <c r="I122" s="3226"/>
    </row>
    <row r="123" spans="1:11" ht="18.75" customHeight="1">
      <c r="A123" s="3096" t="s">
        <v>2314</v>
      </c>
      <c r="B123" s="3096"/>
      <c r="C123" s="3096"/>
      <c r="D123" s="3196" t="str">
        <f ca="1">NUMBERSTRING(INT(D122*10000),2)&amp;"元整"</f>
        <v>捌亿陆仟肆佰叁拾伍万元整</v>
      </c>
      <c r="E123" s="3197"/>
      <c r="F123" s="3197"/>
      <c r="G123" s="3197"/>
      <c r="H123" s="3197"/>
      <c r="I123" s="3198"/>
    </row>
    <row r="124" spans="1:11" ht="18.75" customHeight="1">
      <c r="A124" s="3187" t="str">
        <f>IF(项目基本情况!B9="房地产市场价值","",MID(E109,3,LEN(E109)-2))</f>
        <v/>
      </c>
      <c r="B124" s="3187"/>
      <c r="C124" s="3187"/>
      <c r="D124" s="3224" t="str">
        <f>H109</f>
        <v>——</v>
      </c>
      <c r="E124" s="3225"/>
      <c r="F124" s="3225"/>
      <c r="G124" s="3225"/>
      <c r="H124" s="3225"/>
      <c r="I124" s="3226"/>
    </row>
    <row r="125" spans="1:11" ht="18.75" customHeight="1">
      <c r="A125" s="3096" t="s">
        <v>2314</v>
      </c>
      <c r="B125" s="3096"/>
      <c r="C125" s="3096"/>
      <c r="D125" s="3196" t="e">
        <f>NUMBERSTRING(INT(D124*10000),2)&amp;"元整"</f>
        <v>#VALUE!</v>
      </c>
      <c r="E125" s="3197"/>
      <c r="F125" s="3197"/>
      <c r="G125" s="3197"/>
      <c r="H125" s="3197"/>
      <c r="I125" s="3198"/>
    </row>
    <row r="126" spans="1:11" ht="18.75" customHeight="1">
      <c r="A126" s="3187" t="str">
        <f>IF(项目基本情况!B9="房地产市场价值","",MID(E111,3,LEN(E111)-2))</f>
        <v/>
      </c>
      <c r="B126" s="3187"/>
      <c r="C126" s="3187"/>
      <c r="D126" s="3224" t="str">
        <f>H111</f>
        <v>——</v>
      </c>
      <c r="E126" s="3225"/>
      <c r="F126" s="3225"/>
      <c r="G126" s="3225"/>
      <c r="H126" s="3225"/>
      <c r="I126" s="3226"/>
    </row>
    <row r="127" spans="1:11" ht="18.75" customHeight="1">
      <c r="A127" s="3096" t="s">
        <v>2314</v>
      </c>
      <c r="B127" s="3096"/>
      <c r="C127" s="3096"/>
      <c r="D127" s="3196" t="e">
        <f>NUMBERSTRING(INT(D126*10000),2)&amp;"元整"</f>
        <v>#VALUE!</v>
      </c>
      <c r="E127" s="3197"/>
      <c r="F127" s="3197"/>
      <c r="G127" s="3197"/>
      <c r="H127" s="3197"/>
      <c r="I127" s="3198"/>
    </row>
    <row r="128" spans="1:11" ht="21.75" customHeight="1">
      <c r="A128" s="3206" t="s">
        <v>2315</v>
      </c>
      <c r="B128" s="3206"/>
      <c r="C128" s="3206"/>
      <c r="D128" s="3206"/>
      <c r="E128" s="3206"/>
      <c r="F128" s="3206"/>
      <c r="G128" s="3206"/>
      <c r="H128" s="3206"/>
      <c r="I128" s="3206"/>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3"/>
      <c r="G142" s="795"/>
      <c r="H142" s="795"/>
      <c r="I142" s="795"/>
    </row>
    <row r="143" spans="1:35" s="138" customFormat="1" ht="21.75" customHeight="1">
      <c r="A143" s="795"/>
      <c r="B143" s="2546"/>
      <c r="C143" s="2547"/>
      <c r="D143" s="2548"/>
      <c r="E143" s="2548"/>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34" sqref="D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1"/>
      <c r="C1" s="242"/>
      <c r="D1" s="242"/>
      <c r="E1" s="242"/>
      <c r="F1" s="242"/>
      <c r="G1" s="1382">
        <f>MATCH(B1,'数据-取费表'!A6:A16,0)+5</f>
        <v>6</v>
      </c>
    </row>
    <row r="2" spans="1:9" s="244" customFormat="1" ht="18" customHeight="1">
      <c r="A2" s="245" t="s">
        <v>2324</v>
      </c>
      <c r="B2" s="246">
        <f ca="1">IF(D2="——",C52,C52-E2)</f>
        <v>65282</v>
      </c>
      <c r="C2" s="243" t="s">
        <v>2325</v>
      </c>
      <c r="D2" s="2549" t="s">
        <v>3333</v>
      </c>
      <c r="E2" s="1443">
        <f ca="1">SUMIF(INDIRECT("'"&amp;G2&amp;"'"&amp;"!A:A"),"承租人权益价值",INDIRECT("'"&amp;G2&amp;"'"&amp;"!c:c"))</f>
        <v>2822</v>
      </c>
      <c r="F2" s="2550" t="s">
        <v>2325</v>
      </c>
      <c r="G2" s="2551" t="s">
        <v>3273</v>
      </c>
    </row>
    <row r="3" spans="1:9" s="244" customFormat="1" ht="18" customHeight="1" thickBot="1">
      <c r="A3" s="247" t="s">
        <v>2326</v>
      </c>
      <c r="B3" s="248">
        <f ca="1">ROUND(B2*10000/(IF(B1="",'数据-汇总表'!E3,INDIRECT("'数据-取费表'!k"&amp;$G$1))),0)</f>
        <v>25671</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47738</v>
      </c>
      <c r="D5" s="255" t="s">
        <v>2331</v>
      </c>
      <c r="E5" s="256" t="s">
        <v>2332</v>
      </c>
      <c r="F5" s="256" t="s">
        <v>2333</v>
      </c>
      <c r="G5" s="257"/>
    </row>
    <row r="6" spans="1:9" s="258" customFormat="1" ht="13.5" customHeight="1">
      <c r="A6" s="952" t="s">
        <v>2334</v>
      </c>
      <c r="B6" s="259" t="s">
        <v>2335</v>
      </c>
      <c r="C6" s="260">
        <f ca="1">基准地价修正!B2</f>
        <v>45831</v>
      </c>
      <c r="D6" s="261"/>
      <c r="E6" s="262"/>
      <c r="F6" s="262"/>
      <c r="G6" s="263"/>
    </row>
    <row r="7" spans="1:9" s="258" customFormat="1" ht="13.5" customHeight="1">
      <c r="A7" s="952" t="s">
        <v>2336</v>
      </c>
      <c r="B7" s="259" t="s">
        <v>2337</v>
      </c>
      <c r="C7" s="264">
        <f ca="1">ROUND(C6*F7,0)</f>
        <v>1398</v>
      </c>
      <c r="D7" s="264"/>
      <c r="E7" s="262"/>
      <c r="F7" s="265">
        <f>'数据-取费表'!B48+'数据-取费表'!B49</f>
        <v>3.0499999999999999E-2</v>
      </c>
      <c r="G7" s="263"/>
    </row>
    <row r="8" spans="1:9" s="267" customFormat="1">
      <c r="A8" s="952" t="s">
        <v>2338</v>
      </c>
      <c r="B8" s="259" t="s">
        <v>2339</v>
      </c>
      <c r="C8" s="264">
        <f ca="1">IF(G8="已包含在土地购买价格中","0",IF(B1="",'数据-取费表'!B29,IF(G9="全部缴纳",C9+C10,H9)))</f>
        <v>509</v>
      </c>
      <c r="D8" s="266"/>
      <c r="E8" s="264"/>
      <c r="F8" s="265"/>
      <c r="G8" s="2552" t="s">
        <v>3348</v>
      </c>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0</v>
      </c>
      <c r="F9" s="265"/>
      <c r="G9" s="2553" t="s">
        <v>3350</v>
      </c>
      <c r="H9" s="1393"/>
      <c r="I9" s="2554" t="s">
        <v>2341</v>
      </c>
    </row>
    <row r="10" spans="1:9" s="258" customFormat="1" ht="13.5" customHeight="1">
      <c r="A10" s="953" t="s">
        <v>801</v>
      </c>
      <c r="B10" s="268" t="s">
        <v>2342</v>
      </c>
      <c r="C10" s="269">
        <f ca="1">ROUND(D10*E10/10000,0)</f>
        <v>509</v>
      </c>
      <c r="D10" s="1035">
        <f ca="1">IF(B1="",'数据-汇总表'!E6,IF(INDIRECT("'数据-取费表'!c"&amp;$G$1)="住宅",INDIRECT("'数据-取费表'!s"&amp;$G$1),INDIRECT("'数据-取费表'!k"&amp;$G$1)+INDIRECT("'数据-取费表'!s"&amp;$G$1)))</f>
        <v>25430.71</v>
      </c>
      <c r="E10" s="269">
        <f>'数据-取费表'!B28</f>
        <v>200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t="str">
        <f>IF(G19="已包含在土地取得成本中","0",ROUND(D19*E19/10000,0))</f>
        <v>0</v>
      </c>
      <c r="D19" s="1039">
        <f ca="1">D9+D10</f>
        <v>25430.71</v>
      </c>
      <c r="E19" s="255">
        <f>'数据-取费表'!B31</f>
        <v>200</v>
      </c>
      <c r="F19" s="275"/>
      <c r="G19" s="2552" t="s">
        <v>3349</v>
      </c>
    </row>
    <row r="20" spans="1:7" s="258" customFormat="1" ht="13.5" customHeight="1">
      <c r="A20" s="299" t="s">
        <v>2355</v>
      </c>
      <c r="B20" s="254" t="s">
        <v>2356</v>
      </c>
      <c r="C20" s="276">
        <f ca="1">ROUND((C5+C19)*F20,0)</f>
        <v>955</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2098</v>
      </c>
      <c r="D22" s="279">
        <f ca="1">C26</f>
        <v>4.0000000000000002E-4</v>
      </c>
      <c r="E22" s="280" t="s">
        <v>2360</v>
      </c>
      <c r="F22" s="281">
        <f ca="1">'数据-取费表'!B40</f>
        <v>4.3499999999999997E-2</v>
      </c>
      <c r="G22" s="278" t="str">
        <f>IF('数据-取费表'!B22&lt;=1,"单利计息","复利计息")</f>
        <v>单利计息</v>
      </c>
    </row>
    <row r="23" spans="1:7" s="258" customFormat="1" ht="13.5" customHeight="1">
      <c r="A23" s="954" t="s">
        <v>2364</v>
      </c>
      <c r="B23" s="259" t="s">
        <v>2365</v>
      </c>
      <c r="C23" s="1358">
        <f ca="1">ROUND(IF('数据-取费表'!B22&lt;=1,C5*F22*'数据-取费表'!B23,C5*(POWER((1+F22),'数据-取费表'!B23)-1)),0)</f>
        <v>2077</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0</v>
      </c>
      <c r="D24" s="282"/>
      <c r="E24" s="282"/>
      <c r="F24" s="283"/>
      <c r="G24" s="284" t="s">
        <v>2369</v>
      </c>
    </row>
    <row r="25" spans="1:7" s="258" customFormat="1" ht="24">
      <c r="A25" s="954" t="s">
        <v>2370</v>
      </c>
      <c r="B25" s="259" t="s">
        <v>2371</v>
      </c>
      <c r="C25" s="1358">
        <f ca="1">ROUND(IF('数据-取费表'!B22&lt;=1,C20*F22*'数据-取费表'!B23/2,C20*(POWER((1+F22),'数据-取费表'!B23/2)-1)),0)</f>
        <v>21</v>
      </c>
      <c r="D25" s="282"/>
      <c r="E25" s="285"/>
      <c r="F25" s="283"/>
      <c r="G25" s="286" t="s">
        <v>2372</v>
      </c>
    </row>
    <row r="26" spans="1:7" s="258" customFormat="1">
      <c r="A26" s="954" t="s">
        <v>795</v>
      </c>
      <c r="B26" s="259" t="s">
        <v>2373</v>
      </c>
      <c r="C26" s="282">
        <f ca="1">ROUND(IF('数据-取费表'!B22&lt;=1,F21*F22*'数据-取费表'!B23/2,F21*(POWER((1+F22),'数据-取费表'!B23/2)-1)),4)</f>
        <v>4.0000000000000002E-4</v>
      </c>
      <c r="D26" s="282"/>
      <c r="E26" s="285"/>
      <c r="F26" s="283"/>
      <c r="G26" s="287"/>
    </row>
    <row r="27" spans="1:7" s="258" customFormat="1" ht="24.75">
      <c r="A27" s="299" t="s">
        <v>2374</v>
      </c>
      <c r="B27" s="288" t="s">
        <v>2375</v>
      </c>
      <c r="C27" s="289">
        <f ca="1">C28</f>
        <v>7304</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ROUND((C5+C19+C20)*F27*'数据-取费表'!B21/'数据-取费表'!B20,0)</f>
        <v>7304</v>
      </c>
      <c r="D28" s="279"/>
      <c r="E28" s="280"/>
      <c r="F28" s="290"/>
      <c r="G28" s="291"/>
    </row>
    <row r="29" spans="1:7" s="258" customFormat="1" ht="13.5" customHeight="1">
      <c r="A29" s="954"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62921</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5339</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4578</v>
      </c>
      <c r="D34" s="261"/>
      <c r="E34" s="264"/>
      <c r="F34" s="301">
        <f ca="1">IF('数据-取费表'!B24=0,1,IF(B1="",'数据-取费表'!N16,INDIRECT("'数据-取费表'!n"&amp;$G$1)))</f>
        <v>1</v>
      </c>
      <c r="G34" s="263" t="s">
        <v>2388</v>
      </c>
    </row>
    <row r="35" spans="1:7" ht="13.5" customHeight="1">
      <c r="A35" s="954" t="s">
        <v>796</v>
      </c>
      <c r="B35" s="259" t="s">
        <v>2389</v>
      </c>
      <c r="C35" s="264">
        <f ca="1">ROUND(C34*F35,0)</f>
        <v>183</v>
      </c>
      <c r="D35" s="264"/>
      <c r="E35" s="264"/>
      <c r="F35" s="303">
        <f>'数据-取费表'!B33</f>
        <v>0.04</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509</v>
      </c>
      <c r="D37" s="261">
        <f ca="1">D19</f>
        <v>25430.71</v>
      </c>
      <c r="E37" s="293">
        <f>'数据-取费表'!B35</f>
        <v>200</v>
      </c>
      <c r="F37" s="303"/>
      <c r="G37" s="305" t="s">
        <v>2394</v>
      </c>
    </row>
    <row r="38" spans="1:7" ht="13.5" customHeight="1">
      <c r="A38" s="954" t="s">
        <v>799</v>
      </c>
      <c r="B38" s="259" t="s">
        <v>2395</v>
      </c>
      <c r="C38" s="264">
        <f ca="1">ROUND(C34*F38,0)</f>
        <v>69</v>
      </c>
      <c r="D38" s="264"/>
      <c r="E38" s="264"/>
      <c r="F38" s="303">
        <f>'数据-取费表'!B36</f>
        <v>1.4999999999999999E-2</v>
      </c>
      <c r="G38" s="263" t="s">
        <v>2390</v>
      </c>
    </row>
    <row r="39" spans="1:7" s="258" customFormat="1" ht="13.5" customHeight="1">
      <c r="A39" s="299" t="s">
        <v>2396</v>
      </c>
      <c r="B39" s="254" t="s">
        <v>2397</v>
      </c>
      <c r="C39" s="276">
        <f ca="1">ROUND(C33*F20,0)</f>
        <v>107</v>
      </c>
      <c r="D39" s="276"/>
      <c r="E39" s="276"/>
      <c r="F39" s="277"/>
      <c r="G39" s="278" t="s">
        <v>2398</v>
      </c>
    </row>
    <row r="40" spans="1:7" s="258" customFormat="1" ht="13.5" customHeight="1">
      <c r="A40" s="299" t="s">
        <v>2399</v>
      </c>
      <c r="B40" s="254" t="s">
        <v>2400</v>
      </c>
      <c r="C40" s="1732">
        <f>F21</f>
        <v>0.02</v>
      </c>
      <c r="D40" s="280" t="s">
        <v>2401</v>
      </c>
      <c r="E40" s="276"/>
      <c r="F40" s="277"/>
      <c r="G40" s="278" t="s">
        <v>2402</v>
      </c>
    </row>
    <row r="41" spans="1:7" s="258" customFormat="1" ht="13.5" customHeight="1">
      <c r="A41" s="299" t="s">
        <v>2403</v>
      </c>
      <c r="B41" s="254" t="s">
        <v>2404</v>
      </c>
      <c r="C41" s="276">
        <f ca="1">ROUND(SUM(C42:C43),0)</f>
        <v>118</v>
      </c>
      <c r="D41" s="279">
        <f ca="1">C44</f>
        <v>4.0000000000000002E-4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ROUND(IF('数据-取费表'!B22&lt;=1,C33*F22*'数据-取费表'!B21/2,C33*(POWER((1+F22),'数据-取费表'!B21/2)-1)),0)</f>
        <v>116</v>
      </c>
      <c r="D42" s="282"/>
      <c r="E42" s="282"/>
      <c r="F42" s="283"/>
      <c r="G42" s="3295" t="s">
        <v>2406</v>
      </c>
    </row>
    <row r="43" spans="1:7" ht="13.5" customHeight="1">
      <c r="A43" s="954" t="s">
        <v>792</v>
      </c>
      <c r="B43" s="259" t="s">
        <v>2407</v>
      </c>
      <c r="C43" s="282">
        <f ca="1">ROUND(IF('数据-取费表'!B22&lt;=1,C39*F22*'数据-取费表'!B21/2,C39*(POWER((1+F22),'数据-取费表'!B21/2)-1)),0)</f>
        <v>2</v>
      </c>
      <c r="D43" s="282"/>
      <c r="E43" s="282"/>
      <c r="F43" s="283"/>
      <c r="G43" s="3296"/>
    </row>
    <row r="44" spans="1:7" ht="13.5" customHeight="1">
      <c r="A44" s="954" t="s">
        <v>793</v>
      </c>
      <c r="B44" s="259" t="s">
        <v>2408</v>
      </c>
      <c r="C44" s="282">
        <f ca="1">ROUND(IF('数据-取费表'!B22&lt;=1,C40*F22*'数据-取费表'!B21/2,C40*(POWER((1+F22),'数据-取费表'!B21/2)-1)),4)</f>
        <v>4.0000000000000002E-4</v>
      </c>
      <c r="D44" s="282"/>
      <c r="E44" s="282"/>
      <c r="F44" s="283"/>
      <c r="G44" s="3297"/>
    </row>
    <row r="45" spans="1:7" s="258" customFormat="1" ht="13.5" customHeight="1">
      <c r="A45" s="299" t="s">
        <v>2409</v>
      </c>
      <c r="B45" s="288" t="s">
        <v>2375</v>
      </c>
      <c r="C45" s="289">
        <f ca="1">C46</f>
        <v>817</v>
      </c>
      <c r="D45" s="279">
        <f ca="1">C47</f>
        <v>3.0000000000000001E-3</v>
      </c>
      <c r="E45" s="280" t="s">
        <v>2401</v>
      </c>
      <c r="F45" s="290"/>
      <c r="G45" s="291" t="s">
        <v>2410</v>
      </c>
    </row>
    <row r="46" spans="1:7" s="258" customFormat="1" ht="13.5" customHeight="1">
      <c r="A46" s="954" t="s">
        <v>791</v>
      </c>
      <c r="B46" s="292" t="s">
        <v>2411</v>
      </c>
      <c r="C46" s="293">
        <f ca="1">ROUND((C33+C39)*F27,0)</f>
        <v>817</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1732">
        <f>ROUND(F30/(1+'数据-取费表'!C42),4)</f>
        <v>5.33E-2</v>
      </c>
      <c r="D48" s="280" t="s">
        <v>2401</v>
      </c>
      <c r="E48" s="276"/>
      <c r="F48" s="281"/>
      <c r="G48" s="278" t="s">
        <v>2414</v>
      </c>
    </row>
    <row r="49" spans="1:7" ht="16.5" customHeight="1">
      <c r="A49" s="299" t="s">
        <v>2380</v>
      </c>
      <c r="B49" s="254" t="s">
        <v>2415</v>
      </c>
      <c r="C49" s="276">
        <f ca="1">ROUND((C33+C39+C41+C45)/(1-C40-D41-D45-C48),0)</f>
        <v>6911</v>
      </c>
      <c r="D49" s="276"/>
      <c r="E49" s="276"/>
      <c r="F49" s="308"/>
      <c r="G49" s="278" t="s">
        <v>2416</v>
      </c>
    </row>
    <row r="50" spans="1:7" s="302" customFormat="1" ht="24">
      <c r="A50" s="299" t="s">
        <v>2417</v>
      </c>
      <c r="B50" s="254" t="s">
        <v>2418</v>
      </c>
      <c r="C50" s="276"/>
      <c r="D50" s="276"/>
      <c r="E50" s="276"/>
      <c r="F50" s="308">
        <f>IF('数据-取费表'!B24=0,'数据-取费表'!N16,1)</f>
        <v>0.75</v>
      </c>
      <c r="G50" s="291" t="s">
        <v>2419</v>
      </c>
    </row>
    <row r="51" spans="1:7" ht="16.5" customHeight="1">
      <c r="A51" s="299" t="s">
        <v>2420</v>
      </c>
      <c r="B51" s="254" t="s">
        <v>2421</v>
      </c>
      <c r="C51" s="276">
        <f ca="1">ROUND(C49*F50,0)</f>
        <v>5183</v>
      </c>
      <c r="D51" s="276"/>
      <c r="E51" s="276"/>
      <c r="F51" s="308"/>
      <c r="G51" s="278" t="s">
        <v>2422</v>
      </c>
    </row>
    <row r="52" spans="1:7" s="252" customFormat="1" ht="16.5" thickBot="1">
      <c r="A52" s="309" t="s">
        <v>2423</v>
      </c>
      <c r="B52" s="310"/>
      <c r="C52" s="311">
        <f ca="1">C31+C51</f>
        <v>68104</v>
      </c>
      <c r="D52" s="310"/>
      <c r="E52" s="310"/>
      <c r="F52" s="310"/>
      <c r="G52" s="312"/>
    </row>
    <row r="55" spans="1:7" ht="15">
      <c r="B55" s="314" t="s">
        <v>2424</v>
      </c>
      <c r="C55" s="315"/>
    </row>
    <row r="56" spans="1:7">
      <c r="B56" s="317" t="s">
        <v>1515</v>
      </c>
      <c r="C56" s="319">
        <f ca="1">1-C57</f>
        <v>0.92400000000000004</v>
      </c>
    </row>
    <row r="57" spans="1:7">
      <c r="B57" s="317" t="s">
        <v>1516</v>
      </c>
      <c r="C57" s="318">
        <f ca="1">ROUND(C51/C52,3)</f>
        <v>7.5999999999999998E-2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1"/>
      <c r="C1" s="2555" t="s">
        <v>2425</v>
      </c>
      <c r="D1" s="242"/>
      <c r="E1" s="242"/>
      <c r="F1" s="242"/>
      <c r="G1" s="1382">
        <f>MATCH(B1,'数据-取费表'!A6:A16,0)+5</f>
        <v>6</v>
      </c>
      <c r="H1" s="1285" t="str">
        <f>IF(ISERROR(FIND("住宅",B1)),"非住宅","住宅")</f>
        <v>非住宅</v>
      </c>
    </row>
    <row r="2" spans="1:8" s="244" customFormat="1" ht="18" customHeight="1">
      <c r="A2" s="245" t="s">
        <v>2324</v>
      </c>
      <c r="B2" s="246">
        <f ca="1">ROUND(IF(D2="——",C52/10000,C52/10000-E2),0)</f>
        <v>6523</v>
      </c>
      <c r="C2" s="243" t="s">
        <v>2325</v>
      </c>
      <c r="D2" s="2549" t="s">
        <v>70</v>
      </c>
      <c r="E2" s="1443" t="e">
        <f ca="1">SUMIF(INDIRECT("'"&amp;G2&amp;"'"&amp;"!A:A"),"承租人权益价值",INDIRECT("'"&amp;G2&amp;"'"&amp;"!c:c"))</f>
        <v>#REF!</v>
      </c>
      <c r="F2" s="2550" t="s">
        <v>2325</v>
      </c>
      <c r="G2" s="2551"/>
    </row>
    <row r="3" spans="1:8" s="244" customFormat="1" ht="18" customHeight="1" thickBot="1">
      <c r="A3" s="247" t="s">
        <v>2326</v>
      </c>
      <c r="B3" s="248">
        <f ca="1">ROUND(B2*10000/(IF(B1="",'数据-汇总表'!E3,INDIRECT("'数据-取费表'!k"&amp;$G$1))),0)</f>
        <v>2565</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5086142</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5086142</v>
      </c>
      <c r="D8" s="266"/>
      <c r="E8" s="264"/>
      <c r="F8" s="265"/>
      <c r="G8" s="2552"/>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2342</v>
      </c>
      <c r="C10" s="269">
        <f ca="1">ROUND(D10*E10,0)</f>
        <v>5086142</v>
      </c>
      <c r="D10" s="1035">
        <f ca="1">IF(B1="",'数据-汇总表'!E6,IF(INDIRECT("'数据-取费表'!c"&amp;$G$1)="住宅",INDIRECT("'数据-取费表'!s"&amp;$G$1),INDIRECT("'数据-取费表'!k"&amp;$G$1)+INDIRECT("'数据-取费表'!s"&amp;$G$1)))</f>
        <v>25430.71</v>
      </c>
      <c r="E10" s="269">
        <f>'数据-取费表'!B28</f>
        <v>200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5086142</v>
      </c>
      <c r="D19" s="1039">
        <f ca="1">D9+D10</f>
        <v>25430.71</v>
      </c>
      <c r="E19" s="255">
        <f>'数据-取费表'!B31</f>
        <v>200</v>
      </c>
      <c r="F19" s="275"/>
      <c r="G19" s="2552"/>
    </row>
    <row r="20" spans="1:7" s="258" customFormat="1" ht="13.5" customHeight="1">
      <c r="A20" s="299" t="s">
        <v>2436</v>
      </c>
      <c r="B20" s="254" t="s">
        <v>2437</v>
      </c>
      <c r="C20" s="276">
        <f ca="1">ROUND((C5+C19)*F20,0)</f>
        <v>203446</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446919</v>
      </c>
      <c r="D22" s="279">
        <f ca="1">C26</f>
        <v>4.0000000000000002E-4</v>
      </c>
      <c r="E22" s="280" t="s">
        <v>2441</v>
      </c>
      <c r="F22" s="281">
        <f ca="1">'数据-取费表'!B40</f>
        <v>4.3499999999999997E-2</v>
      </c>
      <c r="G22" s="278" t="str">
        <f>IF('数据-取费表'!B22&lt;=1,"单利计息","复利计息")</f>
        <v>单利计息</v>
      </c>
    </row>
    <row r="23" spans="1:7" s="258" customFormat="1" ht="13.5" customHeight="1">
      <c r="A23" s="954" t="s">
        <v>2334</v>
      </c>
      <c r="B23" s="259" t="s">
        <v>2445</v>
      </c>
      <c r="C23" s="1384">
        <f ca="1">ROUND(IF('数据-取费表'!B22&lt;=1,C5*F22*'数据-取费表'!B22,C5*(POWER((1+F22),'数据-取费表'!B22)-1)),0)</f>
        <v>221247</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221247</v>
      </c>
      <c r="D24" s="282"/>
      <c r="E24" s="282"/>
      <c r="F24" s="283"/>
      <c r="G24" s="284" t="s">
        <v>2448</v>
      </c>
    </row>
    <row r="25" spans="1:7" s="258" customFormat="1" ht="24">
      <c r="A25" s="954" t="s">
        <v>2338</v>
      </c>
      <c r="B25" s="259" t="s">
        <v>2449</v>
      </c>
      <c r="C25" s="1384">
        <f ca="1">ROUND(IF('数据-取费表'!B22&lt;=1,C20*F22*'数据-取费表'!B22/2,C20*(POWER((1+F22),'数据-取费表'!B22/2)-1)),0)</f>
        <v>4425</v>
      </c>
      <c r="D25" s="282"/>
      <c r="E25" s="285"/>
      <c r="F25" s="283"/>
      <c r="G25" s="286" t="s">
        <v>2450</v>
      </c>
    </row>
    <row r="26" spans="1:7" s="258" customFormat="1">
      <c r="A26" s="954" t="s">
        <v>795</v>
      </c>
      <c r="B26" s="259" t="s">
        <v>2373</v>
      </c>
      <c r="C26" s="282">
        <f ca="1">ROUND(IF('数据-取费表'!B22&lt;=1,F21*F22*'数据-取费表'!B22/2,F21*(POWER((1+F22),'数据-取费表'!B22/2)-1)),4)</f>
        <v>4.0000000000000002E-4</v>
      </c>
      <c r="D26" s="282"/>
      <c r="E26" s="285"/>
      <c r="F26" s="283"/>
      <c r="G26" s="287"/>
    </row>
    <row r="27" spans="1:7" s="258" customFormat="1" ht="24.75">
      <c r="A27" s="299" t="s">
        <v>2374</v>
      </c>
      <c r="B27" s="288" t="s">
        <v>2375</v>
      </c>
      <c r="C27" s="289">
        <f ca="1">C28</f>
        <v>1556360</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ROUND((C5+C19+C20)*F27,0)</f>
        <v>1556360</v>
      </c>
      <c r="D28" s="279"/>
      <c r="E28" s="280"/>
      <c r="F28" s="290"/>
      <c r="G28" s="291"/>
    </row>
    <row r="29" spans="1:7" s="258" customFormat="1" ht="13.5" customHeight="1">
      <c r="A29" s="954"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13407353</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53379060</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45775278</v>
      </c>
      <c r="D34" s="261"/>
      <c r="E34" s="264"/>
      <c r="F34" s="301"/>
      <c r="G34" s="263"/>
    </row>
    <row r="35" spans="1:7" ht="13.5" customHeight="1">
      <c r="A35" s="954" t="s">
        <v>796</v>
      </c>
      <c r="B35" s="259" t="s">
        <v>2389</v>
      </c>
      <c r="C35" s="264">
        <f ca="1">ROUND(C34*F35,0)</f>
        <v>1831011</v>
      </c>
      <c r="D35" s="264"/>
      <c r="E35" s="264"/>
      <c r="F35" s="303">
        <f>'数据-取费表'!B33</f>
        <v>0.04</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5086142</v>
      </c>
      <c r="D37" s="261">
        <f ca="1">D19</f>
        <v>25430.71</v>
      </c>
      <c r="E37" s="293">
        <f>'数据-取费表'!B35</f>
        <v>200</v>
      </c>
      <c r="F37" s="303"/>
      <c r="G37" s="305"/>
    </row>
    <row r="38" spans="1:7" ht="13.5" customHeight="1">
      <c r="A38" s="954" t="s">
        <v>799</v>
      </c>
      <c r="B38" s="259" t="s">
        <v>2395</v>
      </c>
      <c r="C38" s="264">
        <f ca="1">ROUND(C34*F38,0)</f>
        <v>686629</v>
      </c>
      <c r="D38" s="264"/>
      <c r="E38" s="264"/>
      <c r="F38" s="303">
        <f>'数据-取费表'!B36</f>
        <v>1.4999999999999999E-2</v>
      </c>
      <c r="G38" s="263" t="s">
        <v>2390</v>
      </c>
    </row>
    <row r="39" spans="1:7" s="258" customFormat="1" ht="13.5" customHeight="1">
      <c r="A39" s="299" t="s">
        <v>2396</v>
      </c>
      <c r="B39" s="254" t="s">
        <v>2397</v>
      </c>
      <c r="C39" s="276">
        <f ca="1">ROUND(C33*F20,0)</f>
        <v>1067581</v>
      </c>
      <c r="D39" s="276"/>
      <c r="E39" s="276"/>
      <c r="F39" s="277"/>
      <c r="G39" s="278" t="s">
        <v>2398</v>
      </c>
    </row>
    <row r="40" spans="1:7" s="258" customFormat="1" ht="13.5" customHeight="1">
      <c r="A40" s="299" t="s">
        <v>2399</v>
      </c>
      <c r="B40" s="254" t="s">
        <v>2400</v>
      </c>
      <c r="C40" s="1732">
        <f>F21</f>
        <v>0.02</v>
      </c>
      <c r="D40" s="280" t="s">
        <v>2401</v>
      </c>
      <c r="E40" s="276"/>
      <c r="F40" s="277"/>
      <c r="G40" s="278" t="s">
        <v>2402</v>
      </c>
    </row>
    <row r="41" spans="1:7" s="258" customFormat="1" ht="13.5" customHeight="1">
      <c r="A41" s="299" t="s">
        <v>2403</v>
      </c>
      <c r="B41" s="254" t="s">
        <v>2404</v>
      </c>
      <c r="C41" s="276">
        <f ca="1">ROUND(SUM(C42:C43),0)</f>
        <v>1184215</v>
      </c>
      <c r="D41" s="279">
        <f ca="1">C44</f>
        <v>4.0000000000000002E-4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ROUND(IF('数据-取费表'!B22&lt;=1,C33*F22*'数据-取费表'!B20/2,C33*(POWER((1+F22),'数据-取费表'!B20/2)-1)),0)</f>
        <v>1160995</v>
      </c>
      <c r="D42" s="282"/>
      <c r="E42" s="282"/>
      <c r="F42" s="283"/>
      <c r="G42" s="3295" t="s">
        <v>2453</v>
      </c>
    </row>
    <row r="43" spans="1:7" ht="13.5" customHeight="1">
      <c r="A43" s="954" t="s">
        <v>792</v>
      </c>
      <c r="B43" s="259" t="s">
        <v>2407</v>
      </c>
      <c r="C43" s="282">
        <f ca="1">ROUND(IF('数据-取费表'!B22&lt;=1,C39*F22*'数据-取费表'!B20/2,C39*(POWER((1+F22),'数据-取费表'!B20/2)-1)),0)</f>
        <v>23220</v>
      </c>
      <c r="D43" s="282"/>
      <c r="E43" s="282"/>
      <c r="F43" s="283"/>
      <c r="G43" s="3296"/>
    </row>
    <row r="44" spans="1:7" ht="13.5" customHeight="1">
      <c r="A44" s="954" t="s">
        <v>793</v>
      </c>
      <c r="B44" s="259" t="s">
        <v>2408</v>
      </c>
      <c r="C44" s="282">
        <f ca="1">ROUND(IF('数据-取费表'!B22&lt;=1,C40*F22*'数据-取费表'!B20/2,C40*(POWER((1+F22),'数据-取费表'!B20/2)-1)),4)</f>
        <v>4.0000000000000002E-4</v>
      </c>
      <c r="D44" s="282"/>
      <c r="E44" s="282"/>
      <c r="F44" s="283"/>
      <c r="G44" s="3297"/>
    </row>
    <row r="45" spans="1:7" s="258" customFormat="1" ht="13.5" customHeight="1">
      <c r="A45" s="299" t="s">
        <v>2409</v>
      </c>
      <c r="B45" s="288" t="s">
        <v>2375</v>
      </c>
      <c r="C45" s="289">
        <f ca="1">C46</f>
        <v>8166996</v>
      </c>
      <c r="D45" s="279">
        <f ca="1">C47</f>
        <v>3.0000000000000001E-3</v>
      </c>
      <c r="E45" s="280" t="s">
        <v>2401</v>
      </c>
      <c r="F45" s="290"/>
      <c r="G45" s="291" t="s">
        <v>2410</v>
      </c>
    </row>
    <row r="46" spans="1:7" s="258" customFormat="1" ht="13.5" customHeight="1">
      <c r="A46" s="954" t="s">
        <v>791</v>
      </c>
      <c r="B46" s="292" t="s">
        <v>2411</v>
      </c>
      <c r="C46" s="293">
        <f ca="1">ROUND((C33+C39)*F27,0)</f>
        <v>8166996</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69097641</v>
      </c>
      <c r="D49" s="276"/>
      <c r="E49" s="276"/>
      <c r="F49" s="308"/>
      <c r="G49" s="278" t="s">
        <v>2416</v>
      </c>
    </row>
    <row r="50" spans="1:7" s="302" customFormat="1">
      <c r="A50" s="299" t="s">
        <v>2417</v>
      </c>
      <c r="B50" s="254" t="s">
        <v>2418</v>
      </c>
      <c r="C50" s="276"/>
      <c r="D50" s="276"/>
      <c r="E50" s="276"/>
      <c r="F50" s="308">
        <f>IF('数据-取费表'!B24=0,'数据-取费表'!N16,1)</f>
        <v>0.75</v>
      </c>
      <c r="G50" s="291"/>
    </row>
    <row r="51" spans="1:7" ht="16.5" customHeight="1">
      <c r="A51" s="299" t="s">
        <v>2420</v>
      </c>
      <c r="B51" s="254" t="s">
        <v>2455</v>
      </c>
      <c r="C51" s="276">
        <f ca="1">ROUND(C49*F50,0)</f>
        <v>51823231</v>
      </c>
      <c r="D51" s="276"/>
      <c r="E51" s="276"/>
      <c r="F51" s="308"/>
      <c r="G51" s="278" t="s">
        <v>2422</v>
      </c>
    </row>
    <row r="52" spans="1:7" s="252" customFormat="1" ht="16.5" thickBot="1">
      <c r="A52" s="309" t="s">
        <v>2423</v>
      </c>
      <c r="B52" s="310"/>
      <c r="C52" s="311">
        <f ca="1">C31+C51</f>
        <v>65230584</v>
      </c>
      <c r="D52" s="310"/>
      <c r="E52" s="310"/>
      <c r="F52" s="310"/>
      <c r="G52" s="312"/>
    </row>
    <row r="55" spans="1:7" ht="15">
      <c r="B55" s="314" t="s">
        <v>2424</v>
      </c>
      <c r="C55" s="315"/>
    </row>
    <row r="56" spans="1:7">
      <c r="B56" s="317" t="s">
        <v>1515</v>
      </c>
      <c r="C56" s="319">
        <f ca="1">1-C57</f>
        <v>0.20599999999999996</v>
      </c>
    </row>
    <row r="57" spans="1:7">
      <c r="B57" s="317" t="s">
        <v>1516</v>
      </c>
      <c r="C57" s="318">
        <f ca="1">ROUND(C51/C52,3)</f>
        <v>0.79400000000000004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5"/>
      <c r="C1" s="1586"/>
      <c r="D1" s="1584"/>
      <c r="E1" s="320"/>
      <c r="F1" s="320"/>
      <c r="G1" s="1585"/>
      <c r="H1" s="320"/>
      <c r="I1" s="320"/>
      <c r="J1" s="320"/>
      <c r="K1" s="320">
        <f>MATCH(C1,'数据-取费表'!A6:A16,0)+5</f>
        <v>6</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6" t="s">
        <v>2462</v>
      </c>
      <c r="D5" s="2556" t="s">
        <v>2463</v>
      </c>
      <c r="E5" s="2556" t="s">
        <v>2464</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39"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39"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1335</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2478</v>
      </c>
      <c r="C12" s="23">
        <f ca="1">ROUND(C11*F12,0)</f>
        <v>0</v>
      </c>
      <c r="D12" s="976"/>
      <c r="E12" s="375"/>
      <c r="F12" s="979">
        <f>'数据-取费表'!B33</f>
        <v>0.04</v>
      </c>
      <c r="G12" s="8" t="s">
        <v>2479</v>
      </c>
      <c r="H12" s="971"/>
      <c r="I12" s="971"/>
      <c r="J12" s="971"/>
      <c r="K12" s="972"/>
    </row>
    <row r="13" spans="1:33" s="978" customFormat="1" ht="13.5" customHeight="1">
      <c r="A13" s="974" t="s">
        <v>1337</v>
      </c>
      <c r="B13" s="975" t="s">
        <v>2480</v>
      </c>
      <c r="C13" s="23">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1338</v>
      </c>
      <c r="B14" s="975" t="s">
        <v>2482</v>
      </c>
      <c r="C14" s="23">
        <f ca="1">ROUND(D14*E14*F11/10000,0)</f>
        <v>0</v>
      </c>
      <c r="D14" s="1036">
        <f ca="1">IF(C1="",'数据-汇总表'!E3,INDIRECT("'数据-取费表'!K"&amp;$K$1)+INDIRECT("'数据-取费表'!S"&amp;$K$1))</f>
        <v>25430.71</v>
      </c>
      <c r="E14" s="23">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2484</v>
      </c>
      <c r="C15" s="986">
        <f ca="1">ROUND(C11*F15,0)</f>
        <v>0</v>
      </c>
      <c r="D15" s="981"/>
      <c r="E15" s="986"/>
      <c r="F15" s="987">
        <f>'数据-取费表'!B36</f>
        <v>1.4999999999999999E-2</v>
      </c>
      <c r="G15" s="139"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39"/>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3">
        <f ca="1">ROUND(D17*E17/10000,0)</f>
        <v>0</v>
      </c>
      <c r="D17" s="1036">
        <f ca="1">D14</f>
        <v>25430.71</v>
      </c>
      <c r="E17" s="23">
        <f>'数据-取费表'!B32</f>
        <v>0</v>
      </c>
      <c r="F17" s="981"/>
      <c r="G17" s="139" t="s">
        <v>2488</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2489</v>
      </c>
      <c r="C18" s="23">
        <f ca="1">C19+C20-IF(C1="",'数据-取费表'!B29,IF(G18="已全部缴纳",C19+C20,H18))</f>
        <v>0</v>
      </c>
      <c r="D18" s="1036"/>
      <c r="E18" s="23"/>
      <c r="F18" s="979"/>
      <c r="G18" s="2558"/>
      <c r="H18" s="1581"/>
      <c r="I18" s="2559" t="s">
        <v>2490</v>
      </c>
      <c r="J18" s="982"/>
      <c r="K18" s="983"/>
    </row>
    <row r="19" spans="1:33" s="978" customFormat="1" ht="13.5" customHeight="1">
      <c r="A19" s="974" t="s">
        <v>805</v>
      </c>
      <c r="B19" s="975" t="s">
        <v>2491</v>
      </c>
      <c r="C19" s="23">
        <f ca="1">ROUND(D19*E19/10000,0)</f>
        <v>0</v>
      </c>
      <c r="D19" s="1036">
        <f ca="1">IF(C1="",'数据-汇总表'!E5,IF(INDIRECT("'数据-取费表'!c"&amp;$K$1)="住宅",INDIRECT("'数据-取费表'!k"&amp;$K$1),0))</f>
        <v>0</v>
      </c>
      <c r="E19" s="23">
        <f>'数据-取费表'!B27</f>
        <v>0</v>
      </c>
      <c r="F19" s="979"/>
      <c r="G19" s="14"/>
      <c r="H19" s="1583"/>
      <c r="I19" s="984"/>
      <c r="J19" s="984"/>
      <c r="K19" s="985"/>
    </row>
    <row r="20" spans="1:33" s="978" customFormat="1" ht="13.5" customHeight="1">
      <c r="A20" s="974" t="s">
        <v>806</v>
      </c>
      <c r="B20" s="975" t="s">
        <v>2492</v>
      </c>
      <c r="C20" s="23">
        <f ca="1">ROUND(D20*E20/10000,0)</f>
        <v>509</v>
      </c>
      <c r="D20" s="1036">
        <f ca="1">IF(C1="",'数据-汇总表'!E6,IF(INDIRECT("'数据-取费表'!c"&amp;$K$1)="住宅",INDIRECT("'数据-取费表'!s"&amp;$K$1),INDIRECT("'数据-取费表'!k"&amp;$K$1)+INDIRECT("'数据-取费表'!s"&amp;$K$1)))</f>
        <v>25430.71</v>
      </c>
      <c r="E20" s="23">
        <f>'数据-取费表'!B28</f>
        <v>200</v>
      </c>
      <c r="F20" s="979"/>
      <c r="G20" s="14"/>
      <c r="H20" s="984"/>
      <c r="I20" s="984"/>
      <c r="J20" s="984"/>
      <c r="K20" s="985"/>
    </row>
    <row r="21" spans="1:33" s="978" customFormat="1" ht="13.5" customHeight="1">
      <c r="A21" s="964" t="s">
        <v>802</v>
      </c>
      <c r="B21" s="988" t="s">
        <v>2493</v>
      </c>
      <c r="C21" s="989">
        <f ca="1">C16+C17+C18</f>
        <v>0</v>
      </c>
      <c r="D21" s="990"/>
      <c r="E21" s="325"/>
      <c r="F21" s="325"/>
      <c r="G21" s="139" t="s">
        <v>2494</v>
      </c>
      <c r="H21" s="982"/>
      <c r="I21" s="982"/>
      <c r="J21" s="982"/>
      <c r="K21" s="983"/>
    </row>
    <row r="22" spans="1:33" s="978" customFormat="1" ht="13.5" customHeight="1">
      <c r="A22" s="964" t="s">
        <v>2466</v>
      </c>
      <c r="B22" s="988" t="s">
        <v>2495</v>
      </c>
      <c r="C22" s="989">
        <f ca="1">ROUND(C21*F22,0)</f>
        <v>0</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4.3499999999999997E-2</v>
      </c>
      <c r="G25" s="139"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2506</v>
      </c>
      <c r="B28" s="2561" t="s">
        <v>2507</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39" t="s">
        <v>2509</v>
      </c>
      <c r="H29" s="982"/>
      <c r="I29" s="982"/>
      <c r="J29" s="982"/>
      <c r="K29" s="983"/>
    </row>
    <row r="30" spans="1:33" s="335" customFormat="1" ht="13.5" customHeight="1">
      <c r="A30" s="974" t="s">
        <v>804</v>
      </c>
      <c r="B30" s="997" t="s">
        <v>2510</v>
      </c>
      <c r="C30" s="336">
        <f ca="1">ROUND((C21+C22+C23)*F28,0)</f>
        <v>0</v>
      </c>
      <c r="D30" s="328"/>
      <c r="E30" s="329"/>
      <c r="F30" s="334"/>
      <c r="G30" s="139"/>
      <c r="H30" s="982"/>
      <c r="I30" s="982"/>
      <c r="J30" s="982"/>
      <c r="K30" s="983"/>
    </row>
    <row r="31" spans="1:33" s="978" customFormat="1" ht="13.5" customHeight="1" thickBot="1">
      <c r="A31" s="2562" t="s">
        <v>2511</v>
      </c>
      <c r="B31" s="1008" t="s">
        <v>2512</v>
      </c>
      <c r="C31" s="1009">
        <f>ROUND(C4*F31/(1+'数据-取费表'!C42),0)</f>
        <v>0</v>
      </c>
      <c r="D31" s="1010"/>
      <c r="E31" s="1011"/>
      <c r="F31" s="1012">
        <f>'数据-取费表'!B41</f>
        <v>5.6000000000000001E-2</v>
      </c>
      <c r="G31" s="1013" t="s">
        <v>2513</v>
      </c>
      <c r="H31" s="1014"/>
      <c r="I31" s="1014"/>
      <c r="J31" s="1014"/>
      <c r="K31" s="1015"/>
    </row>
    <row r="32" spans="1:33" s="973" customFormat="1" ht="13.5" customHeight="1" thickBot="1">
      <c r="A32" s="1003" t="s">
        <v>2514</v>
      </c>
      <c r="B32" s="1004"/>
      <c r="C32" s="1005">
        <f ca="1">ROUND((C4-C21-C22-C23-C25-C28-C31)/(1+C24+D25+D28),0)</f>
        <v>0</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c r="D1" s="1824"/>
      <c r="E1" s="1825" t="s">
        <v>1388</v>
      </c>
      <c r="F1" s="1286" t="b">
        <f>J53</f>
        <v>0</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1592</v>
      </c>
      <c r="B2" s="1848" t="e">
        <f ca="1">ROUND(D2/10000,0)</f>
        <v>#DIV/0!</v>
      </c>
      <c r="C2" s="1849" t="s">
        <v>1593</v>
      </c>
      <c r="D2" s="1942" t="e">
        <f ca="1">C40+J29+L46</f>
        <v>#DIV/0!</v>
      </c>
      <c r="E2" s="1850" t="s">
        <v>1594</v>
      </c>
      <c r="F2" s="1851"/>
      <c r="G2" s="1852"/>
      <c r="H2" s="1844"/>
      <c r="I2" s="1844"/>
      <c r="J2" s="1844"/>
      <c r="K2" s="1845"/>
      <c r="L2" s="1844"/>
      <c r="M2" s="1844"/>
    </row>
    <row r="3" spans="1:37" ht="18" customHeight="1" thickBot="1">
      <c r="A3" s="1853" t="s">
        <v>1595</v>
      </c>
      <c r="B3" s="1854">
        <f ca="1">IF(ISERROR(D2/F43),0,ROUND(D2/F43,0))</f>
        <v>0</v>
      </c>
      <c r="C3" s="1849" t="s">
        <v>1596</v>
      </c>
      <c r="D3" s="1849"/>
      <c r="E3" s="1850"/>
      <c r="F3" s="1851"/>
      <c r="G3" s="1852"/>
      <c r="H3" s="744" t="s">
        <v>1590</v>
      </c>
      <c r="I3" s="1844"/>
      <c r="J3" s="1844"/>
      <c r="K3" s="1845"/>
      <c r="L3" s="1844"/>
      <c r="M3" s="1844"/>
    </row>
    <row r="4" spans="1:37" ht="18" customHeight="1">
      <c r="A4" s="340" t="s">
        <v>1597</v>
      </c>
      <c r="B4" s="341" t="s">
        <v>1598</v>
      </c>
      <c r="C4" s="341" t="s">
        <v>1599</v>
      </c>
      <c r="D4" s="341" t="s">
        <v>1600</v>
      </c>
      <c r="E4" s="342" t="s">
        <v>1601</v>
      </c>
      <c r="F4" s="343"/>
      <c r="G4" s="1855"/>
      <c r="H4" s="340" t="s">
        <v>1597</v>
      </c>
      <c r="I4" s="341" t="s">
        <v>1598</v>
      </c>
      <c r="J4" s="341" t="s">
        <v>1599</v>
      </c>
      <c r="K4" s="341" t="s">
        <v>1600</v>
      </c>
      <c r="L4" s="342" t="s">
        <v>1601</v>
      </c>
      <c r="M4" s="343"/>
    </row>
    <row r="5" spans="1:37" ht="18" customHeight="1">
      <c r="A5" s="344">
        <v>1</v>
      </c>
      <c r="B5" s="345" t="s">
        <v>1602</v>
      </c>
      <c r="C5" s="1295">
        <f ca="1">C6+C10+C12</f>
        <v>0</v>
      </c>
      <c r="D5" s="1826" t="s">
        <v>1603</v>
      </c>
      <c r="E5" s="1296"/>
      <c r="F5" s="1297"/>
      <c r="G5" s="1855"/>
      <c r="H5" s="344">
        <v>1</v>
      </c>
      <c r="I5" s="345" t="s">
        <v>1602</v>
      </c>
      <c r="J5" s="1295">
        <f ca="1">J6+J10+J12</f>
        <v>0</v>
      </c>
      <c r="K5" s="1826" t="s">
        <v>1603</v>
      </c>
      <c r="L5" s="1296"/>
      <c r="M5" s="1297"/>
    </row>
    <row r="6" spans="1:37" ht="18" customHeight="1">
      <c r="A6" s="1294" t="s">
        <v>1035</v>
      </c>
      <c r="B6" s="3292" t="s">
        <v>1404</v>
      </c>
      <c r="C6" s="1299">
        <f ca="1">ROUND(F6*F8*F7*(1-F9),0)</f>
        <v>0</v>
      </c>
      <c r="D6" s="164" t="s">
        <v>3024</v>
      </c>
      <c r="E6" s="347" t="s">
        <v>1406</v>
      </c>
      <c r="F6" s="348">
        <f ca="1">INDIRECT("'数据-取费表'!u"&amp;$G$1)</f>
        <v>0</v>
      </c>
      <c r="G6" s="1855"/>
      <c r="H6" s="1294" t="s">
        <v>1035</v>
      </c>
      <c r="I6" s="3292" t="s">
        <v>1404</v>
      </c>
      <c r="J6" s="346">
        <f ca="1">ROUND(M6*M8*M7*(1-M9),0)</f>
        <v>0</v>
      </c>
      <c r="K6" s="1838" t="s">
        <v>3027</v>
      </c>
      <c r="L6" s="347" t="s">
        <v>1406</v>
      </c>
      <c r="M6" s="348">
        <f ca="1">INDIRECT("'数据-取费表'!z"&amp;$G$1)</f>
        <v>0</v>
      </c>
    </row>
    <row r="7" spans="1:37" ht="18" customHeight="1">
      <c r="A7" s="1298"/>
      <c r="B7" s="3293"/>
      <c r="C7" s="1300"/>
      <c r="D7" s="352"/>
      <c r="E7" s="1301" t="s">
        <v>1407</v>
      </c>
      <c r="F7" s="348">
        <f ca="1">IF(INDIRECT("'数据-取费表'!ah"&amp;$G$1)="",INDIRECT("'数据-取费表'!k"&amp;$G$1),INDIRECT("'数据-取费表'!ah"&amp;$G$1))</f>
        <v>0</v>
      </c>
      <c r="G7" s="1855"/>
      <c r="H7" s="349"/>
      <c r="I7" s="3293"/>
      <c r="J7" s="351"/>
      <c r="K7" s="352"/>
      <c r="L7" s="347" t="s">
        <v>1407</v>
      </c>
      <c r="M7" s="348">
        <f ca="1">F7</f>
        <v>0</v>
      </c>
    </row>
    <row r="8" spans="1:37" ht="18" customHeight="1">
      <c r="A8" s="349"/>
      <c r="B8" s="3293"/>
      <c r="C8" s="351"/>
      <c r="D8" s="352"/>
      <c r="E8" s="347" t="s">
        <v>1408</v>
      </c>
      <c r="F8" s="348">
        <f ca="1">INDIRECT("'数据-取费表'!ai"&amp;$G$1)</f>
        <v>0</v>
      </c>
      <c r="G8" s="1855"/>
      <c r="H8" s="349"/>
      <c r="I8" s="3293"/>
      <c r="J8" s="351"/>
      <c r="K8" s="352"/>
      <c r="L8" s="347" t="s">
        <v>1408</v>
      </c>
      <c r="M8" s="348">
        <f ca="1">INDIRECT("'数据-取费表'!ai"&amp;$G$1)</f>
        <v>0</v>
      </c>
    </row>
    <row r="9" spans="1:37" ht="18" customHeight="1">
      <c r="A9" s="349"/>
      <c r="B9" s="3294"/>
      <c r="C9" s="351"/>
      <c r="D9" s="352"/>
      <c r="E9" s="347" t="s">
        <v>1409</v>
      </c>
      <c r="F9" s="357">
        <f ca="1">INDIRECT("'数据-取费表'!w"&amp;$G$1)</f>
        <v>0</v>
      </c>
      <c r="G9" s="1855"/>
      <c r="H9" s="349"/>
      <c r="I9" s="3294"/>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0</v>
      </c>
      <c r="D10" s="1828" t="s">
        <v>3025</v>
      </c>
      <c r="E10" s="358" t="s">
        <v>1412</v>
      </c>
      <c r="F10" s="1369"/>
      <c r="G10" s="1855"/>
      <c r="H10" s="1294" t="s">
        <v>1039</v>
      </c>
      <c r="I10" s="1827" t="s">
        <v>1410</v>
      </c>
      <c r="J10" s="346">
        <f ca="1">ROUND(IF(M10="押一",M6*M8*M7/12*M11,IF(M10="押二",M6*M8*M7/12*2*M11,IF(M10="押三",M6*M8*M7/12*3*M11,J11*M11))),0)</f>
        <v>0</v>
      </c>
      <c r="K10" s="1839" t="s">
        <v>3026</v>
      </c>
      <c r="L10" s="358" t="s">
        <v>1412</v>
      </c>
      <c r="M10" s="1369"/>
    </row>
    <row r="11" spans="1:37" ht="18" customHeight="1">
      <c r="A11" s="353"/>
      <c r="B11" s="1829" t="s">
        <v>1604</v>
      </c>
      <c r="C11" s="1181"/>
      <c r="D11" s="352"/>
      <c r="E11" s="358" t="s">
        <v>1414</v>
      </c>
      <c r="F11" s="359">
        <f ca="1">'数据-取费表'!B39</f>
        <v>1.4999999999999999E-2</v>
      </c>
      <c r="G11" s="1855"/>
      <c r="H11" s="1302"/>
      <c r="I11" s="1829" t="s">
        <v>1605</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7" t="s">
        <v>1419</v>
      </c>
      <c r="C14" s="363">
        <f ca="1">ROUND(INDIRECT("'数据-取费表'!l"&amp;$G$1)*F43+'数据-取费表'!L14*INDIRECT("'数据-取费表'!S"&amp;$G$1),0)</f>
        <v>0</v>
      </c>
      <c r="D14" s="1804" t="s">
        <v>1420</v>
      </c>
      <c r="E14" s="1798"/>
      <c r="F14" s="364"/>
      <c r="G14" s="1855"/>
      <c r="H14" s="1204" t="s">
        <v>1035</v>
      </c>
      <c r="I14" s="347" t="s">
        <v>1421</v>
      </c>
      <c r="J14" s="23">
        <f ca="1">C29</f>
        <v>0</v>
      </c>
      <c r="K14" s="14"/>
      <c r="L14" s="982"/>
      <c r="M14" s="983"/>
    </row>
    <row r="15" spans="1:37" s="1862" customFormat="1" ht="18" customHeight="1" thickBot="1">
      <c r="A15" s="1204" t="s">
        <v>1036</v>
      </c>
      <c r="B15" s="347" t="s">
        <v>1422</v>
      </c>
      <c r="C15" s="23">
        <f ca="1">ROUND(C14*F15,0)</f>
        <v>0</v>
      </c>
      <c r="D15" s="365" t="s">
        <v>1423</v>
      </c>
      <c r="E15" s="365" t="s">
        <v>1424</v>
      </c>
      <c r="F15" s="366">
        <f>'数据-取费表'!B33</f>
        <v>0.04</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f ca="1">ROUND(INDIRECT("'数据-取费表'!l"&amp;$G$1)*F43*F16,0)</f>
        <v>0</v>
      </c>
      <c r="D16" s="347" t="s">
        <v>1423</v>
      </c>
      <c r="E16" s="347" t="s">
        <v>1424</v>
      </c>
      <c r="F16" s="367">
        <f ca="1">IF(INDIRECT("'数据-取费表'!c"&amp;$G$1)="住宅",'数据-取费表'!B34,0)</f>
        <v>0</v>
      </c>
      <c r="G16" s="1855"/>
      <c r="H16" s="1332" t="s">
        <v>1030</v>
      </c>
      <c r="I16" s="1333" t="s">
        <v>1426</v>
      </c>
      <c r="J16" s="355">
        <f ca="1">ROUND(J17+J22+J23+J24,0)</f>
        <v>0</v>
      </c>
      <c r="K16" s="1340" t="s">
        <v>1427</v>
      </c>
      <c r="L16" s="1341"/>
      <c r="M16" s="1297"/>
    </row>
    <row r="17" spans="1:37" s="1862" customFormat="1" ht="18" customHeight="1">
      <c r="A17" s="1204" t="s">
        <v>1391</v>
      </c>
      <c r="B17" s="347" t="s">
        <v>1428</v>
      </c>
      <c r="C17" s="23">
        <f ca="1">ROUND(F17*(F43+INDIRECT("'数据-取费表'!S"&amp;$G$1)),0)</f>
        <v>0</v>
      </c>
      <c r="D17" s="347" t="s">
        <v>1429</v>
      </c>
      <c r="E17" s="347" t="s">
        <v>1430</v>
      </c>
      <c r="F17" s="25">
        <f>'数据-取费表'!B35</f>
        <v>200</v>
      </c>
      <c r="G17" s="1858"/>
      <c r="H17" s="1204" t="s">
        <v>1035</v>
      </c>
      <c r="I17" s="347" t="s">
        <v>1431</v>
      </c>
      <c r="J17" s="23">
        <f ca="1">ROUND(IF(项目基本情况!B11="自然人",J5*M17,J18+J19+J20),0)</f>
        <v>0</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f ca="1">ROUND(C14*F18,0)</f>
        <v>0</v>
      </c>
      <c r="D18" s="347" t="s">
        <v>1423</v>
      </c>
      <c r="E18" s="347" t="s">
        <v>1424</v>
      </c>
      <c r="F18" s="367">
        <f>'数据-取费表'!B36</f>
        <v>1.4999999999999999E-2</v>
      </c>
      <c r="G18" s="1858"/>
      <c r="H18" s="1204" t="s">
        <v>1034</v>
      </c>
      <c r="I18" s="347" t="s">
        <v>1435</v>
      </c>
      <c r="J18" s="23">
        <f ca="1">ROUND(J5*M18/(1+'数据-取费表'!C42),0)</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f ca="1">SUM(C14:C18)</f>
        <v>0</v>
      </c>
      <c r="D19" s="139" t="s">
        <v>1438</v>
      </c>
      <c r="E19" s="1822"/>
      <c r="F19" s="25"/>
      <c r="G19" s="1855"/>
      <c r="H19" s="1204" t="s">
        <v>1036</v>
      </c>
      <c r="I19" s="347" t="s">
        <v>1439</v>
      </c>
      <c r="J19" s="23">
        <f ca="1">IF(K19="按租金收入计税",ROUND(J5*M19,0),ROUND(C29*M19*0.7,0))</f>
        <v>0</v>
      </c>
      <c r="K19" s="1832" t="s">
        <v>1440</v>
      </c>
      <c r="L19" s="347" t="s">
        <v>1424</v>
      </c>
      <c r="M19" s="367">
        <f>IF(K19="按租金收入计税",'数据-取费表'!B51,'数据-取费表'!B50)</f>
        <v>1.2E-2</v>
      </c>
    </row>
    <row r="20" spans="1:37" s="1862" customFormat="1" ht="18" customHeight="1">
      <c r="A20" s="1204" t="s">
        <v>1039</v>
      </c>
      <c r="B20" s="347" t="s">
        <v>1441</v>
      </c>
      <c r="C20" s="23">
        <f ca="1">ROUND(C19*F20,0)</f>
        <v>0</v>
      </c>
      <c r="D20" s="369" t="s">
        <v>1442</v>
      </c>
      <c r="E20" s="347" t="s">
        <v>1424</v>
      </c>
      <c r="F20" s="367">
        <f>'数据-取费表'!B37</f>
        <v>0.02</v>
      </c>
      <c r="G20" s="1858"/>
      <c r="H20" s="1204" t="s">
        <v>1390</v>
      </c>
      <c r="I20" s="164" t="s">
        <v>1443</v>
      </c>
      <c r="J20" s="24">
        <f ca="1">ROUND(M20*M21,0)</f>
        <v>0</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v>
      </c>
      <c r="D21" s="369" t="s">
        <v>1447</v>
      </c>
      <c r="E21" s="347" t="s">
        <v>1448</v>
      </c>
      <c r="F21" s="367">
        <f>'数据-取费表'!B38</f>
        <v>0.02</v>
      </c>
      <c r="G21" s="1858"/>
      <c r="H21" s="372"/>
      <c r="I21" s="356"/>
      <c r="J21" s="28"/>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1822"/>
      <c r="F22" s="25"/>
      <c r="G22" s="1855"/>
      <c r="H22" s="1204" t="s">
        <v>1039</v>
      </c>
      <c r="I22" s="347" t="s">
        <v>1451</v>
      </c>
      <c r="J22" s="23">
        <f ca="1">ROUND(J14*M22,0)</f>
        <v>0</v>
      </c>
      <c r="K22" s="1802" t="s">
        <v>1452</v>
      </c>
      <c r="L22" s="347" t="s">
        <v>1424</v>
      </c>
      <c r="M22" s="374">
        <f ca="1">INDIRECT("'数据-取费表'!Ak"&amp;$G$1)</f>
        <v>0</v>
      </c>
    </row>
    <row r="23" spans="1:37" s="1862" customFormat="1" ht="18" customHeight="1">
      <c r="A23" s="1204"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3">
        <f ca="1">ROUND(J13*M23,0)</f>
        <v>0</v>
      </c>
      <c r="K23" s="1802" t="s">
        <v>1456</v>
      </c>
      <c r="L23" s="347" t="s">
        <v>1457</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7" t="s">
        <v>1463</v>
      </c>
      <c r="C25" s="23"/>
      <c r="D25" s="139" t="s">
        <v>1464</v>
      </c>
      <c r="E25" s="1822"/>
      <c r="F25" s="25"/>
      <c r="G25" s="1855"/>
      <c r="H25" s="1332" t="s">
        <v>1031</v>
      </c>
      <c r="I25" s="1347" t="s">
        <v>1465</v>
      </c>
      <c r="J25" s="355">
        <f ca="1">J5-J16</f>
        <v>0</v>
      </c>
      <c r="K25" s="1348" t="s">
        <v>1466</v>
      </c>
      <c r="L25" s="1349"/>
      <c r="M25" s="1350"/>
    </row>
    <row r="26" spans="1:37" ht="18" customHeight="1">
      <c r="A26" s="1204" t="s">
        <v>1034</v>
      </c>
      <c r="B26" s="347" t="s">
        <v>1467</v>
      </c>
      <c r="C26" s="23">
        <f ca="1">ROUND((C19+C20)*F26,0)</f>
        <v>0</v>
      </c>
      <c r="D26" s="369" t="s">
        <v>1468</v>
      </c>
      <c r="E26" s="358" t="s">
        <v>1469</v>
      </c>
      <c r="F26" s="357">
        <f ca="1">INDIRECT("'数据-取费表'!q"&amp;$G$1)</f>
        <v>0</v>
      </c>
      <c r="G26" s="1855"/>
      <c r="H26" s="344" t="s">
        <v>1032</v>
      </c>
      <c r="I26" s="345" t="s">
        <v>1470</v>
      </c>
      <c r="J26" s="346">
        <f ca="1">IF(J5&lt;&gt;0,ROUND(J25*(1-((1+M28)/(1+M26))^M27)/(M26-M28),0),0)</f>
        <v>0</v>
      </c>
      <c r="K26" s="370" t="s">
        <v>1471</v>
      </c>
      <c r="L26" s="347" t="s">
        <v>1472</v>
      </c>
      <c r="M26" s="357">
        <f ca="1">INDIRECT("'数据-取费表'!I"&amp;$G$1)</f>
        <v>0</v>
      </c>
    </row>
    <row r="27" spans="1:37" ht="18" customHeight="1">
      <c r="A27" s="1204" t="s">
        <v>1036</v>
      </c>
      <c r="B27" s="347" t="s">
        <v>1473</v>
      </c>
      <c r="C27" s="23">
        <f ca="1">ROUND(F21*F26,4)</f>
        <v>0</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0" t="s">
        <v>1033</v>
      </c>
      <c r="I29" s="381" t="s">
        <v>1481</v>
      </c>
      <c r="J29" s="382">
        <f ca="1">ROUND(J26/(1+F40)^F41,0)</f>
        <v>0</v>
      </c>
      <c r="K29" s="383" t="s">
        <v>1482</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0</v>
      </c>
      <c r="D30" s="1340" t="s">
        <v>1427</v>
      </c>
      <c r="E30" s="1341"/>
      <c r="F30" s="1297"/>
      <c r="G30" s="1855"/>
      <c r="H30" s="745"/>
      <c r="I30" s="746"/>
      <c r="J30" s="747"/>
      <c r="K30" s="748"/>
      <c r="L30" s="749"/>
      <c r="M30" s="750"/>
    </row>
    <row r="31" spans="1:37" ht="18" customHeight="1">
      <c r="A31" s="1204" t="s">
        <v>1035</v>
      </c>
      <c r="B31" s="347" t="s">
        <v>1431</v>
      </c>
      <c r="C31" s="23">
        <f ca="1">ROUND(IF(项目基本情况!B11="自然人",C5*F31,C32+C33+C34),0)</f>
        <v>0</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f ca="1">IF(项目基本情况!B11="自然人","——",ROUND(C5*F32/(1+'数据-取费表'!C42),0))</f>
        <v>0</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3">
        <f ca="1">IF(项目基本情况!B11="自然人","——",IF(D33="按租金收入计税",ROUND(C5*F33,0),IF(D33="按房产原值计税",ROUND(C29*F33*0.7,0),INDIRECT("'数据-取费表'!Aj"&amp;$G$1))))</f>
        <v>0</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f ca="1">IF(项目基本情况!B11="自然人","——",ROUND(F34*F35,))</f>
        <v>0</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f ca="1">INDIRECT("'数据-取费表'!r"&amp;$G$1)</f>
        <v>0</v>
      </c>
      <c r="G35" s="1855"/>
      <c r="H35" s="745"/>
      <c r="I35" s="1864"/>
      <c r="J35" s="1865"/>
      <c r="K35" s="1866"/>
      <c r="L35" s="1863"/>
      <c r="M35" s="1863"/>
    </row>
    <row r="36" spans="1:18" ht="18" customHeight="1">
      <c r="A36" s="1355" t="s">
        <v>1039</v>
      </c>
      <c r="B36" s="347" t="s">
        <v>1451</v>
      </c>
      <c r="C36" s="23">
        <f ca="1">ROUND(C29*F36,0)</f>
        <v>0</v>
      </c>
      <c r="D36" s="1802" t="s">
        <v>1484</v>
      </c>
      <c r="E36" s="347" t="s">
        <v>1424</v>
      </c>
      <c r="F36" s="374">
        <f ca="1">INDIRECT("'数据-取费表'!Ak"&amp;$G$1)</f>
        <v>0</v>
      </c>
      <c r="G36" s="1855"/>
      <c r="H36" s="1863"/>
      <c r="I36" s="1864"/>
      <c r="J36" s="1865"/>
      <c r="K36" s="751"/>
      <c r="L36" s="1863"/>
      <c r="M36" s="1863"/>
    </row>
    <row r="37" spans="1:18" ht="18" customHeight="1">
      <c r="A37" s="1204" t="s">
        <v>1075</v>
      </c>
      <c r="B37" s="347" t="s">
        <v>1455</v>
      </c>
      <c r="C37" s="23">
        <f ca="1">ROUND(C13*F37,0)</f>
        <v>0</v>
      </c>
      <c r="D37" s="1802" t="s">
        <v>1456</v>
      </c>
      <c r="E37" s="347" t="s">
        <v>1457</v>
      </c>
      <c r="F37" s="376">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5">
        <f ca="1">C5-C30</f>
        <v>0</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#DIV/0!</v>
      </c>
      <c r="D40" s="370" t="s">
        <v>1471</v>
      </c>
      <c r="E40" s="347" t="s">
        <v>1472</v>
      </c>
      <c r="F40" s="357">
        <f ca="1">INDIRECT("'数据-取费表'!I"&amp;$G$1)</f>
        <v>0</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1606</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5"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8">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1549</v>
      </c>
      <c r="J53" s="1910" t="b">
        <f>IF(M47="住宅",J51,IF(D1="——",MIN(J51,L48),IF(D1="在建（套用方法）",MIN(J51,L48-'数据-取费表'!B24),IF(D1="土地（套用方法）",MIN(J51,L48-'数据-取费表'!B20)))))</f>
        <v>0</v>
      </c>
      <c r="K53" s="3290" t="s">
        <v>1550</v>
      </c>
      <c r="L53" s="3291"/>
      <c r="O53" s="1888" t="s">
        <v>1046</v>
      </c>
      <c r="P53" s="1889" t="s">
        <v>1551</v>
      </c>
      <c r="Q53" s="1890" t="e">
        <f ca="1">Q47+Q48</f>
        <v>#DIV/0!</v>
      </c>
      <c r="R53" s="1890" t="s">
        <v>1047</v>
      </c>
    </row>
    <row r="54" spans="1:18" s="1846" customFormat="1" ht="13.5" thickBot="1">
      <c r="A54" s="1197"/>
      <c r="B54" s="1945" t="s">
        <v>1605</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6">
        <f ca="1">C13</f>
        <v>0</v>
      </c>
      <c r="D56" s="1918"/>
      <c r="E56" s="1919"/>
      <c r="F56" s="1911"/>
      <c r="I56" s="1920" t="s">
        <v>1556</v>
      </c>
      <c r="J56" s="1921"/>
      <c r="K56" s="1891" t="s">
        <v>1557</v>
      </c>
      <c r="L56" s="1894">
        <f ca="1">IF(L48&lt;J51,"——",L48-J51)</f>
        <v>0</v>
      </c>
      <c r="O56" s="1888" t="s">
        <v>1040</v>
      </c>
      <c r="P56" s="1889" t="s">
        <v>1530</v>
      </c>
      <c r="Q56" s="1890" t="e">
        <f ca="1">C40+J29</f>
        <v>#DIV/0!</v>
      </c>
      <c r="R56" s="1890" t="s">
        <v>1531</v>
      </c>
    </row>
    <row r="57" spans="1:18" s="1846" customFormat="1" ht="24.75" thickBot="1">
      <c r="A57" s="1922"/>
      <c r="B57" s="1172" t="s">
        <v>1480</v>
      </c>
      <c r="C57" s="282">
        <f ca="1">C29</f>
        <v>0</v>
      </c>
      <c r="D57" s="1923"/>
      <c r="E57" s="1924"/>
      <c r="F57" s="1925"/>
      <c r="I57" s="1926" t="s">
        <v>1558</v>
      </c>
      <c r="J57" s="1927">
        <f ca="1">IF(OR(M47="住宅",J51&lt;L48,J56="是"),"——",J51-L48)</f>
        <v>0</v>
      </c>
      <c r="K57" s="1891" t="s">
        <v>1607</v>
      </c>
      <c r="L57" s="1894">
        <f ca="1">IF(L48&lt;J51,"——",IF(L55="比较法",L49,IF(L55="基准地价",L50,L51)))</f>
        <v>0</v>
      </c>
      <c r="O57" s="1888" t="s">
        <v>1041</v>
      </c>
      <c r="P57" s="1889" t="s">
        <v>1608</v>
      </c>
      <c r="Q57" s="1890" t="e">
        <f ca="1">L60</f>
        <v>#DIV/0!</v>
      </c>
      <c r="R57" s="1890" t="s">
        <v>1609</v>
      </c>
    </row>
    <row r="58" spans="1:18" s="1846" customFormat="1" ht="24.75" thickBot="1">
      <c r="A58" s="360" t="s">
        <v>1030</v>
      </c>
      <c r="B58" s="1180" t="s">
        <v>1426</v>
      </c>
      <c r="C58" s="361">
        <f ca="1">ROUND(C59+C64+C65+C66,0)</f>
        <v>0</v>
      </c>
      <c r="D58" s="1182" t="s">
        <v>1427</v>
      </c>
      <c r="E58" s="1183"/>
      <c r="F58" s="1184"/>
      <c r="I58" s="1926" t="s">
        <v>1562</v>
      </c>
      <c r="J58" s="1928" t="e">
        <f ca="1">IF(J55&lt;0.4,0.4,J55)</f>
        <v>#DIV/0!</v>
      </c>
      <c r="K58" s="1904" t="s">
        <v>1610</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3">
        <f ca="1">ROUND(IF(项目基本情况!B11="自然人",C48*F59,C60+C61+C62),0)</f>
        <v>0</v>
      </c>
      <c r="D59" s="1185" t="s">
        <v>1432</v>
      </c>
      <c r="E59" s="1186" t="s">
        <v>1433</v>
      </c>
      <c r="F59" s="368" t="str">
        <f ca="1">IF(项目基本情况!B11="企业","",IF(INDIRECT("'数据-取费表'!c"&amp;$G$1)="住宅",5%,IF(F49*F50*F51/12/(1+'数据-取费表'!C42)&gt;20000,12%,7%)))</f>
        <v/>
      </c>
      <c r="I59" s="1926" t="s">
        <v>1565</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3">
        <f ca="1">IF(项目基本情况!B11="自然人","——",ROUND(C48*F60/(1+'数据-取费表'!C42),0))</f>
        <v>0</v>
      </c>
      <c r="D60" s="1186" t="s">
        <v>1436</v>
      </c>
      <c r="E60" s="1172" t="s">
        <v>1424</v>
      </c>
      <c r="F60" s="377">
        <f t="shared" ref="F60:F66" si="0">F32</f>
        <v>5.6000000000000001E-2</v>
      </c>
      <c r="I60" s="1929" t="s">
        <v>1567</v>
      </c>
      <c r="J60" s="1930" t="e">
        <f ca="1">IF(OR(M47="住宅",J51&lt;L48,J56="是"),"0",ROUND(J59/(1+J52)^J53,0))</f>
        <v>#DIV/0!</v>
      </c>
      <c r="K60" s="1931" t="s">
        <v>1568</v>
      </c>
      <c r="L60" s="1930" t="e">
        <f ca="1">IF(OR(M47="住宅",L48&lt;J51),0,ROUND(L57*(L58/L59-1),0))</f>
        <v>#DIV/0!</v>
      </c>
      <c r="O60" s="1898" t="s">
        <v>1044</v>
      </c>
      <c r="P60" s="1889" t="s">
        <v>1569</v>
      </c>
      <c r="Q60" s="1890" t="e">
        <f ca="1">L58</f>
        <v>#DIV/0!</v>
      </c>
      <c r="R60" s="1890" t="s">
        <v>1570</v>
      </c>
    </row>
    <row r="61" spans="1:18" s="1846" customFormat="1" ht="13.5" thickBot="1">
      <c r="A61" s="1204" t="s">
        <v>1494</v>
      </c>
      <c r="B61" s="1172" t="s">
        <v>1495</v>
      </c>
      <c r="C61" s="23">
        <f ca="1">IF(项目基本情况!B11="自然人","——",IF(D61="按租金收入计税",ROUND(C48*F61,0),IF(D61="按房产原值计税",ROUND(C57*F61*0.7,0),INDIRECT("'数据-取费表'!Aj"&amp;$G$1))))</f>
        <v>0</v>
      </c>
      <c r="D61" s="1832" t="s">
        <v>1440</v>
      </c>
      <c r="E61" s="1172" t="s">
        <v>1496</v>
      </c>
      <c r="F61" s="367">
        <f t="shared" si="0"/>
        <v>1.2E-2</v>
      </c>
      <c r="I61" s="1932"/>
      <c r="J61" s="1932"/>
      <c r="K61" s="1932"/>
      <c r="L61" s="1932"/>
      <c r="O61" s="1898" t="s">
        <v>1045</v>
      </c>
      <c r="P61" s="1889" t="str">
        <f>K59</f>
        <v>建设期及建筑物耐用年限下的土地年期修正系数Kn</v>
      </c>
      <c r="Q61" s="1890" t="e">
        <f ca="1">L59</f>
        <v>#DIV/0!</v>
      </c>
      <c r="R61" s="1890" t="s">
        <v>1571</v>
      </c>
    </row>
    <row r="62" spans="1:18" s="1846" customFormat="1" ht="13.5" thickBot="1">
      <c r="A62" s="1204" t="s">
        <v>1497</v>
      </c>
      <c r="B62" s="1171" t="s">
        <v>1498</v>
      </c>
      <c r="C62" s="24">
        <f ca="1">IF(项目基本情况!B11="自然人","——",ROUND(F62*F63,0))</f>
        <v>0</v>
      </c>
      <c r="D62" s="1187" t="s">
        <v>1499</v>
      </c>
      <c r="E62" s="1172" t="s">
        <v>1500</v>
      </c>
      <c r="F62" s="371">
        <f t="shared" si="0"/>
        <v>18</v>
      </c>
      <c r="I62" s="1933" t="s">
        <v>1572</v>
      </c>
      <c r="J62" s="1934" t="s">
        <v>1573</v>
      </c>
      <c r="K62" s="1934" t="s">
        <v>1574</v>
      </c>
      <c r="L62" s="1934" t="s">
        <v>1575</v>
      </c>
      <c r="M62" s="1935" t="s">
        <v>1576</v>
      </c>
      <c r="O62" s="1888" t="s">
        <v>1046</v>
      </c>
      <c r="P62" s="1889" t="s">
        <v>1577</v>
      </c>
      <c r="Q62" s="1890" t="e">
        <f ca="1">Q56+Q57</f>
        <v>#DIV/0!</v>
      </c>
      <c r="R62" s="1890" t="s">
        <v>1047</v>
      </c>
    </row>
    <row r="63" spans="1:18" s="1846" customFormat="1" ht="13.5" thickBot="1">
      <c r="A63" s="372"/>
      <c r="B63" s="1178"/>
      <c r="C63" s="28"/>
      <c r="D63" s="1188"/>
      <c r="E63" s="1172" t="s">
        <v>1501</v>
      </c>
      <c r="F63" s="348">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3">
        <f ca="1">ROUND(C57*F64,0)</f>
        <v>0</v>
      </c>
      <c r="D64" s="1186" t="s">
        <v>1504</v>
      </c>
      <c r="E64" s="1172" t="s">
        <v>1496</v>
      </c>
      <c r="F64" s="374">
        <f t="shared" ca="1" si="0"/>
        <v>0</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f ca="1">ROUND(C56*F65,0)</f>
        <v>0</v>
      </c>
      <c r="D65" s="1186" t="s">
        <v>1456</v>
      </c>
      <c r="E65" s="1172" t="s">
        <v>1457</v>
      </c>
      <c r="F65" s="376">
        <f t="shared" ca="1" si="0"/>
        <v>0</v>
      </c>
      <c r="I65" s="1933" t="s">
        <v>1581</v>
      </c>
      <c r="J65" s="1934">
        <v>40</v>
      </c>
      <c r="K65" s="1934">
        <v>30</v>
      </c>
      <c r="L65" s="1934">
        <v>50</v>
      </c>
      <c r="M65" s="1936">
        <v>0.02</v>
      </c>
      <c r="O65" s="1888" t="s">
        <v>1040</v>
      </c>
      <c r="P65" s="1889" t="s">
        <v>1582</v>
      </c>
      <c r="Q65" s="1890" t="e">
        <f ca="1">C40+J29</f>
        <v>#DIV/0!</v>
      </c>
      <c r="R65" s="1890" t="s">
        <v>1531</v>
      </c>
    </row>
    <row r="66" spans="1:18" s="1846" customFormat="1" ht="16.5" thickBot="1">
      <c r="A66" s="1204" t="s">
        <v>1506</v>
      </c>
      <c r="B66" s="1172" t="s">
        <v>1441</v>
      </c>
      <c r="C66" s="23">
        <f ca="1">ROUND(C48*F66,0)</f>
        <v>0</v>
      </c>
      <c r="D66" s="1186" t="s">
        <v>1507</v>
      </c>
      <c r="E66" s="1172" t="s">
        <v>1424</v>
      </c>
      <c r="F66" s="357">
        <f t="shared" ca="1" si="0"/>
        <v>0</v>
      </c>
      <c r="O66" s="1888" t="s">
        <v>1041</v>
      </c>
      <c r="P66" s="1889" t="s">
        <v>1560</v>
      </c>
      <c r="Q66" s="1890" t="e">
        <f ca="1">L60</f>
        <v>#DIV/0!</v>
      </c>
      <c r="R66" s="1890" t="s">
        <v>1583</v>
      </c>
    </row>
    <row r="67" spans="1:18" s="1846" customFormat="1" ht="16.5" thickBot="1">
      <c r="A67" s="1179" t="s">
        <v>1031</v>
      </c>
      <c r="B67" s="1189" t="s">
        <v>1465</v>
      </c>
      <c r="C67" s="361">
        <f ca="1">C48-C58</f>
        <v>0</v>
      </c>
      <c r="D67" s="1185" t="s">
        <v>1466</v>
      </c>
      <c r="E67" s="1190"/>
      <c r="F67" s="1191"/>
      <c r="O67" s="1898" t="s">
        <v>1042</v>
      </c>
      <c r="P67" s="1889" t="s">
        <v>1564</v>
      </c>
      <c r="Q67" s="1937">
        <f ca="1">L51</f>
        <v>0</v>
      </c>
      <c r="R67" s="1890" t="s">
        <v>1584</v>
      </c>
    </row>
    <row r="68" spans="1:18" s="1846" customFormat="1" ht="16.5" thickBot="1">
      <c r="A68" s="1169" t="s">
        <v>1032</v>
      </c>
      <c r="B68" s="1170" t="s">
        <v>1487</v>
      </c>
      <c r="C68" s="346" t="e">
        <f ca="1">ROUND(C67*(1-((1+F70)/(1+F68))^F69)/(F68-F70),0)</f>
        <v>#DIV/0!</v>
      </c>
      <c r="D68" s="1187" t="s">
        <v>1471</v>
      </c>
      <c r="E68" s="1172" t="s">
        <v>1472</v>
      </c>
      <c r="F68" s="357">
        <f ca="1">F40</f>
        <v>0</v>
      </c>
      <c r="O68" s="1898" t="s">
        <v>1043</v>
      </c>
      <c r="P68" s="1938" t="s">
        <v>1585</v>
      </c>
      <c r="Q68" s="1890">
        <f ca="1">ROUND(Q69-Q70*Q71,0)</f>
        <v>0</v>
      </c>
      <c r="R68" s="1890" t="s">
        <v>1051</v>
      </c>
    </row>
    <row r="69" spans="1:18" s="1846" customFormat="1" ht="13.5" thickBot="1">
      <c r="A69" s="1173"/>
      <c r="B69" s="1174"/>
      <c r="C69" s="351"/>
      <c r="D69" s="1192" t="s">
        <v>1475</v>
      </c>
      <c r="E69" s="1172" t="s">
        <v>1476</v>
      </c>
      <c r="F69" s="379">
        <f ca="1">F41</f>
        <v>0</v>
      </c>
      <c r="O69" s="1898" t="s">
        <v>1048</v>
      </c>
      <c r="P69" s="1938" t="s">
        <v>1586</v>
      </c>
      <c r="Q69" s="1890">
        <f ca="1">C39</f>
        <v>0</v>
      </c>
      <c r="R69" s="1890" t="s">
        <v>1531</v>
      </c>
    </row>
    <row r="70" spans="1:18" s="1846" customFormat="1" ht="13.5" thickBot="1">
      <c r="A70" s="1176"/>
      <c r="B70" s="1177"/>
      <c r="C70" s="355"/>
      <c r="D70" s="1188"/>
      <c r="E70" s="1172" t="s">
        <v>1479</v>
      </c>
      <c r="F70" s="1278">
        <f ca="1">F42</f>
        <v>0</v>
      </c>
      <c r="O70" s="1898" t="s">
        <v>1049</v>
      </c>
      <c r="P70" s="1938" t="s">
        <v>1587</v>
      </c>
      <c r="Q70" s="1890">
        <f ca="1">C13</f>
        <v>0</v>
      </c>
      <c r="R70" s="1890" t="s">
        <v>1531</v>
      </c>
    </row>
    <row r="71" spans="1:18" s="1846" customFormat="1" ht="13.5" thickBot="1">
      <c r="A71" s="1193" t="s">
        <v>1033</v>
      </c>
      <c r="B71" s="1194" t="s">
        <v>1489</v>
      </c>
      <c r="C71" s="382" t="e">
        <f ca="1">ROUND(C68/F71,0)</f>
        <v>#DIV/0!</v>
      </c>
      <c r="D71" s="1195" t="s">
        <v>1490</v>
      </c>
      <c r="E71" s="1196" t="s">
        <v>1491</v>
      </c>
      <c r="F71" s="385">
        <f ca="1">F43</f>
        <v>0</v>
      </c>
      <c r="O71" s="1898" t="s">
        <v>1050</v>
      </c>
      <c r="P71" s="1938" t="s">
        <v>1588</v>
      </c>
      <c r="Q71" s="1901">
        <f ca="1">C76</f>
        <v>0</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7" t="s">
        <v>1589</v>
      </c>
      <c r="C74" s="1940"/>
      <c r="D74" s="1846"/>
      <c r="E74" s="1846"/>
      <c r="F74" s="1846"/>
      <c r="O74" s="1898" t="s">
        <v>1052</v>
      </c>
      <c r="P74" s="1889" t="str">
        <f>K59</f>
        <v>建设期及建筑物耐用年限下的土地年期修正系数Kn</v>
      </c>
      <c r="Q74" s="1890" t="e">
        <f ca="1">L59</f>
        <v>#DIV/0!</v>
      </c>
      <c r="R74" s="1890" t="s">
        <v>1571</v>
      </c>
    </row>
    <row r="75" spans="1:18" ht="13.5" thickBot="1">
      <c r="A75" s="1846"/>
      <c r="B75" s="386" t="s">
        <v>1508</v>
      </c>
      <c r="C75" s="387">
        <f ca="1">ROUND(C13*C76,0)</f>
        <v>0</v>
      </c>
      <c r="D75" s="1846"/>
      <c r="E75" s="1846"/>
      <c r="F75" s="1846"/>
      <c r="K75" s="1872"/>
      <c r="L75" s="1846"/>
      <c r="O75" s="1888" t="s">
        <v>1046</v>
      </c>
      <c r="P75" s="1889" t="s">
        <v>1551</v>
      </c>
      <c r="Q75" s="1890" t="e">
        <f ca="1">Q65+Q66</f>
        <v>#DIV/0!</v>
      </c>
      <c r="R75" s="1890" t="s">
        <v>1047</v>
      </c>
    </row>
    <row r="76" spans="1:18">
      <c r="B76" s="388" t="s">
        <v>1509</v>
      </c>
      <c r="C76" s="389">
        <f ca="1">INDIRECT("'数据-取费表'!j"&amp;$G$1)</f>
        <v>0</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D29" sqref="D29"/>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2801</v>
      </c>
      <c r="B1" s="241"/>
      <c r="C1" s="245" t="s">
        <v>2802</v>
      </c>
      <c r="D1" s="388">
        <f>SUM(D29:D30,D33:D39)</f>
        <v>25430.709999999995</v>
      </c>
      <c r="E1" s="2719"/>
      <c r="F1" s="2719"/>
      <c r="G1" s="2719"/>
      <c r="H1" s="2719"/>
      <c r="I1" s="2719"/>
      <c r="J1" s="2719"/>
      <c r="K1" s="1373"/>
      <c r="L1" s="2720" t="s">
        <v>2803</v>
      </c>
      <c r="M1" s="1083">
        <f>SUMPRODUCT((区片价!B5:B9=I2)*(区片价!C3:F3=E2)*(区片价!C5:F9))</f>
        <v>0</v>
      </c>
      <c r="N1" s="1086">
        <f>SUMPRODUCT((因素修正幅度!B5:B9=I2)*(因素修正幅度!C3:F3=E2)*(因素修正幅度!C5:F9))</f>
        <v>0</v>
      </c>
      <c r="O1" s="2721"/>
      <c r="P1" s="2721"/>
      <c r="Q1" s="1373"/>
      <c r="R1" s="1606" t="s">
        <v>2804</v>
      </c>
      <c r="S1" s="1606" t="s">
        <v>2805</v>
      </c>
      <c r="T1" s="1606" t="s">
        <v>2806</v>
      </c>
      <c r="U1" s="1606" t="s">
        <v>2807</v>
      </c>
      <c r="V1" s="1606" t="s">
        <v>2808</v>
      </c>
      <c r="W1" s="1610"/>
      <c r="X1" s="1610"/>
      <c r="Y1" s="1610"/>
      <c r="Z1" s="1610"/>
      <c r="AA1" s="1610"/>
      <c r="AB1" s="1610"/>
      <c r="AC1" s="1611"/>
      <c r="AD1" s="1612"/>
      <c r="AE1" s="1612"/>
      <c r="AF1" s="1612"/>
      <c r="AG1" s="1612"/>
      <c r="AH1" s="1612"/>
      <c r="AI1" s="1612"/>
      <c r="AJ1" s="1613"/>
    </row>
    <row r="2" spans="1:36" ht="15.75">
      <c r="A2" s="245" t="s">
        <v>2809</v>
      </c>
      <c r="B2" s="248">
        <f ca="1">C26</f>
        <v>45831</v>
      </c>
      <c r="C2" s="2723" t="s">
        <v>2810</v>
      </c>
      <c r="D2" s="2724" t="s">
        <v>2811</v>
      </c>
      <c r="E2" s="2725" t="s">
        <v>6</v>
      </c>
      <c r="F2" s="2724" t="s">
        <v>2812</v>
      </c>
      <c r="G2" s="2726" t="str">
        <f>IF(E2="商业",项目基本情况!B37,IF(E2="办公",项目基本情况!C37,IF(E2="住宅",项目基本情况!D37,项目基本情况!E37)))</f>
        <v>二级</v>
      </c>
      <c r="H2" s="2724" t="s">
        <v>2813</v>
      </c>
      <c r="I2" s="2726" t="str">
        <f>IF(E2="商业",项目基本情况!B38,IF(E2="办公",项目基本情况!C38,IF(E2="住宅",项目基本情况!D38,项目基本情况!E38)))</f>
        <v>Ⅱ—06</v>
      </c>
      <c r="J2" s="2727"/>
      <c r="K2" s="1373"/>
      <c r="L2" s="2728" t="s">
        <v>2814</v>
      </c>
      <c r="M2" s="1084">
        <f>SUMPRODUCT((区片价!B10:B28=I2)*(区片价!C3:F3=E2)*(区片价!C10:F28))</f>
        <v>9480</v>
      </c>
      <c r="N2" s="1086">
        <f>SUMPRODUCT((因素修正幅度!B10:B28=I2)*(因素修正幅度!C3:F3=E2)*(因素修正幅度!C10:F28))</f>
        <v>0.1</v>
      </c>
      <c r="O2" s="1373"/>
      <c r="P2" s="1373"/>
      <c r="Q2" s="1373"/>
      <c r="R2" s="1606">
        <v>1</v>
      </c>
      <c r="S2" s="1606">
        <f>ROUND(IF(G3&gt;1,IF(R2&lt;7,SUMPRODUCT((B93:B98=R2)*(C92:N92=G2)*(C93:N98)),SUMIF(C92:N92,G2,C100:N100)),IF(R2&lt;7,SUMPRODUCT((B102:B107=R2)*(C92:N92=G2)*(C102:N107)),SUMIF(C92:N92,G2,C109:N109))),4)</f>
        <v>2.8898999999999999</v>
      </c>
      <c r="T2" s="1606">
        <f ca="1">ROUND($C$5*$C$18*$C$19*$C$20*S2*$C$24,0)</f>
        <v>30177</v>
      </c>
      <c r="U2" s="1607"/>
      <c r="V2" s="1606">
        <f ca="1">ROUND(T2*U2/10000,0)</f>
        <v>0</v>
      </c>
      <c r="W2" s="1610"/>
      <c r="X2" s="1610"/>
      <c r="Y2" s="1610"/>
      <c r="Z2" s="1610"/>
      <c r="AA2" s="1610"/>
      <c r="AB2" s="1610"/>
      <c r="AC2" s="1611"/>
      <c r="AD2" s="1612"/>
      <c r="AE2" s="1612"/>
      <c r="AF2" s="1612"/>
      <c r="AG2" s="1612"/>
      <c r="AH2" s="1612"/>
      <c r="AI2" s="1612"/>
      <c r="AJ2" s="1613"/>
    </row>
    <row r="3" spans="1:36" ht="15.75">
      <c r="A3" s="247" t="s">
        <v>2815</v>
      </c>
      <c r="B3" s="248">
        <f ca="1">ROUND(B2*10000/D1,0)</f>
        <v>18022</v>
      </c>
      <c r="C3" s="2723" t="s">
        <v>2816</v>
      </c>
      <c r="D3" s="2724" t="s">
        <v>2817</v>
      </c>
      <c r="E3" s="2729" t="s">
        <v>3334</v>
      </c>
      <c r="F3" s="2730" t="s">
        <v>3335</v>
      </c>
      <c r="G3" s="916">
        <f>IF(F3="宗地容积率",'数据-汇总表'!I4,IF(F3="估价对象容积率",'数据-汇总表'!I6,'数据-汇总表'!I7))</f>
        <v>0.67</v>
      </c>
      <c r="H3" s="198" t="s">
        <v>2818</v>
      </c>
      <c r="I3" s="947"/>
      <c r="J3" s="2727" t="s">
        <v>2819</v>
      </c>
      <c r="K3" s="1373"/>
      <c r="L3" s="2728" t="s">
        <v>2820</v>
      </c>
      <c r="M3" s="1084">
        <f>SUMPRODUCT((区片价!B29:B48=I2)*(区片价!C3:F3=E2)*(区片价!C29:F48))</f>
        <v>0</v>
      </c>
      <c r="N3" s="1086">
        <f>SUMPRODUCT((因素修正幅度!B29:B48=I2)*(因素修正幅度!C3:F3=E2)*(因素修正幅度!C29:F48))</f>
        <v>0</v>
      </c>
      <c r="O3" s="1373"/>
      <c r="P3" s="1373"/>
      <c r="Q3" s="1373"/>
      <c r="R3" s="1606">
        <v>2</v>
      </c>
      <c r="S3" s="1606">
        <f>ROUND(IF(G3&gt;1,IF(R3&lt;7,SUMPRODUCT((B93:B98=R3)*(C92:N92=G2)*(C93:N98)),SUMIF(C92:N92,G2,C100:N100)),IF(R3&lt;7,SUMPRODUCT((B102:B107=R3)*(C92:N92=G2)*(C102:N107)),SUMIF(C92:N92,G2,C109:N109))),4)</f>
        <v>2.1191</v>
      </c>
      <c r="T3" s="1606">
        <f t="shared" ref="T3:T16" ca="1" si="0">ROUND($C$5*$C$18*$C$19*$C$20*S3*$C$24,0)</f>
        <v>22128</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301"/>
      <c r="B4" s="3302"/>
      <c r="C4" s="3302"/>
      <c r="D4" s="3303"/>
      <c r="E4" s="3303"/>
      <c r="F4" s="3303"/>
      <c r="G4" s="3303"/>
      <c r="H4" s="3303"/>
      <c r="I4" s="3303"/>
      <c r="J4" s="3304"/>
      <c r="K4" s="1373"/>
      <c r="L4" s="2728" t="s">
        <v>2821</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1.7303999999999999</v>
      </c>
      <c r="T4" s="1606">
        <f t="shared" ca="1" si="0"/>
        <v>18069</v>
      </c>
      <c r="U4" s="1607"/>
      <c r="V4" s="1606">
        <f t="shared" ca="1" si="1"/>
        <v>0</v>
      </c>
      <c r="W4" s="1610"/>
      <c r="X4" s="1610"/>
      <c r="Y4" s="1610"/>
      <c r="Z4" s="1610"/>
      <c r="AA4" s="1610"/>
      <c r="AB4" s="1610"/>
      <c r="AC4" s="1611"/>
      <c r="AD4" s="1612"/>
      <c r="AE4" s="1612"/>
      <c r="AF4" s="1612"/>
      <c r="AG4" s="1612"/>
      <c r="AH4" s="1612"/>
      <c r="AI4" s="1612"/>
      <c r="AJ4" s="1613"/>
    </row>
    <row r="5" spans="1:36" s="2740" customFormat="1" ht="15.75" thickBot="1">
      <c r="A5" s="2731" t="s">
        <v>807</v>
      </c>
      <c r="B5" s="2732" t="s">
        <v>2822</v>
      </c>
      <c r="C5" s="917">
        <f>ROUND(IF(E2="商业",IF(F16="增加",C6*C7+C16,C6*C7-C16),IF(E2="住宅",IF(F16="增加",C6*C12+C16,C6*C12-C16),IF(F16="增加",C6+C16,C6-C16))),0)</f>
        <v>9407</v>
      </c>
      <c r="D5" s="1791">
        <f>ROUND(IF(E2="商业",IF(F16="增加",C6+C16,C6-C16)),0)</f>
        <v>0</v>
      </c>
      <c r="E5" s="2733"/>
      <c r="F5" s="2733"/>
      <c r="G5" s="2734"/>
      <c r="H5" s="2734"/>
      <c r="I5" s="2734"/>
      <c r="J5" s="2735"/>
      <c r="K5" s="2736"/>
      <c r="L5" s="2728" t="s">
        <v>2823</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1.4360999999999999</v>
      </c>
      <c r="T5" s="1606">
        <f t="shared" ca="1" si="0"/>
        <v>14996</v>
      </c>
      <c r="U5" s="1607"/>
      <c r="V5" s="1606">
        <f t="shared" ca="1" si="1"/>
        <v>0</v>
      </c>
      <c r="W5" s="1610"/>
      <c r="X5" s="1610"/>
      <c r="Y5" s="1610"/>
      <c r="Z5" s="1610"/>
      <c r="AA5" s="1610"/>
      <c r="AB5" s="1610"/>
      <c r="AC5" s="2737"/>
      <c r="AD5" s="2738"/>
      <c r="AE5" s="2738"/>
      <c r="AF5" s="2738"/>
      <c r="AG5" s="2738"/>
      <c r="AH5" s="2738"/>
      <c r="AI5" s="2738"/>
      <c r="AJ5" s="2739"/>
    </row>
    <row r="6" spans="1:36" ht="15.75" thickBot="1">
      <c r="A6" s="2741" t="s">
        <v>2824</v>
      </c>
      <c r="B6" s="2742" t="s">
        <v>2825</v>
      </c>
      <c r="C6" s="918">
        <f>SUMIF(L1:L12,G2,M1:M12)</f>
        <v>9480</v>
      </c>
      <c r="D6" s="2743" t="s">
        <v>2826</v>
      </c>
      <c r="E6" s="2744"/>
      <c r="F6" s="2744"/>
      <c r="G6" s="2745"/>
      <c r="H6" s="2745"/>
      <c r="I6" s="2745"/>
      <c r="J6" s="2746"/>
      <c r="K6" s="1846"/>
      <c r="L6" s="2728" t="s">
        <v>2827</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1.2563</v>
      </c>
      <c r="T6" s="1606">
        <f t="shared" ca="1" si="0"/>
        <v>13118</v>
      </c>
      <c r="U6" s="1607"/>
      <c r="V6" s="1606">
        <f t="shared" ca="1" si="1"/>
        <v>0</v>
      </c>
      <c r="W6" s="1610"/>
      <c r="X6" s="1610"/>
      <c r="Y6" s="1610"/>
      <c r="Z6" s="1610"/>
      <c r="AA6" s="1610"/>
      <c r="AB6" s="1610"/>
      <c r="AC6" s="2737"/>
      <c r="AD6" s="2738"/>
      <c r="AE6" s="2738"/>
      <c r="AF6" s="2738"/>
      <c r="AG6" s="2738"/>
      <c r="AH6" s="2738"/>
      <c r="AI6" s="2738"/>
      <c r="AJ6" s="2739"/>
    </row>
    <row r="7" spans="1:36" ht="24">
      <c r="A7" s="3305" t="str">
        <f>IF(E2="商业",IF(C8="不临58条商业街","",2),"")</f>
        <v/>
      </c>
      <c r="B7" s="2747" t="s">
        <v>2828</v>
      </c>
      <c r="C7" s="919" t="e">
        <f>IF(C8="不临58条商业街",1,ROUND(1+(1.6*E8+1.2*E9+0.8*E10+0.4*E11)*C9,4))</f>
        <v>#DIV/0!</v>
      </c>
      <c r="D7" s="2748" t="s">
        <v>2829</v>
      </c>
      <c r="E7" s="948"/>
      <c r="F7" s="2749"/>
      <c r="G7" s="2750"/>
      <c r="H7" s="2750"/>
      <c r="I7" s="2750"/>
      <c r="J7" s="2751"/>
      <c r="K7" s="1846"/>
      <c r="L7" s="2728" t="s">
        <v>2830</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1.1355</v>
      </c>
      <c r="T7" s="1606">
        <f t="shared" ca="1" si="0"/>
        <v>11857</v>
      </c>
      <c r="U7" s="1607"/>
      <c r="V7" s="1606">
        <f t="shared" ca="1" si="1"/>
        <v>0</v>
      </c>
      <c r="W7" s="1820" t="s">
        <v>2831</v>
      </c>
      <c r="X7" s="1608" t="str">
        <f>G2</f>
        <v>二级</v>
      </c>
      <c r="Y7" s="1608" t="s">
        <v>2832</v>
      </c>
      <c r="Z7" s="1609">
        <f>G3</f>
        <v>0.67</v>
      </c>
      <c r="AA7" s="1610"/>
      <c r="AB7" s="1610"/>
      <c r="AC7" s="1611"/>
      <c r="AD7" s="1612"/>
      <c r="AE7" s="1612"/>
      <c r="AF7" s="1612"/>
      <c r="AG7" s="1612"/>
      <c r="AH7" s="1612"/>
      <c r="AI7" s="1612"/>
      <c r="AJ7" s="1613"/>
    </row>
    <row r="8" spans="1:36" ht="15">
      <c r="A8" s="3306"/>
      <c r="B8" s="198" t="s">
        <v>2833</v>
      </c>
      <c r="C8" s="2752"/>
      <c r="D8" s="920" t="s">
        <v>139</v>
      </c>
      <c r="E8" s="921" t="e">
        <f>ROUND(C11/E7,4)</f>
        <v>#DIV/0!</v>
      </c>
      <c r="F8" s="2753" t="s">
        <v>2834</v>
      </c>
      <c r="G8" s="2754"/>
      <c r="H8" s="2754"/>
      <c r="I8" s="2754"/>
      <c r="J8" s="2755"/>
      <c r="K8" s="1373"/>
      <c r="L8" s="2728" t="s">
        <v>2835</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298" t="s">
        <v>2836</v>
      </c>
      <c r="X8" s="3299"/>
      <c r="Y8" s="1614" t="s">
        <v>2837</v>
      </c>
      <c r="Z8" s="1614" t="s">
        <v>2838</v>
      </c>
      <c r="AA8" s="1614" t="s">
        <v>2839</v>
      </c>
      <c r="AB8" s="1614" t="s">
        <v>2840</v>
      </c>
      <c r="AC8" s="1614" t="s">
        <v>2841</v>
      </c>
      <c r="AD8" s="1614" t="s">
        <v>2842</v>
      </c>
      <c r="AE8" s="1614" t="s">
        <v>2843</v>
      </c>
      <c r="AF8" s="1614" t="s">
        <v>2844</v>
      </c>
      <c r="AG8" s="1614" t="s">
        <v>2845</v>
      </c>
      <c r="AH8" s="1614" t="s">
        <v>2846</v>
      </c>
      <c r="AI8" s="1614" t="s">
        <v>2847</v>
      </c>
      <c r="AJ8" s="1614" t="s">
        <v>2848</v>
      </c>
    </row>
    <row r="9" spans="1:36" ht="15">
      <c r="A9" s="3306"/>
      <c r="B9" s="198" t="s">
        <v>2849</v>
      </c>
      <c r="C9" s="922">
        <f>SUMIF(修正!C59:C119,C8,修正!E59:E119)</f>
        <v>0</v>
      </c>
      <c r="D9" s="200" t="s">
        <v>140</v>
      </c>
      <c r="E9" s="200" t="e">
        <f>ROUND(C11/E7,4)</f>
        <v>#DIV/0!</v>
      </c>
      <c r="F9" s="2753" t="s">
        <v>2850</v>
      </c>
      <c r="G9" s="2754"/>
      <c r="H9" s="2754"/>
      <c r="I9" s="2754"/>
      <c r="J9" s="2755"/>
      <c r="K9" s="1373"/>
      <c r="L9" s="2728" t="s">
        <v>2851</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300" t="s">
        <v>2852</v>
      </c>
      <c r="X9" s="1615" t="s">
        <v>2853</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306"/>
      <c r="B10" s="198" t="s">
        <v>2854</v>
      </c>
      <c r="C10" s="200">
        <f>SUMIF(修正!C59:C119,C8,修正!F59:F119)</f>
        <v>0</v>
      </c>
      <c r="D10" s="200" t="s">
        <v>141</v>
      </c>
      <c r="E10" s="200" t="e">
        <f>ROUND(C11/E7,4)</f>
        <v>#DIV/0!</v>
      </c>
      <c r="F10" s="2753" t="s">
        <v>2855</v>
      </c>
      <c r="G10" s="2754"/>
      <c r="H10" s="2754"/>
      <c r="I10" s="2754"/>
      <c r="J10" s="2755"/>
      <c r="K10" s="1373"/>
      <c r="L10" s="2728" t="s">
        <v>2856</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300"/>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306"/>
      <c r="B11" s="2756" t="s">
        <v>2857</v>
      </c>
      <c r="C11" s="923">
        <f>C10/4</f>
        <v>0</v>
      </c>
      <c r="D11" s="923" t="s">
        <v>142</v>
      </c>
      <c r="E11" s="923" t="e">
        <f>ROUND(C11/E7,4)</f>
        <v>#DIV/0!</v>
      </c>
      <c r="F11" s="2757" t="s">
        <v>2858</v>
      </c>
      <c r="G11" s="2758"/>
      <c r="H11" s="2758"/>
      <c r="I11" s="2758"/>
      <c r="J11" s="2759"/>
      <c r="K11" s="1373"/>
      <c r="L11" s="2728" t="s">
        <v>2859</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300" t="s">
        <v>2860</v>
      </c>
      <c r="X11" s="1618" t="s">
        <v>2861</v>
      </c>
      <c r="Y11" s="1619">
        <f>$G$3</f>
        <v>0.67</v>
      </c>
      <c r="Z11" s="1619">
        <f t="shared" ref="Z11:AJ11" si="3">$G$3</f>
        <v>0.67</v>
      </c>
      <c r="AA11" s="1619">
        <f t="shared" si="3"/>
        <v>0.67</v>
      </c>
      <c r="AB11" s="1619">
        <f t="shared" si="3"/>
        <v>0.67</v>
      </c>
      <c r="AC11" s="1619">
        <f t="shared" si="3"/>
        <v>0.67</v>
      </c>
      <c r="AD11" s="1619">
        <f t="shared" si="3"/>
        <v>0.67</v>
      </c>
      <c r="AE11" s="1619">
        <f t="shared" si="3"/>
        <v>0.67</v>
      </c>
      <c r="AF11" s="1619">
        <f t="shared" si="3"/>
        <v>0.67</v>
      </c>
      <c r="AG11" s="1619">
        <f t="shared" si="3"/>
        <v>0.67</v>
      </c>
      <c r="AH11" s="1619">
        <f t="shared" si="3"/>
        <v>0.67</v>
      </c>
      <c r="AI11" s="1619">
        <f t="shared" si="3"/>
        <v>0.67</v>
      </c>
      <c r="AJ11" s="1619">
        <f t="shared" si="3"/>
        <v>0.67</v>
      </c>
    </row>
    <row r="12" spans="1:36" ht="25.5" thickBot="1">
      <c r="A12" s="3305" t="s">
        <v>2862</v>
      </c>
      <c r="B12" s="2760" t="s">
        <v>2863</v>
      </c>
      <c r="C12" s="919">
        <f>ROUND(C15*D15*E15*F15*G15*H15*I15*J15,4)</f>
        <v>1</v>
      </c>
      <c r="D12" s="2761" t="s">
        <v>2864</v>
      </c>
      <c r="E12" s="2762"/>
      <c r="F12" s="2762"/>
      <c r="G12" s="2763"/>
      <c r="H12" s="2763"/>
      <c r="I12" s="2763"/>
      <c r="J12" s="2764"/>
      <c r="K12" s="1373"/>
      <c r="L12" s="2765" t="s">
        <v>2865</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300"/>
      <c r="X12" s="1620" t="s">
        <v>2866</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307"/>
      <c r="B13" s="2766" t="s">
        <v>2867</v>
      </c>
      <c r="C13" s="2767" t="s">
        <v>2868</v>
      </c>
      <c r="D13" s="1812" t="s">
        <v>2869</v>
      </c>
      <c r="E13" s="1812" t="s">
        <v>2870</v>
      </c>
      <c r="F13" s="29" t="s">
        <v>2871</v>
      </c>
      <c r="G13" s="2768" t="s">
        <v>2872</v>
      </c>
      <c r="H13" s="2768" t="s">
        <v>2872</v>
      </c>
      <c r="I13" s="2768" t="s">
        <v>2872</v>
      </c>
      <c r="J13" s="2769" t="s">
        <v>2872</v>
      </c>
      <c r="K13" s="1373"/>
      <c r="L13" s="1373"/>
      <c r="M13" s="1373"/>
      <c r="N13" s="1373"/>
      <c r="O13" s="1373"/>
      <c r="P13" s="1373"/>
      <c r="Q13" s="1373"/>
      <c r="R13" s="1606">
        <v>12</v>
      </c>
      <c r="S13" s="1607"/>
      <c r="T13" s="1606">
        <f t="shared" ca="1" si="0"/>
        <v>0</v>
      </c>
      <c r="U13" s="1607"/>
      <c r="V13" s="1606">
        <f t="shared" ca="1" si="1"/>
        <v>0</v>
      </c>
      <c r="W13" s="3300"/>
      <c r="X13" s="1620"/>
      <c r="Y13" s="1617">
        <f>(-0.163*(Y12^2)-0.59*Y12+7617)*(10^(-4))/Y11</f>
        <v>1.1368656716417911</v>
      </c>
      <c r="Z13" s="1617">
        <f t="shared" ref="Z13:AJ13" si="5">(-0.163*(Z12^2)-0.59*Z12+7617)*(10^(-4))/Z11</f>
        <v>1.1368656716417911</v>
      </c>
      <c r="AA13" s="1617">
        <f t="shared" si="5"/>
        <v>1.1368656716417911</v>
      </c>
      <c r="AB13" s="1617">
        <f t="shared" si="5"/>
        <v>1.1368656716417911</v>
      </c>
      <c r="AC13" s="1617">
        <f t="shared" si="5"/>
        <v>1.1368656716417911</v>
      </c>
      <c r="AD13" s="1617">
        <f t="shared" si="5"/>
        <v>1.1368656716417911</v>
      </c>
      <c r="AE13" s="1617">
        <f t="shared" si="5"/>
        <v>1.1368656716417911</v>
      </c>
      <c r="AF13" s="1617">
        <f t="shared" si="5"/>
        <v>1.1368656716417911</v>
      </c>
      <c r="AG13" s="1617">
        <f t="shared" si="5"/>
        <v>1.1368656716417911</v>
      </c>
      <c r="AH13" s="1617">
        <f t="shared" si="5"/>
        <v>1.1368656716417911</v>
      </c>
      <c r="AI13" s="1617">
        <f t="shared" si="5"/>
        <v>1.1368656716417911</v>
      </c>
      <c r="AJ13" s="1617">
        <f t="shared" si="5"/>
        <v>1.1368656716417911</v>
      </c>
    </row>
    <row r="14" spans="1:36" ht="15">
      <c r="A14" s="3307"/>
      <c r="B14" s="2770"/>
      <c r="C14" s="2771"/>
      <c r="D14" s="2772"/>
      <c r="E14" s="2772"/>
      <c r="F14" s="2773"/>
      <c r="G14" s="2774" t="s">
        <v>2873</v>
      </c>
      <c r="H14" s="2775"/>
      <c r="I14" s="2776"/>
      <c r="J14" s="2777"/>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308"/>
      <c r="B15" s="2778" t="s">
        <v>2874</v>
      </c>
      <c r="C15" s="229">
        <f>IF(C14="有",1.1,1)</f>
        <v>1</v>
      </c>
      <c r="D15" s="229">
        <f>IF(D14="有",1.1,1)</f>
        <v>1</v>
      </c>
      <c r="E15" s="229">
        <f>IF(E14="有",1.1,1)</f>
        <v>1</v>
      </c>
      <c r="F15" s="229">
        <f>IF(F14="500米范围内",1.2,IF(F14="500-1000米",1.1,1))</f>
        <v>1</v>
      </c>
      <c r="G15" s="949">
        <v>1</v>
      </c>
      <c r="H15" s="949">
        <v>1</v>
      </c>
      <c r="I15" s="949">
        <v>1</v>
      </c>
      <c r="J15" s="950">
        <v>1</v>
      </c>
      <c r="K15" s="1373"/>
      <c r="L15" s="2779" t="s">
        <v>2811</v>
      </c>
      <c r="M15" s="920" t="s">
        <v>2875</v>
      </c>
      <c r="N15" s="920" t="s">
        <v>2876</v>
      </c>
      <c r="O15" s="920" t="s">
        <v>2877</v>
      </c>
      <c r="P15" s="2780" t="s">
        <v>2878</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305" t="s">
        <v>2879</v>
      </c>
      <c r="B16" s="2747" t="s">
        <v>2880</v>
      </c>
      <c r="C16" s="1805">
        <f>ROUND(SUM(G17:J17)/C17,0)</f>
        <v>73</v>
      </c>
      <c r="D16" s="2781" t="s">
        <v>2881</v>
      </c>
      <c r="E16" s="2782" t="s">
        <v>3336</v>
      </c>
      <c r="F16" s="2783" t="s">
        <v>3337</v>
      </c>
      <c r="G16" s="2784" t="s">
        <v>3338</v>
      </c>
      <c r="H16" s="2784" t="s">
        <v>3339</v>
      </c>
      <c r="I16" s="2784"/>
      <c r="J16" s="2785"/>
      <c r="K16" s="1373"/>
      <c r="L16" s="2786" t="s">
        <v>2882</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306"/>
      <c r="B17" s="2787" t="s">
        <v>2883</v>
      </c>
      <c r="C17" s="924">
        <f>SUMPRODUCT((修正!A2:A5=E2)*(修正!B1:M1=G2)*(修正!B2:M5))</f>
        <v>1.5</v>
      </c>
      <c r="D17" s="2788" t="s">
        <v>2884</v>
      </c>
      <c r="E17" s="923" t="str">
        <f>IF(OR(G2="八级",G2="九级",G2="十级",G2="十一级",G2="十二级"),"五通一平","七通一平")</f>
        <v>七通一平</v>
      </c>
      <c r="F17" s="924" t="s">
        <v>2885</v>
      </c>
      <c r="G17" s="924">
        <f>SUMPRODUCT((七通一平=G16)*(修正!B1:M1=G2)*(修正!B6:M14))</f>
        <v>50</v>
      </c>
      <c r="H17" s="924">
        <f>SUMPRODUCT((七通一平=H16)*(修正!B1:M1=G2)*(修正!B6:M14))</f>
        <v>60</v>
      </c>
      <c r="I17" s="924">
        <f>SUMPRODUCT((七通一平=I16)*(修正!B1:M1=G2)*(修正!B6:M14))</f>
        <v>0</v>
      </c>
      <c r="J17" s="925">
        <f>SUMPRODUCT((七通一平=J16)*(修正!B1:M1=G2)*(修正!B6:M14))</f>
        <v>0</v>
      </c>
      <c r="K17" s="1373"/>
      <c r="L17" s="2789" t="s">
        <v>2886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2887</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2888</v>
      </c>
      <c r="C19" s="927">
        <f>ROUND(IF(H19="按公示增长率计算",SUMPRODUCT((地价!A3:A20=YEAR(G19)&amp;"-"&amp;ROUNDUP(MONTH(G19)/3,0))*(地价!X2:AB2=E2)*(地价!X3:AB20)),IF(H19="地价指数",M20/M19,(1+I19)^O19)),4)</f>
        <v>1.2303999999999999</v>
      </c>
      <c r="D19" s="2799" t="s">
        <v>2889</v>
      </c>
      <c r="E19" s="928">
        <v>41640</v>
      </c>
      <c r="F19" s="2799" t="s">
        <v>2890</v>
      </c>
      <c r="G19" s="929">
        <f>'数据-取费表'!B2</f>
        <v>43047</v>
      </c>
      <c r="H19" s="2800" t="s">
        <v>3340</v>
      </c>
      <c r="I19" s="930" t="str">
        <f>IF(H19="季度增幅（自定义）",SUMIF(N21:N24,E2,O21:O24),"")</f>
        <v/>
      </c>
      <c r="J19" s="2797"/>
      <c r="K19" s="1380"/>
      <c r="L19" s="2801" t="s">
        <v>2891</v>
      </c>
      <c r="M19" s="1738">
        <f>ROUND(SUMIF(地价!B2:F2,E2,地价!B20:F20),0)</f>
        <v>230</v>
      </c>
      <c r="N19" s="2802" t="s">
        <v>2892</v>
      </c>
      <c r="O19" s="931">
        <f>ROUNDDOWN(DATEDIF(E19,G19,"M")/3,0)</f>
        <v>15</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2893</v>
      </c>
      <c r="C20" s="932">
        <f ca="1">ROUND(POWER(1+G20,J20-I20)*(POWER(1+G20,I20)-1)/(POWER(1+G20,J20)-1),4)</f>
        <v>0.89280000000000004</v>
      </c>
      <c r="D20" s="2808" t="s">
        <v>2894</v>
      </c>
      <c r="E20" s="1772">
        <f ca="1">存贷款利率!D4/100</f>
        <v>4.3499999999999997E-2</v>
      </c>
      <c r="F20" s="2808" t="s">
        <v>2886</v>
      </c>
      <c r="G20" s="937">
        <f ca="1">SUMIF(M15:P15,E2,M17:P17)</f>
        <v>4.8000000000000001E-2</v>
      </c>
      <c r="H20" s="2808" t="s">
        <v>2895</v>
      </c>
      <c r="I20" s="938">
        <f>SUMIF('数据-取费表'!C6:C15,E2,'数据-取费表'!F6:F15)/COUNTIF('数据-取费表'!C6:C15,E2)</f>
        <v>35.11</v>
      </c>
      <c r="J20" s="939">
        <f>IF(E2="住宅",70,IF(E2="商业",40,50))</f>
        <v>50</v>
      </c>
      <c r="K20" s="1380"/>
      <c r="L20" s="2809" t="s">
        <v>2896</v>
      </c>
      <c r="M20" s="1739">
        <f>ROUND(SUMPRODUCT((地价!A5:A20=YEAR(G19)&amp;"-"&amp;ROUNDUP(MONTH(G19)/3,0))*(地价!B2:F2=E2)*(地价!B5:F20)),0)</f>
        <v>283</v>
      </c>
      <c r="N20" s="2810" t="s">
        <v>2897</v>
      </c>
      <c r="O20" s="2811" t="s">
        <v>2898</v>
      </c>
      <c r="P20" s="2812" t="s">
        <v>2899</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3341</v>
      </c>
      <c r="C21" s="940">
        <f>IF(B21="容积率修正",IF(G3&lt;=10,D22,J22),C23)</f>
        <v>1.7259</v>
      </c>
      <c r="D21" s="2815"/>
      <c r="E21" s="2815"/>
      <c r="F21" s="2815"/>
      <c r="G21" s="2815"/>
      <c r="H21" s="2815"/>
      <c r="I21" s="2815"/>
      <c r="J21" s="2816"/>
      <c r="K21" s="1380"/>
      <c r="N21" s="2817" t="s">
        <v>2900</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0" customFormat="1" ht="14.25">
      <c r="A22" s="2666" t="s">
        <v>2901</v>
      </c>
      <c r="B22" s="2818" t="s">
        <v>2902</v>
      </c>
      <c r="C22" s="1814" t="s">
        <v>2903</v>
      </c>
      <c r="D22" s="1814">
        <f>IF(E22=G22,F22,IF(G3&lt;=10,ROUND(F22+(H22-F22)*(G3-E22)/(G22-E22),4),"——"))</f>
        <v>1.7259</v>
      </c>
      <c r="E22" s="916">
        <f>ROUNDDOWN(G3,1)</f>
        <v>0.6</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1.9177</v>
      </c>
      <c r="G22" s="916">
        <f>ROUNDUP(G3,1)</f>
        <v>0.7</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1.6436999999999999</v>
      </c>
      <c r="I22" s="1814" t="s">
        <v>155</v>
      </c>
      <c r="J22" s="941" t="str">
        <f>IF(G3&gt;10,D113,"——")</f>
        <v>——</v>
      </c>
      <c r="K22" s="1380"/>
      <c r="N22" s="2817" t="s">
        <v>2904</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6" t="s">
        <v>2905</v>
      </c>
      <c r="B23" s="2819" t="s">
        <v>2906</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2907</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2908</v>
      </c>
      <c r="C24" s="927">
        <f>SUMIF(A45:A88,E2,B45:B88)</f>
        <v>1.0105</v>
      </c>
      <c r="D24" s="2795"/>
      <c r="E24" s="2825"/>
      <c r="F24" s="2825"/>
      <c r="G24" s="2825"/>
      <c r="H24" s="2825"/>
      <c r="I24" s="2825"/>
      <c r="J24" s="2826"/>
      <c r="K24" s="1380"/>
      <c r="N24" s="2827" t="s">
        <v>2909</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2910</v>
      </c>
      <c r="C25" s="933"/>
      <c r="D25" s="2750"/>
      <c r="E25" s="2750"/>
      <c r="F25" s="2829"/>
      <c r="G25" s="2750"/>
      <c r="H25" s="2750"/>
      <c r="I25" s="2750"/>
      <c r="J25" s="2751"/>
      <c r="K25" s="1373"/>
      <c r="N25" s="2830" t="s">
        <v>2911</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1"/>
      <c r="B26" s="2818" t="s">
        <v>2912</v>
      </c>
      <c r="C26" s="206">
        <f ca="1">E29+SUM(E33:E39)</f>
        <v>45831</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2913</v>
      </c>
      <c r="C27" s="934" t="e">
        <f ca="1">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2914</v>
      </c>
      <c r="C28" s="2842" t="s">
        <v>2915</v>
      </c>
      <c r="D28" s="2842" t="s">
        <v>2916</v>
      </c>
      <c r="E28" s="2843" t="s">
        <v>2917</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2918</v>
      </c>
      <c r="C29" s="206">
        <f ca="1">ROUND(C5*C18*C19*C20*C21*C24,0)</f>
        <v>18022</v>
      </c>
      <c r="D29" s="2847">
        <f>'数据-汇总表'!F20+'数据-汇总表'!F21+'数据-汇总表'!F22</f>
        <v>25430.709999999995</v>
      </c>
      <c r="E29" s="945">
        <f ca="1">ROUND(C29*D29/10000,0)</f>
        <v>45831</v>
      </c>
      <c r="F29" s="2848" t="s">
        <v>2919</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2920</v>
      </c>
      <c r="C30" s="229">
        <f ca="1">ROUND(IF(E2="工业",C29*M39,C29*M38),0)</f>
        <v>2703</v>
      </c>
      <c r="D30" s="2853"/>
      <c r="E30" s="945">
        <f ca="1">ROUND(C30*D30/10000,0)</f>
        <v>0</v>
      </c>
      <c r="F30" s="2854" t="s">
        <v>2921</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2922</v>
      </c>
      <c r="C31" s="2859" t="s">
        <v>2923</v>
      </c>
      <c r="D31" s="2763"/>
      <c r="E31" s="2859"/>
      <c r="F31" s="2859"/>
      <c r="G31" s="2761" t="s">
        <v>2924</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2915</v>
      </c>
      <c r="D32" s="498" t="s">
        <v>2916</v>
      </c>
      <c r="E32" s="498" t="s">
        <v>2917</v>
      </c>
      <c r="F32" s="388" t="s">
        <v>2925</v>
      </c>
      <c r="G32" s="2862" t="s">
        <v>2915</v>
      </c>
      <c r="H32" s="2862" t="s">
        <v>2916</v>
      </c>
      <c r="I32" s="2862" t="s">
        <v>2917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315" t="s">
        <v>2926</v>
      </c>
      <c r="B33" s="2863" t="s">
        <v>2927</v>
      </c>
      <c r="C33" s="206">
        <f ca="1">ROUND(D5*C19*C20*C24*F33,0)</f>
        <v>0</v>
      </c>
      <c r="D33" s="2847"/>
      <c r="E33" s="200">
        <f ca="1">ROUND(C33*D33/10000,0)</f>
        <v>0</v>
      </c>
      <c r="F33" s="200">
        <f>SUMIF(修正!A45:A56,G2,修正!B45:B56)</f>
        <v>0.8</v>
      </c>
      <c r="G33" s="200">
        <f t="shared" ref="G33:G39" ca="1" si="6">ROUND(IF(E2="工业",C33*$M$39,C33*$M$38),0)</f>
        <v>0</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16"/>
      <c r="B34" s="2767" t="s">
        <v>2928</v>
      </c>
      <c r="C34" s="206">
        <f ca="1">ROUND(D5*C19*C20*C24*F34,0)</f>
        <v>0</v>
      </c>
      <c r="D34" s="2847"/>
      <c r="E34" s="200">
        <f t="shared" ref="E34:E39" ca="1" si="7">ROUND(C34*D34/10000,0)</f>
        <v>0</v>
      </c>
      <c r="F34" s="200">
        <f>SUMIF(修正!A45:A56,G2,修正!C45:C56)</f>
        <v>0.5</v>
      </c>
      <c r="G34" s="200">
        <f t="shared" ca="1" si="6"/>
        <v>0</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16"/>
      <c r="B35" s="2767" t="s">
        <v>2929</v>
      </c>
      <c r="C35" s="206">
        <f ca="1">ROUND(D5*C19*C20*C24*F35,0)</f>
        <v>0</v>
      </c>
      <c r="D35" s="2847"/>
      <c r="E35" s="200">
        <f t="shared" ca="1" si="7"/>
        <v>0</v>
      </c>
      <c r="F35" s="200">
        <f>SUMIF(修正!A45:A56,G2,修正!D45:D56)</f>
        <v>0.36</v>
      </c>
      <c r="G35" s="200">
        <f t="shared" ca="1" si="6"/>
        <v>0</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317"/>
      <c r="B36" s="2767" t="s">
        <v>2930</v>
      </c>
      <c r="C36" s="206">
        <f ca="1">ROUND(D5*C19*C20*C24*F36,0)</f>
        <v>0</v>
      </c>
      <c r="D36" s="2847"/>
      <c r="E36" s="200">
        <f t="shared" ca="1" si="7"/>
        <v>0</v>
      </c>
      <c r="F36" s="200">
        <f>SUMIF(修正!A45:A56,G2,修正!E45:E56)</f>
        <v>0.3</v>
      </c>
      <c r="G36" s="200">
        <f t="shared" ca="1" si="6"/>
        <v>0</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2931</v>
      </c>
      <c r="C37" s="200">
        <f ca="1">ROUND(C5*C19*C20*C24*F37,0)</f>
        <v>3133</v>
      </c>
      <c r="D37" s="2847"/>
      <c r="E37" s="200">
        <f t="shared" ca="1" si="7"/>
        <v>0</v>
      </c>
      <c r="F37" s="206">
        <f>SUMIF(修正!A45:A56,G2,修正!F45:F56)</f>
        <v>0.3</v>
      </c>
      <c r="G37" s="200">
        <f t="shared" ca="1" si="6"/>
        <v>783</v>
      </c>
      <c r="H37" s="200">
        <f t="shared" si="8"/>
        <v>0</v>
      </c>
      <c r="I37" s="200">
        <f t="shared" ca="1" si="9"/>
        <v>0</v>
      </c>
      <c r="J37" s="2864"/>
      <c r="K37" s="1373"/>
      <c r="L37" s="2866" t="s">
        <v>2932</v>
      </c>
      <c r="M37" s="2867"/>
      <c r="N37" s="1373"/>
      <c r="O37" s="1373"/>
      <c r="P37" s="1373"/>
      <c r="Q37" s="1373"/>
      <c r="R37" s="1373"/>
      <c r="S37" s="1373"/>
      <c r="T37" s="1373"/>
      <c r="U37" s="1373"/>
      <c r="V37" s="1373"/>
      <c r="W37" s="1373"/>
      <c r="X37" s="1373"/>
      <c r="Y37" s="1373"/>
      <c r="Z37" s="1374"/>
    </row>
    <row r="38" spans="1:37">
      <c r="A38" s="2865"/>
      <c r="B38" s="2767" t="s">
        <v>2933</v>
      </c>
      <c r="C38" s="200">
        <f ca="1">ROUND(C5*C19*C20*C24*F38,0)</f>
        <v>3133</v>
      </c>
      <c r="D38" s="2847"/>
      <c r="E38" s="200">
        <f t="shared" ca="1" si="7"/>
        <v>0</v>
      </c>
      <c r="F38" s="206">
        <f>SUMIF(修正!A45:A56,G2,修正!G45:G56)</f>
        <v>0.3</v>
      </c>
      <c r="G38" s="200">
        <f t="shared" ca="1" si="6"/>
        <v>783</v>
      </c>
      <c r="H38" s="200">
        <f t="shared" si="8"/>
        <v>0</v>
      </c>
      <c r="I38" s="200">
        <f t="shared" ca="1" si="9"/>
        <v>0</v>
      </c>
      <c r="J38" s="2864"/>
      <c r="K38" s="1373"/>
      <c r="L38" s="1891" t="s">
        <v>2934</v>
      </c>
      <c r="M38" s="2868">
        <v>0.25</v>
      </c>
      <c r="N38" s="1373"/>
      <c r="O38" s="1373"/>
      <c r="P38" s="1373"/>
      <c r="Q38" s="1373"/>
      <c r="R38" s="1373"/>
      <c r="S38" s="1373"/>
      <c r="T38" s="1373"/>
      <c r="U38" s="1373"/>
      <c r="V38" s="1373"/>
      <c r="W38" s="1373"/>
      <c r="X38" s="1373"/>
      <c r="Y38" s="1373"/>
      <c r="Z38" s="1374"/>
    </row>
    <row r="39" spans="1:37" ht="13.5" thickBot="1">
      <c r="A39" s="2851"/>
      <c r="B39" s="2869" t="s">
        <v>2935</v>
      </c>
      <c r="C39" s="229">
        <f ca="1">ROUND(C5*C19*C20*C24*F39,0)</f>
        <v>2611</v>
      </c>
      <c r="D39" s="2853"/>
      <c r="E39" s="229">
        <f t="shared" ca="1" si="7"/>
        <v>0</v>
      </c>
      <c r="F39" s="935">
        <f>SUMIF(修正!A45:A56,G2,修正!H45:H56)</f>
        <v>0.25</v>
      </c>
      <c r="G39" s="229" t="e">
        <f t="shared" si="6"/>
        <v>#DIV/0!</v>
      </c>
      <c r="H39" s="229">
        <f t="shared" si="8"/>
        <v>0</v>
      </c>
      <c r="I39" s="229" t="e">
        <f t="shared" si="9"/>
        <v>#DIV/0!</v>
      </c>
      <c r="J39" s="2870"/>
      <c r="K39" s="1373"/>
      <c r="L39" s="2871" t="s">
        <v>2878</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2936</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2937</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2938</v>
      </c>
      <c r="B47" s="1813" t="s">
        <v>2939</v>
      </c>
      <c r="C47" s="1813" t="s">
        <v>2940</v>
      </c>
      <c r="D47" s="1813" t="s">
        <v>2941</v>
      </c>
      <c r="E47" s="819" t="s">
        <v>2942</v>
      </c>
      <c r="F47" s="2881" t="s">
        <v>2943</v>
      </c>
      <c r="G47" s="1813" t="s">
        <v>754</v>
      </c>
      <c r="H47" s="2882" t="s">
        <v>2944</v>
      </c>
      <c r="I47" s="1813" t="s">
        <v>2945</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c r="A48" s="2880" t="s">
        <v>2946</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0" t="s">
        <v>2947</v>
      </c>
      <c r="B49" s="2884" t="str">
        <f>估价对象房地状况!C18</f>
        <v>估价对象周边有113路、115路、117路等多条公交线路，有地铁团结湖站，路网较密集，停车便捷程度较好，综合评价交通便捷度较好。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2948</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2949</v>
      </c>
      <c r="B51" s="2885" t="s">
        <v>2950</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2951</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2952</v>
      </c>
      <c r="B53" s="2886" t="s">
        <v>2953</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14.75">
      <c r="A54" s="2887" t="s">
        <v>2954</v>
      </c>
      <c r="B54" s="1729" t="str">
        <f>估价对象房地状况!C21</f>
        <v>估价对象所在区域有银行（中国银行长虹桥支行）、医院（武警北京总队医院）、超市（京客隆三里屯店）、学校（北京市朝阳区白家庄小学）、餐饮（石塘嘴）等公共配套设施，公共配套设施齐备情况较好。</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2955</v>
      </c>
      <c r="B55" s="2884" t="str">
        <f>估价对象房地状况!C22</f>
        <v>估价对象所在区域基础设施水平达“七通”。</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90" thickBot="1">
      <c r="A56" s="2888" t="s">
        <v>2956</v>
      </c>
      <c r="B56" s="2889" t="str">
        <f>估价对象房地状况!C20</f>
        <v>估价对象所在区域有团结湖公园，自然情况较好；有农业展览馆、北京联合大学机电学院等人文设施，人文情况较好；综合评价自然及人文环境较好。</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2957</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2938</v>
      </c>
      <c r="B58" s="1813"/>
      <c r="C58" s="1813" t="s">
        <v>2940</v>
      </c>
      <c r="D58" s="1813" t="s">
        <v>2941</v>
      </c>
      <c r="E58" s="819" t="s">
        <v>2942</v>
      </c>
      <c r="F58" s="2881" t="s">
        <v>2958</v>
      </c>
      <c r="G58" s="1813" t="s">
        <v>754</v>
      </c>
      <c r="H58" s="2882" t="s">
        <v>2944</v>
      </c>
      <c r="I58" s="1813" t="s">
        <v>2945</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51">
      <c r="A59" s="2880" t="s">
        <v>2959</v>
      </c>
      <c r="B59" s="2883" t="str">
        <f>估价对象房地状况!C17</f>
        <v>估价对象位于三里屯，周边办公楼项目较多，入驻率较高，办公集聚程度较好。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0" t="s">
        <v>2947</v>
      </c>
      <c r="B60" s="2884" t="str">
        <f>估价对象房地状况!C18</f>
        <v>估价对象周边有113路、115路、117路等多条公交线路，有地铁团结湖站，路网较密集，停车便捷程度较好，综合评价交通便捷度较好。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2948</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2949</v>
      </c>
      <c r="B62" s="2885" t="s">
        <v>2950</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2951</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2952</v>
      </c>
      <c r="B64" s="2886" t="s">
        <v>2953</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14.75">
      <c r="A65" s="2880" t="s">
        <v>2954</v>
      </c>
      <c r="B65" s="1729" t="str">
        <f>估价对象房地状况!C21</f>
        <v>估价对象所在区域有银行（中国银行长虹桥支行）、医院（武警北京总队医院）、超市（京客隆三里屯店）、学校（北京市朝阳区白家庄小学）、餐饮（石塘嘴）等公共配套设施，公共配套设施齐备情况较好。</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2955</v>
      </c>
      <c r="B66" s="1729" t="str">
        <f>估价对象房地状况!C22</f>
        <v>估价对象所在区域基础设施水平达“七通”。</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90" thickBot="1">
      <c r="A67" s="2888" t="s">
        <v>2956</v>
      </c>
      <c r="B67" s="2890" t="str">
        <f>估价对象房地状况!C20</f>
        <v>估价对象所在区域有团结湖公园，自然情况较好；有农业展览馆、北京联合大学机电学院等人文设施，人文情况较好；综合评价自然及人文环境较好。</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2960</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2938</v>
      </c>
      <c r="B69" s="1813"/>
      <c r="C69" s="1813" t="s">
        <v>2940</v>
      </c>
      <c r="D69" s="1813" t="s">
        <v>2941</v>
      </c>
      <c r="E69" s="819" t="s">
        <v>2942</v>
      </c>
      <c r="F69" s="2881" t="s">
        <v>2958</v>
      </c>
      <c r="G69" s="1813" t="s">
        <v>754</v>
      </c>
      <c r="H69" s="2882" t="s">
        <v>2944</v>
      </c>
      <c r="I69" s="1813" t="s">
        <v>2945</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c r="A70" s="2880" t="s">
        <v>2961</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80" t="s">
        <v>2947</v>
      </c>
      <c r="B71" s="2884" t="str">
        <f>估价对象房地状况!C18</f>
        <v>估价对象周边有113路、115路、117路等多条公交线路，有地铁团结湖站，路网较密集，停车便捷程度较好，综合评价交通便捷度较好。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2948</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2962</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14.75">
      <c r="A74" s="2880" t="s">
        <v>2954</v>
      </c>
      <c r="B74" s="1729" t="str">
        <f>估价对象房地状况!C21</f>
        <v>估价对象所在区域有银行（中国银行长虹桥支行）、医院（武警北京总队医院）、超市（京客隆三里屯店）、学校（北京市朝阳区白家庄小学）、餐饮（石塘嘴）等公共配套设施，公共配套设施齐备情况较好。</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2955</v>
      </c>
      <c r="B75" s="1729" t="str">
        <f>估价对象房地状况!C22</f>
        <v>估价对象所在区域基础设施水平达“七通”。</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2952</v>
      </c>
      <c r="B76" s="2886" t="s">
        <v>2953</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89.25">
      <c r="A77" s="2880" t="s">
        <v>2956</v>
      </c>
      <c r="B77" s="2883" t="str">
        <f>估价对象房地状况!C20</f>
        <v>估价对象所在区域有团结湖公园，自然情况较好；有农业展览馆、北京联合大学机电学院等人文设施，人文情况较好；综合评价自然及人文环境较好。</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2963</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2964</v>
      </c>
      <c r="B79" s="2877">
        <f>1+E81</f>
        <v>1.0105</v>
      </c>
      <c r="C79" s="814"/>
      <c r="D79" s="814"/>
      <c r="E79" s="815"/>
      <c r="F79" s="2879"/>
      <c r="G79" s="6"/>
      <c r="H79" s="6"/>
      <c r="I79" s="6"/>
      <c r="J79" s="7"/>
      <c r="K79" s="7"/>
      <c r="L79" s="7"/>
      <c r="M79" s="7"/>
      <c r="N79" s="7"/>
      <c r="Z79" s="2722"/>
      <c r="AA79" s="2798"/>
      <c r="AG79" s="1375"/>
      <c r="AK79" s="2798"/>
    </row>
    <row r="80" spans="1:37" ht="24.75">
      <c r="A80" s="2880" t="s">
        <v>2938</v>
      </c>
      <c r="B80" s="1813"/>
      <c r="C80" s="1813" t="s">
        <v>2940</v>
      </c>
      <c r="D80" s="1813" t="s">
        <v>2941</v>
      </c>
      <c r="E80" s="819" t="s">
        <v>2942</v>
      </c>
      <c r="F80" s="2881" t="s">
        <v>2958</v>
      </c>
      <c r="G80" s="1813" t="s">
        <v>754</v>
      </c>
      <c r="H80" s="2882" t="s">
        <v>2944</v>
      </c>
      <c r="I80" s="1813" t="s">
        <v>2945</v>
      </c>
      <c r="J80" s="603" t="s">
        <v>2594</v>
      </c>
      <c r="K80" s="603" t="s">
        <v>2595</v>
      </c>
      <c r="L80" s="603" t="s">
        <v>2596</v>
      </c>
      <c r="M80" s="603" t="s">
        <v>2597</v>
      </c>
      <c r="N80" s="603" t="s">
        <v>2598</v>
      </c>
      <c r="Z80" s="2722"/>
      <c r="AA80" s="2798"/>
      <c r="AG80" s="1375"/>
      <c r="AK80" s="2798"/>
    </row>
    <row r="81" spans="1:37" ht="38.25">
      <c r="A81" s="2880" t="s">
        <v>2965</v>
      </c>
      <c r="B81" s="2884" t="str">
        <f>估价对象房地状况!G15</f>
        <v>估价对象位于三里屯，园区建设成熟度一般，产业集聚程度较差</v>
      </c>
      <c r="C81" s="2772" t="s">
        <v>3345</v>
      </c>
      <c r="D81" s="1289">
        <f t="shared" ref="D81:D88" si="25">SUMIF($J$80:$N$80,C81,J81:N81)</f>
        <v>-7.4999999999999997E-3</v>
      </c>
      <c r="E81" s="821">
        <f>ROUND(SUM(D81:D88),4)</f>
        <v>1.0500000000000001E-2</v>
      </c>
      <c r="F81" s="2503">
        <f>IF(E2="工业",SUMIF(L1:L12,G2,N1:N12),"——")</f>
        <v>0.1</v>
      </c>
      <c r="G81" s="1287">
        <v>7.4999999999999997E-3</v>
      </c>
      <c r="H81" s="1291">
        <f t="shared" ref="H81:H88" si="26">IFERROR(ROUNDDOWN($F$81*I81/2,4),"——")</f>
        <v>1.2999999999999999E-2</v>
      </c>
      <c r="I81" s="820">
        <v>0.26</v>
      </c>
      <c r="J81" s="1288">
        <f t="shared" ref="J81:J88" si="27">K81+$G81</f>
        <v>1.4999999999999999E-2</v>
      </c>
      <c r="K81" s="1288">
        <f t="shared" ref="K81:K88" si="28">$L81+$G81</f>
        <v>7.4999999999999997E-3</v>
      </c>
      <c r="L81" s="1288">
        <v>0</v>
      </c>
      <c r="M81" s="1288">
        <f t="shared" ref="M81:N88" si="29">L81-$G81</f>
        <v>-7.4999999999999997E-3</v>
      </c>
      <c r="N81" s="1288">
        <f t="shared" si="29"/>
        <v>-1.4999999999999999E-2</v>
      </c>
      <c r="Z81" s="2722"/>
      <c r="AA81" s="2798"/>
      <c r="AG81" s="1375"/>
      <c r="AK81" s="2798"/>
    </row>
    <row r="82" spans="1:37" ht="76.5">
      <c r="A82" s="2880" t="s">
        <v>2947</v>
      </c>
      <c r="B82" s="2884" t="str">
        <f>估价对象房地状况!G16</f>
        <v>估价对象周边有113路、115路、117路等多条公交线路，有地铁团结湖站，路网较密集，停车便捷程度较好，综合评价交通便捷度较好。</v>
      </c>
      <c r="C82" s="2772" t="s">
        <v>3326</v>
      </c>
      <c r="D82" s="1289">
        <f t="shared" si="25"/>
        <v>8.0000000000000002E-3</v>
      </c>
      <c r="E82" s="826"/>
      <c r="F82" s="2503"/>
      <c r="G82" s="1287">
        <v>8.0000000000000002E-3</v>
      </c>
      <c r="H82" s="1291">
        <f t="shared" si="26"/>
        <v>1.6500000000000001E-2</v>
      </c>
      <c r="I82" s="820">
        <v>0.33</v>
      </c>
      <c r="J82" s="1288">
        <f t="shared" si="27"/>
        <v>1.6E-2</v>
      </c>
      <c r="K82" s="1288">
        <f t="shared" si="28"/>
        <v>8.0000000000000002E-3</v>
      </c>
      <c r="L82" s="1288">
        <v>0</v>
      </c>
      <c r="M82" s="1288">
        <f t="shared" si="29"/>
        <v>-8.0000000000000002E-3</v>
      </c>
      <c r="N82" s="1288">
        <f t="shared" si="29"/>
        <v>-1.6E-2</v>
      </c>
      <c r="Z82" s="2722"/>
      <c r="AA82" s="2798"/>
      <c r="AG82" s="1375"/>
      <c r="AK82" s="2798"/>
    </row>
    <row r="83" spans="1:37" ht="24">
      <c r="A83" s="2880" t="s">
        <v>2948</v>
      </c>
      <c r="B83" s="2884">
        <f>估价对象房地状况!G17</f>
        <v>0</v>
      </c>
      <c r="C83" s="2772" t="s">
        <v>3326</v>
      </c>
      <c r="D83" s="1289">
        <f t="shared" si="25"/>
        <v>1E-3</v>
      </c>
      <c r="E83" s="826"/>
      <c r="F83" s="2503"/>
      <c r="G83" s="1287">
        <v>1E-3</v>
      </c>
      <c r="H83" s="1291">
        <f t="shared" si="26"/>
        <v>2.5000000000000001E-3</v>
      </c>
      <c r="I83" s="820">
        <v>0.05</v>
      </c>
      <c r="J83" s="1288">
        <f t="shared" si="27"/>
        <v>2E-3</v>
      </c>
      <c r="K83" s="1288">
        <f t="shared" si="28"/>
        <v>1E-3</v>
      </c>
      <c r="L83" s="1288">
        <v>0</v>
      </c>
      <c r="M83" s="1288">
        <f t="shared" si="29"/>
        <v>-1E-3</v>
      </c>
      <c r="N83" s="1288">
        <f t="shared" si="29"/>
        <v>-2E-3</v>
      </c>
      <c r="Z83" s="2722"/>
      <c r="AA83" s="2798"/>
      <c r="AG83" s="1375"/>
      <c r="AK83" s="2798"/>
    </row>
    <row r="84" spans="1:37" ht="14.25">
      <c r="A84" s="2880" t="s">
        <v>2962</v>
      </c>
      <c r="B84" s="2884">
        <f>估价对象房地状况!G22</f>
        <v>0</v>
      </c>
      <c r="C84" s="2772" t="s">
        <v>3345</v>
      </c>
      <c r="D84" s="1289">
        <f t="shared" si="25"/>
        <v>-1E-3</v>
      </c>
      <c r="E84" s="826"/>
      <c r="F84" s="2503"/>
      <c r="G84" s="1287">
        <v>1E-3</v>
      </c>
      <c r="H84" s="1291">
        <f t="shared" si="26"/>
        <v>2E-3</v>
      </c>
      <c r="I84" s="820">
        <v>0.04</v>
      </c>
      <c r="J84" s="1288">
        <f t="shared" si="27"/>
        <v>2E-3</v>
      </c>
      <c r="K84" s="1288">
        <f t="shared" si="28"/>
        <v>1E-3</v>
      </c>
      <c r="L84" s="1288">
        <v>0</v>
      </c>
      <c r="M84" s="1288">
        <f t="shared" si="29"/>
        <v>-1E-3</v>
      </c>
      <c r="N84" s="1288">
        <f t="shared" si="29"/>
        <v>-2E-3</v>
      </c>
      <c r="Z84" s="2722"/>
      <c r="AA84" s="2798"/>
      <c r="AG84" s="1375"/>
      <c r="AK84" s="2798"/>
    </row>
    <row r="85" spans="1:37" ht="114.75">
      <c r="A85" s="2880" t="s">
        <v>2954</v>
      </c>
      <c r="B85" s="1729" t="str">
        <f>估价对象房地状况!G19</f>
        <v>估价对象所在区域有银行（中国银行长虹桥支行）、医院（武警北京总队医院）、超市（京客隆三里屯店）、学校（北京市朝阳区白家庄小学）、餐饮（石塘嘴）等公共配套设施，公共配套设施齐备情况较好。</v>
      </c>
      <c r="C85" s="2772" t="s">
        <v>3326</v>
      </c>
      <c r="D85" s="1289">
        <f t="shared" si="25"/>
        <v>1.5E-3</v>
      </c>
      <c r="E85" s="826"/>
      <c r="F85" s="2503"/>
      <c r="G85" s="1287">
        <v>1.5E-3</v>
      </c>
      <c r="H85" s="1291">
        <f t="shared" si="26"/>
        <v>3.0000000000000001E-3</v>
      </c>
      <c r="I85" s="820">
        <v>0.06</v>
      </c>
      <c r="J85" s="1288">
        <f t="shared" si="27"/>
        <v>3.0000000000000001E-3</v>
      </c>
      <c r="K85" s="1288">
        <f t="shared" si="28"/>
        <v>1.5E-3</v>
      </c>
      <c r="L85" s="1288">
        <v>0</v>
      </c>
      <c r="M85" s="1288">
        <f t="shared" si="29"/>
        <v>-1.5E-3</v>
      </c>
      <c r="N85" s="1288">
        <f t="shared" si="29"/>
        <v>-3.0000000000000001E-3</v>
      </c>
      <c r="Z85" s="2722"/>
      <c r="AA85" s="2798"/>
      <c r="AG85" s="1375"/>
      <c r="AK85" s="2798"/>
    </row>
    <row r="86" spans="1:37" ht="25.5">
      <c r="A86" s="2880" t="s">
        <v>2955</v>
      </c>
      <c r="B86" s="1729" t="str">
        <f>估价对象房地状况!G20</f>
        <v>估价对象所在区域基础设施水平达“七通”。</v>
      </c>
      <c r="C86" s="2772" t="s">
        <v>3346</v>
      </c>
      <c r="D86" s="1289">
        <f t="shared" si="25"/>
        <v>6.0000000000000001E-3</v>
      </c>
      <c r="E86" s="826"/>
      <c r="F86" s="2503"/>
      <c r="G86" s="1287">
        <v>3.0000000000000001E-3</v>
      </c>
      <c r="H86" s="1291">
        <f t="shared" si="26"/>
        <v>7.4999999999999997E-3</v>
      </c>
      <c r="I86" s="820">
        <v>0.15</v>
      </c>
      <c r="J86" s="1288">
        <f t="shared" si="27"/>
        <v>6.0000000000000001E-3</v>
      </c>
      <c r="K86" s="1288">
        <f t="shared" si="28"/>
        <v>3.0000000000000001E-3</v>
      </c>
      <c r="L86" s="1288">
        <v>0</v>
      </c>
      <c r="M86" s="1288">
        <f t="shared" si="29"/>
        <v>-3.0000000000000001E-3</v>
      </c>
      <c r="N86" s="1288">
        <f t="shared" si="29"/>
        <v>-6.0000000000000001E-3</v>
      </c>
      <c r="Z86" s="2722"/>
      <c r="AA86" s="2798"/>
      <c r="AG86" s="1375"/>
      <c r="AK86" s="2798"/>
    </row>
    <row r="87" spans="1:37" ht="24">
      <c r="A87" s="2880" t="s">
        <v>2952</v>
      </c>
      <c r="B87" s="3051" t="s">
        <v>3347</v>
      </c>
      <c r="C87" s="2772" t="s">
        <v>3326</v>
      </c>
      <c r="D87" s="1289">
        <f t="shared" si="25"/>
        <v>1E-3</v>
      </c>
      <c r="E87" s="826"/>
      <c r="F87" s="2503"/>
      <c r="G87" s="1287">
        <v>1E-3</v>
      </c>
      <c r="H87" s="1291">
        <f t="shared" si="26"/>
        <v>2.5000000000000001E-3</v>
      </c>
      <c r="I87" s="820">
        <v>0.05</v>
      </c>
      <c r="J87" s="1288">
        <f t="shared" si="27"/>
        <v>2E-3</v>
      </c>
      <c r="K87" s="1288">
        <f t="shared" si="28"/>
        <v>1E-3</v>
      </c>
      <c r="L87" s="1288">
        <v>0</v>
      </c>
      <c r="M87" s="1288">
        <f t="shared" si="29"/>
        <v>-1E-3</v>
      </c>
      <c r="N87" s="1288">
        <f t="shared" si="29"/>
        <v>-2E-3</v>
      </c>
      <c r="Z87" s="2722"/>
      <c r="AA87" s="2798"/>
      <c r="AG87" s="1375"/>
      <c r="AK87" s="2798"/>
    </row>
    <row r="88" spans="1:37" ht="51.75" thickBot="1">
      <c r="A88" s="2888" t="s">
        <v>2966</v>
      </c>
      <c r="B88" s="2893" t="str">
        <f>估价对象房地状况!G18</f>
        <v>该园区内是否有污染型企业，绿化情况较好，卫生条件较好，整体环境状况较好。</v>
      </c>
      <c r="C88" s="2772" t="s">
        <v>3326</v>
      </c>
      <c r="D88" s="1289">
        <f t="shared" si="25"/>
        <v>1.5E-3</v>
      </c>
      <c r="E88" s="827"/>
      <c r="F88" s="2503"/>
      <c r="G88" s="1287">
        <v>1.5E-3</v>
      </c>
      <c r="H88" s="1291">
        <f t="shared" si="26"/>
        <v>3.0000000000000001E-3</v>
      </c>
      <c r="I88" s="824">
        <v>0.06</v>
      </c>
      <c r="J88" s="1288">
        <f t="shared" si="27"/>
        <v>3.0000000000000001E-3</v>
      </c>
      <c r="K88" s="1288">
        <f t="shared" si="28"/>
        <v>1.5E-3</v>
      </c>
      <c r="L88" s="1288">
        <v>0</v>
      </c>
      <c r="M88" s="1288">
        <f t="shared" si="29"/>
        <v>-1.5E-3</v>
      </c>
      <c r="N88" s="1288">
        <f t="shared" si="29"/>
        <v>-3.0000000000000001E-3</v>
      </c>
      <c r="Z88" s="2722"/>
      <c r="AA88" s="2798"/>
      <c r="AG88" s="1375"/>
      <c r="AK88" s="2798"/>
    </row>
    <row r="90" spans="1:37">
      <c r="A90" s="3309" t="s">
        <v>2967</v>
      </c>
      <c r="B90" s="3309"/>
      <c r="C90" s="3309"/>
      <c r="D90" s="3309"/>
      <c r="E90" s="3309"/>
      <c r="F90" s="3309"/>
      <c r="G90" s="3309"/>
      <c r="H90" s="3309"/>
      <c r="I90" s="3309"/>
      <c r="J90" s="3309"/>
      <c r="K90" s="2894"/>
      <c r="L90" s="2894"/>
      <c r="M90" s="2894"/>
      <c r="N90" s="2894"/>
    </row>
    <row r="91" spans="1:37">
      <c r="A91" s="3311" t="s">
        <v>2968</v>
      </c>
      <c r="B91" s="3311" t="s">
        <v>2969</v>
      </c>
      <c r="C91" s="2848" t="s">
        <v>2970</v>
      </c>
      <c r="D91" s="2849"/>
      <c r="E91" s="2849"/>
      <c r="F91" s="2849"/>
      <c r="G91" s="2849"/>
      <c r="H91" s="2849"/>
      <c r="I91" s="2849"/>
      <c r="J91" s="2895"/>
      <c r="K91" s="2896"/>
      <c r="L91" s="2896"/>
      <c r="M91" s="2896"/>
      <c r="N91" s="2896"/>
    </row>
    <row r="92" spans="1:37">
      <c r="A92" s="3311"/>
      <c r="B92" s="3311"/>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312" t="s">
        <v>2971</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313"/>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313"/>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313"/>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313"/>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313"/>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313"/>
      <c r="B99" s="2897" t="s">
        <v>2853</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314"/>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312" t="s">
        <v>2972</v>
      </c>
      <c r="B101" s="2901" t="s">
        <v>2973</v>
      </c>
      <c r="C101" s="2902">
        <f>$G$3</f>
        <v>0.67</v>
      </c>
      <c r="D101" s="2902">
        <f t="shared" ref="D101:N101" si="31">$G$3</f>
        <v>0.67</v>
      </c>
      <c r="E101" s="2902">
        <f t="shared" si="31"/>
        <v>0.67</v>
      </c>
      <c r="F101" s="2902">
        <f t="shared" si="31"/>
        <v>0.67</v>
      </c>
      <c r="G101" s="2902">
        <f t="shared" si="31"/>
        <v>0.67</v>
      </c>
      <c r="H101" s="2902">
        <f t="shared" si="31"/>
        <v>0.67</v>
      </c>
      <c r="I101" s="2902">
        <f t="shared" si="31"/>
        <v>0.67</v>
      </c>
      <c r="J101" s="2902">
        <f t="shared" si="31"/>
        <v>0.67</v>
      </c>
      <c r="K101" s="2902">
        <f t="shared" si="31"/>
        <v>0.67</v>
      </c>
      <c r="L101" s="2902">
        <f t="shared" si="31"/>
        <v>0.67</v>
      </c>
      <c r="M101" s="2902">
        <f t="shared" si="31"/>
        <v>0.67</v>
      </c>
      <c r="N101" s="2902">
        <f t="shared" si="31"/>
        <v>0.67</v>
      </c>
    </row>
    <row r="102" spans="1:14">
      <c r="A102" s="3313"/>
      <c r="B102" s="2897">
        <v>1</v>
      </c>
      <c r="C102" s="2898">
        <f>1.9362/C101</f>
        <v>2.8898507462686562</v>
      </c>
      <c r="D102" s="2898">
        <f>1.9362/D101</f>
        <v>2.8898507462686562</v>
      </c>
      <c r="E102" s="2898">
        <f>1.8629/E101</f>
        <v>2.7804477611940297</v>
      </c>
      <c r="F102" s="2898">
        <f>1.8629/F101</f>
        <v>2.7804477611940297</v>
      </c>
      <c r="G102" s="2898">
        <f>1.8629/G101</f>
        <v>2.7804477611940297</v>
      </c>
      <c r="H102" s="2898">
        <f>1.8629/H101</f>
        <v>2.7804477611940297</v>
      </c>
      <c r="I102" s="2898">
        <f>1.8629/I101</f>
        <v>2.7804477611940297</v>
      </c>
      <c r="J102" s="2898">
        <f>1.942/J101</f>
        <v>2.8985074626865668</v>
      </c>
      <c r="K102" s="2898">
        <f>1.942/K101</f>
        <v>2.8985074626865668</v>
      </c>
      <c r="L102" s="2898">
        <f>1.942/L101</f>
        <v>2.8985074626865668</v>
      </c>
      <c r="M102" s="2898">
        <f>1.942/M101</f>
        <v>2.8985074626865668</v>
      </c>
      <c r="N102" s="2898">
        <f>1.942/N101</f>
        <v>2.8985074626865668</v>
      </c>
    </row>
    <row r="103" spans="1:14">
      <c r="A103" s="3313"/>
      <c r="B103" s="2897">
        <v>2</v>
      </c>
      <c r="C103" s="2898">
        <f>1.4198/C101</f>
        <v>2.1191044776119403</v>
      </c>
      <c r="D103" s="2898">
        <f>1.4198/D101</f>
        <v>2.1191044776119403</v>
      </c>
      <c r="E103" s="2898">
        <f>1.3372/E101</f>
        <v>1.9958208955223879</v>
      </c>
      <c r="F103" s="2898">
        <f>1.3372/F101</f>
        <v>1.9958208955223879</v>
      </c>
      <c r="G103" s="2898">
        <f>1.3372/G101</f>
        <v>1.9958208955223879</v>
      </c>
      <c r="H103" s="2898">
        <f>1.3372/H101</f>
        <v>1.9958208955223879</v>
      </c>
      <c r="I103" s="2898">
        <f>1.3372/I101</f>
        <v>1.9958208955223879</v>
      </c>
      <c r="J103" s="2898">
        <f>1.2799/J101</f>
        <v>1.9102985074626866</v>
      </c>
      <c r="K103" s="2898">
        <f>1.2799/K101</f>
        <v>1.9102985074626866</v>
      </c>
      <c r="L103" s="2898">
        <f>1.2799/L101</f>
        <v>1.9102985074626866</v>
      </c>
      <c r="M103" s="2898">
        <f>1.2799/M101</f>
        <v>1.9102985074626866</v>
      </c>
      <c r="N103" s="2898">
        <f>1.2799/N101</f>
        <v>1.9102985074626866</v>
      </c>
    </row>
    <row r="104" spans="1:14">
      <c r="A104" s="3313"/>
      <c r="B104" s="2897">
        <v>3</v>
      </c>
      <c r="C104" s="2898">
        <f>1.1594/C101</f>
        <v>1.7304477611940297</v>
      </c>
      <c r="D104" s="2898">
        <f>1.1594/D101</f>
        <v>1.7304477611940297</v>
      </c>
      <c r="E104" s="2898">
        <f>1.0788/E101</f>
        <v>1.6101492537313431</v>
      </c>
      <c r="F104" s="2898">
        <f>1.0788/F101</f>
        <v>1.6101492537313431</v>
      </c>
      <c r="G104" s="2898">
        <f>1.0788/G101</f>
        <v>1.6101492537313431</v>
      </c>
      <c r="H104" s="2898">
        <f>1.0788/H101</f>
        <v>1.6101492537313431</v>
      </c>
      <c r="I104" s="2898">
        <f>1.0788/I101</f>
        <v>1.6101492537313431</v>
      </c>
      <c r="J104" s="2898">
        <f>1.0072/J101</f>
        <v>1.5032835820895523</v>
      </c>
      <c r="K104" s="2898">
        <f>1.0072/K101</f>
        <v>1.5032835820895523</v>
      </c>
      <c r="L104" s="2898">
        <f>1.0072/L101</f>
        <v>1.5032835820895523</v>
      </c>
      <c r="M104" s="2898">
        <f>1.0072/M101</f>
        <v>1.5032835820895523</v>
      </c>
      <c r="N104" s="2898">
        <f>1.0072/N101</f>
        <v>1.5032835820895523</v>
      </c>
    </row>
    <row r="105" spans="1:14">
      <c r="A105" s="3313"/>
      <c r="B105" s="2897">
        <v>4</v>
      </c>
      <c r="C105" s="2898">
        <f>0.9622/C101</f>
        <v>1.4361194029850746</v>
      </c>
      <c r="D105" s="2898">
        <f>0.9622/D101</f>
        <v>1.4361194029850746</v>
      </c>
      <c r="E105" s="2898">
        <f>0.8656/E101</f>
        <v>1.2919402985074626</v>
      </c>
      <c r="F105" s="2898">
        <f>0.8656/F101</f>
        <v>1.2919402985074626</v>
      </c>
      <c r="G105" s="2898">
        <f>0.8656/G101</f>
        <v>1.2919402985074626</v>
      </c>
      <c r="H105" s="2898">
        <f>0.8656/H101</f>
        <v>1.2919402985074626</v>
      </c>
      <c r="I105" s="2898">
        <f>0.8656/I101</f>
        <v>1.2919402985074626</v>
      </c>
      <c r="J105" s="2898">
        <f>0.7525/J101</f>
        <v>1.1231343283582087</v>
      </c>
      <c r="K105" s="2898">
        <f>0.7525/K101</f>
        <v>1.1231343283582087</v>
      </c>
      <c r="L105" s="2898">
        <f>0.7525/L101</f>
        <v>1.1231343283582087</v>
      </c>
      <c r="M105" s="2898">
        <f>0.7525/M101</f>
        <v>1.1231343283582087</v>
      </c>
      <c r="N105" s="2898">
        <f>0.7525/N101</f>
        <v>1.1231343283582087</v>
      </c>
    </row>
    <row r="106" spans="1:14">
      <c r="A106" s="3313"/>
      <c r="B106" s="2897">
        <v>5</v>
      </c>
      <c r="C106" s="2898">
        <f>0.8417/C101</f>
        <v>1.2562686567164179</v>
      </c>
      <c r="D106" s="2898">
        <f>0.8417/D101</f>
        <v>1.2562686567164179</v>
      </c>
      <c r="E106" s="2898">
        <f>0.7371/E101</f>
        <v>1.1001492537313431</v>
      </c>
      <c r="F106" s="2898">
        <f>0.7371/F101</f>
        <v>1.1001492537313431</v>
      </c>
      <c r="G106" s="2898">
        <f>0.7371/G101</f>
        <v>1.1001492537313431</v>
      </c>
      <c r="H106" s="2898">
        <f>0.7371/H101</f>
        <v>1.1001492537313431</v>
      </c>
      <c r="I106" s="2898">
        <f>0.7371/I101</f>
        <v>1.1001492537313431</v>
      </c>
      <c r="J106" s="2898">
        <f>0.5659/J101</f>
        <v>0.84462686567164169</v>
      </c>
      <c r="K106" s="2898">
        <f>0.5659/K101</f>
        <v>0.84462686567164169</v>
      </c>
      <c r="L106" s="2898">
        <f>0.5659/L101</f>
        <v>0.84462686567164169</v>
      </c>
      <c r="M106" s="2898">
        <f>0.5659/M101</f>
        <v>0.84462686567164169</v>
      </c>
      <c r="N106" s="2898">
        <f>0.5659/N101</f>
        <v>0.84462686567164169</v>
      </c>
    </row>
    <row r="107" spans="1:14">
      <c r="A107" s="3313"/>
      <c r="B107" s="2897">
        <v>6</v>
      </c>
      <c r="C107" s="2898">
        <f>0.7608/C101</f>
        <v>1.1355223880597014</v>
      </c>
      <c r="D107" s="2898">
        <f>0.7608/D101</f>
        <v>1.1355223880597014</v>
      </c>
      <c r="E107" s="2898">
        <f>0.6482/E101</f>
        <v>0.96746268656716417</v>
      </c>
      <c r="F107" s="2898">
        <f>0.6482/F101</f>
        <v>0.96746268656716417</v>
      </c>
      <c r="G107" s="2898">
        <f>0.6482/G101</f>
        <v>0.96746268656716417</v>
      </c>
      <c r="H107" s="2898">
        <f>0.6482/H101</f>
        <v>0.96746268656716417</v>
      </c>
      <c r="I107" s="2898">
        <f>0.6482/I101</f>
        <v>0.96746268656716417</v>
      </c>
      <c r="J107" s="2898">
        <f>0.4525/J101</f>
        <v>0.67537313432835822</v>
      </c>
      <c r="K107" s="2898">
        <f>0.4525/K101</f>
        <v>0.67537313432835822</v>
      </c>
      <c r="L107" s="2898">
        <f>0.4525/L101</f>
        <v>0.67537313432835822</v>
      </c>
      <c r="M107" s="2898">
        <f>0.4525/M101</f>
        <v>0.67537313432835822</v>
      </c>
      <c r="N107" s="2898">
        <f>0.4525/N101</f>
        <v>0.67537313432835822</v>
      </c>
    </row>
    <row r="108" spans="1:14">
      <c r="A108" s="3313"/>
      <c r="B108" s="3211" t="s">
        <v>2974</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314"/>
      <c r="B109" s="3212"/>
      <c r="C109" s="2900">
        <f>(-0.163*(C108^2)-0.59*C108+7617)*(10^(-4))/C101</f>
        <v>1.1368656716417911</v>
      </c>
      <c r="D109" s="2900">
        <f>(-0.163*(D108^2)-0.59*D108+7617)*(10^(-4))/D101</f>
        <v>1.1368656716417911</v>
      </c>
      <c r="E109" s="2900">
        <f>(-0.161*(E108^2)-7.509*E108+6533)*(10^(-4))/E101</f>
        <v>0.97507462686567159</v>
      </c>
      <c r="F109" s="2900">
        <f>(-0.161*(F108^2)-7.509*F108+6533)*(10^(-4))/F101</f>
        <v>0.97507462686567159</v>
      </c>
      <c r="G109" s="2900">
        <f>(-0.161*(G108^2)-7.509*G108+6533)*(10^(-4))/G101</f>
        <v>0.97507462686567159</v>
      </c>
      <c r="H109" s="2900">
        <f>(-0.161*(H108^2)-7.509*H108+6533)*(10^(-4))/H101</f>
        <v>0.97507462686567159</v>
      </c>
      <c r="I109" s="2900">
        <f>(-0.161*(I108^2)-7.509*I108+6533)*(10^(-4))/I101</f>
        <v>0.97507462686567159</v>
      </c>
      <c r="J109" s="2900">
        <f>(-0.214*(J108^2)-21.991*J108+4665)*(10^(-4))/J101</f>
        <v>0.69626865671641791</v>
      </c>
      <c r="K109" s="2900">
        <f>(-0.214*(K108^2)-21.991*K108+4665)*(10^(-4))/K101</f>
        <v>0.69626865671641791</v>
      </c>
      <c r="L109" s="2900">
        <f>(-0.214*(L108^2)-21.991*L108+4665)*(10^(-4))/L101</f>
        <v>0.69626865671641791</v>
      </c>
      <c r="M109" s="2900">
        <f>(-0.214*(M108^2)-21.991*M108+4665)*(10^(-4))/M101</f>
        <v>0.69626865671641791</v>
      </c>
      <c r="N109" s="2900">
        <f>(-0.214*(N108^2)-21.991*N108+4665)*(10^(-4))/N101</f>
        <v>0.69626865671641791</v>
      </c>
    </row>
    <row r="110" spans="1:14">
      <c r="A110" s="3310" t="s">
        <v>2975</v>
      </c>
      <c r="B110" s="3310"/>
      <c r="C110" s="3310"/>
      <c r="D110" s="3310"/>
      <c r="E110" s="3310"/>
      <c r="F110" s="3310"/>
      <c r="G110" s="3310"/>
      <c r="H110" s="3310"/>
      <c r="I110" s="3310"/>
      <c r="J110" s="3310"/>
      <c r="K110" s="2903"/>
      <c r="L110" s="2903"/>
      <c r="M110" s="2903"/>
      <c r="N110" s="2903"/>
    </row>
    <row r="112" spans="1:14" ht="13.5" thickBot="1"/>
    <row r="113" spans="1:13" ht="25.5" thickBot="1">
      <c r="A113" s="903" t="s">
        <v>2976</v>
      </c>
      <c r="B113" s="1290">
        <f>G3</f>
        <v>0.67</v>
      </c>
      <c r="C113" s="904" t="s">
        <v>2977</v>
      </c>
      <c r="D113" s="905">
        <f>SUMPRODUCT((A115:A118=F113)*(B114:M114=H113)*B115:M118)</f>
        <v>0.7208</v>
      </c>
      <c r="E113" s="2726" t="s">
        <v>2811</v>
      </c>
      <c r="F113" s="2905" t="str">
        <f>E2</f>
        <v>工业</v>
      </c>
      <c r="G113" s="2726" t="s">
        <v>2812</v>
      </c>
      <c r="H113" s="2905" t="str">
        <f>G2</f>
        <v>二级</v>
      </c>
      <c r="I113" s="2726"/>
      <c r="J113" s="2906"/>
      <c r="K113" s="2906"/>
      <c r="L113" s="2906"/>
      <c r="M113" s="2906"/>
    </row>
    <row r="114" spans="1:13">
      <c r="A114" s="908"/>
      <c r="B114" s="2907" t="s">
        <v>2978</v>
      </c>
      <c r="C114" s="2907" t="s">
        <v>2979</v>
      </c>
      <c r="D114" s="2907" t="s">
        <v>2980</v>
      </c>
      <c r="E114" s="2908" t="s">
        <v>2981</v>
      </c>
      <c r="F114" s="2908" t="s">
        <v>2982</v>
      </c>
      <c r="G114" s="2908" t="s">
        <v>2983</v>
      </c>
      <c r="H114" s="2909" t="s">
        <v>2984</v>
      </c>
      <c r="I114" s="2909" t="s">
        <v>2985</v>
      </c>
      <c r="J114" s="2910" t="s">
        <v>2986</v>
      </c>
      <c r="K114" s="2910" t="s">
        <v>2987</v>
      </c>
      <c r="L114" s="2910" t="s">
        <v>2988</v>
      </c>
      <c r="M114" s="2911" t="s">
        <v>2989</v>
      </c>
    </row>
    <row r="115" spans="1:13">
      <c r="A115" s="909" t="s">
        <v>2875</v>
      </c>
      <c r="B115" s="910">
        <f>ROUND(0.9335-0.0094*B113,4)</f>
        <v>0.92720000000000002</v>
      </c>
      <c r="C115" s="910">
        <f>B115</f>
        <v>0.92720000000000002</v>
      </c>
      <c r="D115" s="910">
        <f>ROUND(0.8331-0.0109*B113,4)</f>
        <v>0.82579999999999998</v>
      </c>
      <c r="E115" s="910">
        <f>D115</f>
        <v>0.82579999999999998</v>
      </c>
      <c r="F115" s="910">
        <f>E115</f>
        <v>0.82579999999999998</v>
      </c>
      <c r="G115" s="910">
        <f>F115</f>
        <v>0.82579999999999998</v>
      </c>
      <c r="H115" s="910">
        <f>G115</f>
        <v>0.82579999999999998</v>
      </c>
      <c r="I115" s="910">
        <f>ROUND(0.689-0.0155*B113,4)</f>
        <v>0.67859999999999998</v>
      </c>
      <c r="J115" s="910">
        <f t="shared" ref="J115:M118" si="33">I115</f>
        <v>0.67859999999999998</v>
      </c>
      <c r="K115" s="910">
        <f t="shared" si="33"/>
        <v>0.67859999999999998</v>
      </c>
      <c r="L115" s="910">
        <f t="shared" si="33"/>
        <v>0.67859999999999998</v>
      </c>
      <c r="M115" s="911">
        <f t="shared" si="33"/>
        <v>0.67859999999999998</v>
      </c>
    </row>
    <row r="116" spans="1:13">
      <c r="A116" s="909" t="s">
        <v>2876</v>
      </c>
      <c r="B116" s="910">
        <f>ROUND(0.949-0.012*B113,4)</f>
        <v>0.94099999999999995</v>
      </c>
      <c r="C116" s="910">
        <f>B116</f>
        <v>0.94099999999999995</v>
      </c>
      <c r="D116" s="910">
        <f>ROUND(0.8567-0.013*B113,4)</f>
        <v>0.84799999999999998</v>
      </c>
      <c r="E116" s="910">
        <f t="shared" ref="E116:H117" si="34">D116</f>
        <v>0.84799999999999998</v>
      </c>
      <c r="F116" s="910">
        <f t="shared" si="34"/>
        <v>0.84799999999999998</v>
      </c>
      <c r="G116" s="910">
        <f t="shared" si="34"/>
        <v>0.84799999999999998</v>
      </c>
      <c r="H116" s="910">
        <f t="shared" si="34"/>
        <v>0.84799999999999998</v>
      </c>
      <c r="I116" s="910">
        <f>ROUND(0.7694-0.014*B113,4)</f>
        <v>0.76</v>
      </c>
      <c r="J116" s="910">
        <f t="shared" si="33"/>
        <v>0.76</v>
      </c>
      <c r="K116" s="910">
        <f t="shared" si="33"/>
        <v>0.76</v>
      </c>
      <c r="L116" s="910">
        <f t="shared" si="33"/>
        <v>0.76</v>
      </c>
      <c r="M116" s="911">
        <f t="shared" si="33"/>
        <v>0.76</v>
      </c>
    </row>
    <row r="117" spans="1:13">
      <c r="A117" s="909" t="s">
        <v>2877</v>
      </c>
      <c r="B117" s="910">
        <f>ROUND(0.8808-0.006*B113,4)</f>
        <v>0.87680000000000002</v>
      </c>
      <c r="C117" s="910">
        <f>B117</f>
        <v>0.87680000000000002</v>
      </c>
      <c r="D117" s="910">
        <f>ROUND(0.8748-0.008*B113,4)</f>
        <v>0.86939999999999995</v>
      </c>
      <c r="E117" s="910">
        <f t="shared" si="34"/>
        <v>0.86939999999999995</v>
      </c>
      <c r="F117" s="910">
        <f t="shared" si="34"/>
        <v>0.86939999999999995</v>
      </c>
      <c r="G117" s="910">
        <f t="shared" si="34"/>
        <v>0.86939999999999995</v>
      </c>
      <c r="H117" s="910">
        <f t="shared" si="34"/>
        <v>0.86939999999999995</v>
      </c>
      <c r="I117" s="910">
        <f>ROUND(0.7412-0.0095*B113,4)</f>
        <v>0.73480000000000001</v>
      </c>
      <c r="J117" s="910">
        <f t="shared" si="33"/>
        <v>0.73480000000000001</v>
      </c>
      <c r="K117" s="910">
        <f t="shared" si="33"/>
        <v>0.73480000000000001</v>
      </c>
      <c r="L117" s="910">
        <f t="shared" si="33"/>
        <v>0.73480000000000001</v>
      </c>
      <c r="M117" s="911">
        <f t="shared" si="33"/>
        <v>0.73480000000000001</v>
      </c>
    </row>
    <row r="118" spans="1:13" ht="13.5" thickBot="1">
      <c r="A118" s="714" t="s">
        <v>2878</v>
      </c>
      <c r="B118" s="912">
        <f>ROUND(0.7275-0.01*B113,4)</f>
        <v>0.7208</v>
      </c>
      <c r="C118" s="912">
        <f>B118</f>
        <v>0.7208</v>
      </c>
      <c r="D118" s="912">
        <f>ROUND(0.7043-0.012*B113,4)</f>
        <v>0.69630000000000003</v>
      </c>
      <c r="E118" s="912">
        <f>D118</f>
        <v>0.69630000000000003</v>
      </c>
      <c r="F118" s="912">
        <f>E118</f>
        <v>0.69630000000000003</v>
      </c>
      <c r="G118" s="912">
        <f>ROUND(0.6299-0.0122*B113,4)</f>
        <v>0.62170000000000003</v>
      </c>
      <c r="H118" s="912">
        <f>G118</f>
        <v>0.62170000000000003</v>
      </c>
      <c r="I118" s="912">
        <f>ROUND(0.5667-0.0136*B113,4)</f>
        <v>0.55759999999999998</v>
      </c>
      <c r="J118" s="912">
        <f t="shared" si="33"/>
        <v>0.55759999999999998</v>
      </c>
      <c r="K118" s="912">
        <f t="shared" si="33"/>
        <v>0.55759999999999998</v>
      </c>
      <c r="L118" s="912">
        <f t="shared" si="33"/>
        <v>0.55759999999999998</v>
      </c>
      <c r="M118" s="913">
        <f t="shared" si="33"/>
        <v>0.55759999999999998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4" sqref="I34"/>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3" t="s">
        <v>2523</v>
      </c>
      <c r="B1" s="2564"/>
      <c r="C1" s="2564"/>
      <c r="D1" s="2564"/>
      <c r="E1" s="2565"/>
    </row>
    <row r="2" spans="1:6" ht="15.75">
      <c r="A2" s="2566" t="s">
        <v>2324</v>
      </c>
      <c r="B2" s="2567">
        <f ca="1">SUMIF(B6:B13,"&lt;&gt;#ref!",B6:B13)</f>
        <v>100537</v>
      </c>
      <c r="C2" s="2568" t="s">
        <v>2516</v>
      </c>
      <c r="D2" s="2569" t="s">
        <v>2517</v>
      </c>
      <c r="E2" s="2570">
        <f>SUM(E6:E13)</f>
        <v>25430.709999999995</v>
      </c>
    </row>
    <row r="3" spans="1:6" ht="15.75">
      <c r="A3" s="2566" t="s">
        <v>1396</v>
      </c>
      <c r="B3" s="2567">
        <f ca="1">ROUND(B2*10000/E2,0)</f>
        <v>39534</v>
      </c>
      <c r="C3" s="2568" t="s">
        <v>2524</v>
      </c>
      <c r="D3" s="2571"/>
      <c r="E3" s="2572"/>
    </row>
    <row r="4" spans="1:6" ht="15.75">
      <c r="A4" s="2573"/>
      <c r="B4" s="2571"/>
      <c r="C4" s="2571"/>
      <c r="D4" s="2571"/>
      <c r="E4" s="2572"/>
    </row>
    <row r="5" spans="1:6" ht="15">
      <c r="A5" s="2574" t="s">
        <v>2518</v>
      </c>
      <c r="B5" s="3318" t="s">
        <v>2519</v>
      </c>
      <c r="C5" s="3318"/>
      <c r="D5" s="2575"/>
      <c r="E5" s="2576" t="s">
        <v>2520</v>
      </c>
      <c r="F5" s="2577" t="s">
        <v>2521</v>
      </c>
    </row>
    <row r="6" spans="1:6">
      <c r="A6" s="2578">
        <f>'数据-取费表'!AN6</f>
        <v>0</v>
      </c>
      <c r="B6" s="2577" t="e">
        <f ca="1">IF(F6="是",'数据-取费表'!AO6,0)</f>
        <v>#REF!</v>
      </c>
      <c r="C6" s="2568" t="s">
        <v>2516</v>
      </c>
      <c r="D6" s="2571"/>
      <c r="E6" s="2579">
        <f>IF(OR(A6=0,F6="否"),0,'数据-取费表'!K6+'数据-取费表'!S6)</f>
        <v>0</v>
      </c>
      <c r="F6" s="2580" t="s">
        <v>2522</v>
      </c>
    </row>
    <row r="7" spans="1:6">
      <c r="A7" s="2578" t="str">
        <f>'数据-取费表'!AN7</f>
        <v>收益法-办公短租</v>
      </c>
      <c r="B7" s="2577">
        <f ca="1">IF(F7="是",'数据-取费表'!AO7,0)</f>
        <v>55711</v>
      </c>
      <c r="C7" s="2568" t="s">
        <v>2516</v>
      </c>
      <c r="D7" s="2571"/>
      <c r="E7" s="2579">
        <f>IF(OR(A7=0,F7="否"),0,'数据-取费表'!K7+'数据-取费表'!S7)</f>
        <v>13090.679999999998</v>
      </c>
      <c r="F7" s="2580" t="s">
        <v>2522</v>
      </c>
    </row>
    <row r="8" spans="1:6">
      <c r="A8" s="2578" t="str">
        <f>'数据-取费表'!AN8</f>
        <v>收益法-办公长租</v>
      </c>
      <c r="B8" s="2577">
        <f ca="1">IF(F8="是",'数据-取费表'!AO8,0)</f>
        <v>3684</v>
      </c>
      <c r="C8" s="2568" t="s">
        <v>2516</v>
      </c>
      <c r="D8" s="2571"/>
      <c r="E8" s="2579">
        <f>IF(OR(A8=0,F8="否"),0,'数据-取费表'!K8+'数据-取费表'!S8)</f>
        <v>1670.3</v>
      </c>
      <c r="F8" s="2580" t="s">
        <v>2522</v>
      </c>
    </row>
    <row r="9" spans="1:6">
      <c r="A9" s="2578" t="str">
        <f>'数据-取费表'!AN9</f>
        <v>收益法-办公未租</v>
      </c>
      <c r="B9" s="2577">
        <f ca="1">IF(F9="是",'数据-取费表'!AO9,0)</f>
        <v>41142</v>
      </c>
      <c r="C9" s="2568" t="s">
        <v>2516</v>
      </c>
      <c r="D9" s="2571"/>
      <c r="E9" s="2579">
        <f>IF(OR(A9=0,F9="否"),0,'数据-取费表'!K9+'数据-取费表'!S9)</f>
        <v>10669.729999999998</v>
      </c>
      <c r="F9" s="2580" t="s">
        <v>2522</v>
      </c>
    </row>
    <row r="10" spans="1:6">
      <c r="A10" s="2578">
        <f>'数据-取费表'!AN10</f>
        <v>0</v>
      </c>
      <c r="B10" s="2577" t="e">
        <f ca="1">IF(F10="是",'数据-取费表'!AO10,0)</f>
        <v>#REF!</v>
      </c>
      <c r="C10" s="2568" t="s">
        <v>2516</v>
      </c>
      <c r="D10" s="2571"/>
      <c r="E10" s="2579">
        <f>IF(OR(A10=0,F10="否"),0,'数据-取费表'!K10+'数据-取费表'!S10)</f>
        <v>0</v>
      </c>
      <c r="F10" s="2580" t="s">
        <v>2522</v>
      </c>
    </row>
    <row r="11" spans="1:6">
      <c r="A11" s="2578">
        <f>'数据-取费表'!AN11</f>
        <v>0</v>
      </c>
      <c r="B11" s="2577" t="e">
        <f ca="1">IF(F11="是",'数据-取费表'!AO11,0)</f>
        <v>#REF!</v>
      </c>
      <c r="C11" s="2568" t="s">
        <v>2516</v>
      </c>
      <c r="D11" s="2571"/>
      <c r="E11" s="2579">
        <f>IF(OR(A11=0,F11="否"),0,'数据-取费表'!K11+'数据-取费表'!S11)</f>
        <v>0</v>
      </c>
      <c r="F11" s="2580" t="s">
        <v>2522</v>
      </c>
    </row>
    <row r="12" spans="1:6">
      <c r="A12" s="2578">
        <f>'数据-取费表'!AN12</f>
        <v>0</v>
      </c>
      <c r="B12" s="2577" t="e">
        <f ca="1">IF(F12="是",'数据-取费表'!AO12,0)</f>
        <v>#REF!</v>
      </c>
      <c r="C12" s="2568" t="s">
        <v>2516</v>
      </c>
      <c r="D12" s="2571"/>
      <c r="E12" s="2579">
        <f>IF(OR(A12=0,F12="否"),0,'数据-取费表'!K12+'数据-取费表'!S12)</f>
        <v>0</v>
      </c>
      <c r="F12" s="2580" t="s">
        <v>2522</v>
      </c>
    </row>
    <row r="13" spans="1:6" ht="15" thickBot="1">
      <c r="A13" s="2581">
        <f>'数据-取费表'!AN13</f>
        <v>0</v>
      </c>
      <c r="B13" s="2577" t="e">
        <f ca="1">IF(F13="是",'数据-取费表'!AO13,0)</f>
        <v>#REF!</v>
      </c>
      <c r="C13" s="2582" t="s">
        <v>2516</v>
      </c>
      <c r="D13" s="2583"/>
      <c r="E13" s="2579">
        <f>IF(OR(A13=0,F13="否"),0,'数据-取费表'!K13+'数据-取费表'!S13)</f>
        <v>0</v>
      </c>
      <c r="F13" s="2580"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35" t="s">
        <v>1076</v>
      </c>
      <c r="B1" s="3336"/>
      <c r="C1" s="3337"/>
      <c r="D1" s="3338">
        <f>SUM(I10,I15,I20,I21,I23)</f>
        <v>0</v>
      </c>
      <c r="E1" s="3338"/>
      <c r="F1" s="3338"/>
      <c r="G1" s="3338"/>
      <c r="H1" s="3338"/>
      <c r="I1" s="3339"/>
    </row>
    <row r="2" spans="1:9">
      <c r="A2" s="3325" t="s">
        <v>1077</v>
      </c>
      <c r="B2" s="3326" t="s">
        <v>1078</v>
      </c>
      <c r="C2" s="3326"/>
      <c r="D2" s="1304" t="s">
        <v>1079</v>
      </c>
      <c r="E2" s="1304" t="s">
        <v>1080</v>
      </c>
      <c r="F2" s="1304" t="s">
        <v>1081</v>
      </c>
      <c r="G2" s="1304" t="s">
        <v>1082</v>
      </c>
      <c r="H2" s="1304" t="s">
        <v>1083</v>
      </c>
      <c r="I2" s="1305" t="s">
        <v>1084</v>
      </c>
    </row>
    <row r="3" spans="1:9">
      <c r="A3" s="3325"/>
      <c r="B3" s="3326" t="s">
        <v>1085</v>
      </c>
      <c r="C3" s="3326"/>
      <c r="D3" s="1306"/>
      <c r="E3" s="1304"/>
      <c r="F3" s="1307"/>
      <c r="G3" s="1307"/>
      <c r="H3" s="1308"/>
      <c r="I3" s="1309">
        <f>ROUND(D3*E3*F3*G3*H3/10000,0)</f>
        <v>0</v>
      </c>
    </row>
    <row r="4" spans="1:9">
      <c r="A4" s="3325"/>
      <c r="B4" s="3326" t="s">
        <v>1086</v>
      </c>
      <c r="C4" s="3326"/>
      <c r="D4" s="1306"/>
      <c r="E4" s="1304"/>
      <c r="F4" s="1307"/>
      <c r="G4" s="1307"/>
      <c r="H4" s="1308"/>
      <c r="I4" s="1309">
        <f t="shared" ref="I4:I9" si="0">ROUND(D4*E4*F4*G4*H4/10000,0)</f>
        <v>0</v>
      </c>
    </row>
    <row r="5" spans="1:9">
      <c r="A5" s="3325"/>
      <c r="B5" s="3326" t="s">
        <v>1087</v>
      </c>
      <c r="C5" s="3326"/>
      <c r="D5" s="1306"/>
      <c r="E5" s="1304"/>
      <c r="F5" s="1307"/>
      <c r="G5" s="1307"/>
      <c r="H5" s="1308"/>
      <c r="I5" s="1309">
        <f t="shared" si="0"/>
        <v>0</v>
      </c>
    </row>
    <row r="6" spans="1:9">
      <c r="A6" s="3325"/>
      <c r="B6" s="3326" t="s">
        <v>1088</v>
      </c>
      <c r="C6" s="3326"/>
      <c r="D6" s="1306"/>
      <c r="E6" s="1304"/>
      <c r="F6" s="1307"/>
      <c r="G6" s="1307"/>
      <c r="H6" s="1308"/>
      <c r="I6" s="1309">
        <f t="shared" si="0"/>
        <v>0</v>
      </c>
    </row>
    <row r="7" spans="1:9">
      <c r="A7" s="3325"/>
      <c r="B7" s="3326" t="s">
        <v>1089</v>
      </c>
      <c r="C7" s="3326"/>
      <c r="D7" s="1306"/>
      <c r="E7" s="1304"/>
      <c r="F7" s="1307"/>
      <c r="G7" s="1307"/>
      <c r="H7" s="1308"/>
      <c r="I7" s="1309">
        <f t="shared" si="0"/>
        <v>0</v>
      </c>
    </row>
    <row r="8" spans="1:9">
      <c r="A8" s="3325"/>
      <c r="B8" s="3326" t="s">
        <v>1090</v>
      </c>
      <c r="C8" s="3326"/>
      <c r="D8" s="1306"/>
      <c r="E8" s="1304"/>
      <c r="F8" s="1307"/>
      <c r="G8" s="1307"/>
      <c r="H8" s="1308"/>
      <c r="I8" s="1309">
        <f t="shared" si="0"/>
        <v>0</v>
      </c>
    </row>
    <row r="9" spans="1:9">
      <c r="A9" s="3325"/>
      <c r="B9" s="3326" t="s">
        <v>1091</v>
      </c>
      <c r="C9" s="3326"/>
      <c r="D9" s="1306"/>
      <c r="E9" s="1304"/>
      <c r="F9" s="1307"/>
      <c r="G9" s="1307"/>
      <c r="H9" s="1308"/>
      <c r="I9" s="1309">
        <f t="shared" si="0"/>
        <v>0</v>
      </c>
    </row>
    <row r="10" spans="1:9">
      <c r="A10" s="3325"/>
      <c r="B10" s="3327" t="s">
        <v>1092</v>
      </c>
      <c r="C10" s="3327"/>
      <c r="D10" s="1310"/>
      <c r="E10" s="1310" t="e">
        <f>ROUND(D1*10000/D10/H9,0)</f>
        <v>#DIV/0!</v>
      </c>
      <c r="F10" s="1311"/>
      <c r="G10" s="1311"/>
      <c r="H10" s="1312"/>
      <c r="I10" s="1313">
        <f>SUM(I3:I9)</f>
        <v>0</v>
      </c>
    </row>
    <row r="11" spans="1:9" ht="14.25">
      <c r="A11" s="3325" t="s">
        <v>1093</v>
      </c>
      <c r="B11" s="3326" t="s">
        <v>1094</v>
      </c>
      <c r="C11" s="3326"/>
      <c r="D11" s="1306" t="s">
        <v>1095</v>
      </c>
      <c r="E11" s="1306" t="s">
        <v>1096</v>
      </c>
      <c r="F11" s="1307" t="s">
        <v>1097</v>
      </c>
      <c r="G11" s="1307" t="s">
        <v>1083</v>
      </c>
      <c r="H11" s="1314" t="s">
        <v>1098</v>
      </c>
      <c r="I11" s="1305" t="s">
        <v>1084</v>
      </c>
    </row>
    <row r="12" spans="1:9">
      <c r="A12" s="3325"/>
      <c r="B12" s="3326" t="s">
        <v>1099</v>
      </c>
      <c r="C12" s="3326"/>
      <c r="D12" s="1306"/>
      <c r="E12" s="1306"/>
      <c r="F12" s="1307"/>
      <c r="G12" s="1308"/>
      <c r="H12" s="1315"/>
      <c r="I12" s="1305">
        <f>ROUND(D12*E12*F12*G12/10000,0)</f>
        <v>0</v>
      </c>
    </row>
    <row r="13" spans="1:9">
      <c r="A13" s="3325"/>
      <c r="B13" s="3326" t="s">
        <v>1100</v>
      </c>
      <c r="C13" s="3326"/>
      <c r="D13" s="1306"/>
      <c r="E13" s="1306"/>
      <c r="F13" s="1307"/>
      <c r="G13" s="1308"/>
      <c r="H13" s="1315"/>
      <c r="I13" s="1305">
        <f>ROUND(D13*E13*F13*G13/10000,0)</f>
        <v>0</v>
      </c>
    </row>
    <row r="14" spans="1:9">
      <c r="A14" s="3325"/>
      <c r="B14" s="3326" t="s">
        <v>1101</v>
      </c>
      <c r="C14" s="3326"/>
      <c r="D14" s="1306"/>
      <c r="E14" s="1306"/>
      <c r="F14" s="1307"/>
      <c r="G14" s="1308"/>
      <c r="H14" s="1315"/>
      <c r="I14" s="1305">
        <f>ROUND(D14*E14*F14*G14/10000,0)</f>
        <v>0</v>
      </c>
    </row>
    <row r="15" spans="1:9">
      <c r="A15" s="3325"/>
      <c r="B15" s="3327" t="s">
        <v>1092</v>
      </c>
      <c r="C15" s="3327"/>
      <c r="D15" s="1310"/>
      <c r="E15" s="1310">
        <f>SUM(E12:E14)</f>
        <v>0</v>
      </c>
      <c r="F15" s="1311"/>
      <c r="G15" s="1308"/>
      <c r="H15" s="1315"/>
      <c r="I15" s="1316">
        <f>SUM(I12:I14)</f>
        <v>0</v>
      </c>
    </row>
    <row r="16" spans="1:9" ht="24">
      <c r="A16" s="3325" t="s">
        <v>1102</v>
      </c>
      <c r="B16" s="3326" t="s">
        <v>1103</v>
      </c>
      <c r="C16" s="3326"/>
      <c r="D16" s="1306" t="s">
        <v>1079</v>
      </c>
      <c r="E16" s="1317" t="s">
        <v>1104</v>
      </c>
      <c r="F16" s="1307" t="s">
        <v>1105</v>
      </c>
      <c r="G16" s="1308" t="s">
        <v>1083</v>
      </c>
      <c r="H16" s="1314" t="s">
        <v>1098</v>
      </c>
      <c r="I16" s="1305" t="s">
        <v>1084</v>
      </c>
    </row>
    <row r="17" spans="1:9" ht="14.25">
      <c r="A17" s="3325"/>
      <c r="B17" s="3326" t="s">
        <v>1106</v>
      </c>
      <c r="C17" s="3326"/>
      <c r="D17" s="1306"/>
      <c r="E17" s="1306"/>
      <c r="F17" s="1307"/>
      <c r="G17" s="1308"/>
      <c r="H17" s="1318"/>
      <c r="I17" s="1319">
        <f>ROUND(D17*E17*F17*G17/10000,0)</f>
        <v>0</v>
      </c>
    </row>
    <row r="18" spans="1:9" ht="14.25">
      <c r="A18" s="3325"/>
      <c r="B18" s="3326" t="s">
        <v>1107</v>
      </c>
      <c r="C18" s="3326"/>
      <c r="D18" s="1306"/>
      <c r="E18" s="1306"/>
      <c r="F18" s="1307"/>
      <c r="G18" s="1308"/>
      <c r="H18" s="1318"/>
      <c r="I18" s="1319">
        <f>ROUND(D18*E18*F18*G18/10000,0)</f>
        <v>0</v>
      </c>
    </row>
    <row r="19" spans="1:9" ht="14.25">
      <c r="A19" s="3325"/>
      <c r="B19" s="3326" t="s">
        <v>1108</v>
      </c>
      <c r="C19" s="3326"/>
      <c r="D19" s="1306"/>
      <c r="E19" s="1306"/>
      <c r="F19" s="1307"/>
      <c r="G19" s="1308"/>
      <c r="H19" s="1318"/>
      <c r="I19" s="1319">
        <f>ROUND(D19*E19*F19*G19/10000,0)</f>
        <v>0</v>
      </c>
    </row>
    <row r="20" spans="1:9">
      <c r="A20" s="3325"/>
      <c r="B20" s="3327" t="s">
        <v>1092</v>
      </c>
      <c r="C20" s="3327"/>
      <c r="D20" s="1310">
        <f>SUM(D17:D19)</f>
        <v>0</v>
      </c>
      <c r="E20" s="1310"/>
      <c r="F20" s="1311"/>
      <c r="G20" s="1308"/>
      <c r="H20" s="1315"/>
      <c r="I20" s="1316">
        <f>SUM(I17:I19)</f>
        <v>0</v>
      </c>
    </row>
    <row r="21" spans="1:9">
      <c r="A21" s="3325" t="s">
        <v>1109</v>
      </c>
      <c r="B21" s="3328"/>
      <c r="C21" s="3328"/>
      <c r="D21" s="3328"/>
      <c r="E21" s="3328"/>
      <c r="F21" s="3328"/>
      <c r="G21" s="3328"/>
      <c r="H21" s="1769">
        <v>0.1</v>
      </c>
      <c r="I21" s="1313">
        <f>ROUND(I10*H21,0)</f>
        <v>0</v>
      </c>
    </row>
    <row r="22" spans="1:9" ht="14.25">
      <c r="A22" s="3329" t="s">
        <v>1110</v>
      </c>
      <c r="B22" s="3330"/>
      <c r="C22" s="3331"/>
      <c r="D22" s="1320" t="s">
        <v>1111</v>
      </c>
      <c r="E22" s="1320" t="s">
        <v>1112</v>
      </c>
      <c r="F22" s="1321" t="s">
        <v>1113</v>
      </c>
      <c r="G22" s="1321" t="s">
        <v>1114</v>
      </c>
      <c r="H22" s="1314" t="s">
        <v>1115</v>
      </c>
      <c r="I22" s="1305" t="s">
        <v>1116</v>
      </c>
    </row>
    <row r="23" spans="1:9" ht="14.25" thickBot="1">
      <c r="A23" s="3332"/>
      <c r="B23" s="3333"/>
      <c r="C23" s="3334"/>
      <c r="D23" s="1322"/>
      <c r="E23" s="1322"/>
      <c r="F23" s="1322"/>
      <c r="G23" s="1323"/>
      <c r="H23" s="1324"/>
      <c r="I23" s="1325">
        <f>ROUND(E23*D23*F23*(1-G23)/10000,0)</f>
        <v>0</v>
      </c>
    </row>
    <row r="26" spans="1:9">
      <c r="A26" s="1326" t="s">
        <v>1117</v>
      </c>
      <c r="B26" s="1326"/>
      <c r="C26" s="1326"/>
      <c r="D26" s="1326"/>
      <c r="E26" s="3322">
        <f>C27-C30-C31-C32</f>
        <v>0</v>
      </c>
      <c r="F26" s="3322"/>
      <c r="G26" s="3322"/>
      <c r="H26" s="1741" t="s">
        <v>1341</v>
      </c>
    </row>
    <row r="27" spans="1:9">
      <c r="A27" s="1327">
        <v>1</v>
      </c>
      <c r="B27" s="1328" t="s">
        <v>1118</v>
      </c>
      <c r="C27" s="1328">
        <f>C28+C29</f>
        <v>0</v>
      </c>
      <c r="D27" s="1328"/>
      <c r="E27" s="3323"/>
      <c r="F27" s="3323"/>
      <c r="G27" s="3323"/>
    </row>
    <row r="28" spans="1:9">
      <c r="A28" s="1329" t="s">
        <v>1119</v>
      </c>
      <c r="B28" s="1328" t="s">
        <v>1120</v>
      </c>
      <c r="C28" s="1328"/>
      <c r="D28" s="1328"/>
      <c r="E28" s="3323"/>
      <c r="F28" s="3323"/>
      <c r="G28" s="332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324"/>
      <c r="F32" s="3324"/>
      <c r="G32" s="3324"/>
    </row>
    <row r="33" spans="1:7" hidden="1">
      <c r="A33" s="3319" t="s">
        <v>1129</v>
      </c>
      <c r="B33" s="3320"/>
      <c r="C33" s="3320"/>
      <c r="D33" s="3321"/>
      <c r="E33" s="3322"/>
      <c r="F33" s="3322"/>
      <c r="G33" s="3322"/>
    </row>
    <row r="34" spans="1:7" hidden="1">
      <c r="A34" s="1331">
        <v>1</v>
      </c>
      <c r="B34" s="1328" t="s">
        <v>1130</v>
      </c>
      <c r="C34" s="1328"/>
      <c r="D34" s="1328"/>
      <c r="E34" s="3323"/>
      <c r="F34" s="3323"/>
      <c r="G34" s="3323"/>
    </row>
    <row r="35" spans="1:7" hidden="1">
      <c r="A35" s="1331">
        <v>2</v>
      </c>
      <c r="B35" s="1328" t="s">
        <v>1131</v>
      </c>
      <c r="C35" s="1328"/>
      <c r="D35" s="1328"/>
      <c r="E35" s="3323"/>
      <c r="F35" s="3323"/>
      <c r="G35" s="3323"/>
    </row>
    <row r="36" spans="1:7" hidden="1">
      <c r="A36" s="1331">
        <v>3</v>
      </c>
      <c r="B36" s="1328" t="s">
        <v>1132</v>
      </c>
      <c r="C36" s="1328"/>
      <c r="D36" s="1328"/>
      <c r="E36" s="3323"/>
      <c r="F36" s="3323"/>
      <c r="G36" s="3323"/>
    </row>
    <row r="37" spans="1:7" hidden="1">
      <c r="A37" s="1331">
        <v>4</v>
      </c>
      <c r="B37" s="1328" t="s">
        <v>1133</v>
      </c>
      <c r="C37" s="1328"/>
      <c r="D37" s="1328"/>
      <c r="E37" s="3323"/>
      <c r="F37" s="3323"/>
      <c r="G37" s="3323"/>
    </row>
    <row r="38" spans="1:7" hidden="1">
      <c r="A38" s="3319" t="s">
        <v>1134</v>
      </c>
      <c r="B38" s="3320"/>
      <c r="C38" s="3320"/>
      <c r="D38" s="3321"/>
      <c r="E38" s="3322"/>
      <c r="F38" s="3322"/>
      <c r="G38" s="332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2525</v>
      </c>
      <c r="B1" s="2584" t="s">
        <v>2526</v>
      </c>
      <c r="C1" s="1638" t="s">
        <v>2527</v>
      </c>
      <c r="D1" s="1625"/>
      <c r="E1" s="2585"/>
      <c r="F1" s="2586" t="s">
        <v>2528</v>
      </c>
      <c r="G1" s="1635" t="s">
        <v>2529</v>
      </c>
      <c r="H1" s="1634"/>
      <c r="I1" s="1634"/>
      <c r="J1" s="1634"/>
      <c r="K1" s="1636"/>
      <c r="L1" s="1637"/>
      <c r="M1" s="1638"/>
      <c r="N1" s="1638"/>
      <c r="O1" s="1638"/>
      <c r="P1" s="2587"/>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88"/>
      <c r="D2" s="1368" t="e">
        <f ca="1">SUMIF(INDIRECT("'"&amp;F2&amp;"'"&amp;"!A:A"),"承租人权益价值",INDIRECT("'"&amp;F2&amp;"'"&amp;"!c:c"))</f>
        <v>#REF!</v>
      </c>
      <c r="E2" s="2589" t="s">
        <v>2530</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1396</v>
      </c>
      <c r="B3" s="399" t="e">
        <f ca="1">IF(C2="——",C49,ROUND(B2*10000/D3,0))</f>
        <v>#DIV/0!</v>
      </c>
      <c r="C3" s="400" t="s">
        <v>2531</v>
      </c>
      <c r="D3" s="399">
        <f>IF(D1="",'数据-汇总表'!E3,SUMIF('数据-汇总表'!$C19:$C33,D1,'数据-汇总表'!$E19:$E33))</f>
        <v>25430.71</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2532</v>
      </c>
      <c r="B4" s="402"/>
      <c r="C4" s="3256" t="s">
        <v>2533</v>
      </c>
      <c r="D4" s="3257"/>
      <c r="E4" s="3258" t="s">
        <v>2534</v>
      </c>
      <c r="F4" s="3259"/>
      <c r="G4" s="3256" t="s">
        <v>2535</v>
      </c>
      <c r="H4" s="3257"/>
      <c r="I4" s="3256" t="s">
        <v>2536</v>
      </c>
      <c r="J4" s="3257"/>
      <c r="K4" s="2598" t="s">
        <v>2537</v>
      </c>
      <c r="L4" s="1133"/>
      <c r="M4" s="1134"/>
      <c r="N4" s="1134"/>
      <c r="O4" s="1134"/>
      <c r="P4" s="3344" t="s">
        <v>2538</v>
      </c>
      <c r="Q4" s="3345"/>
      <c r="R4" s="3348" t="s">
        <v>2534</v>
      </c>
      <c r="S4" s="3349"/>
      <c r="T4" s="3348" t="s">
        <v>2535</v>
      </c>
      <c r="U4" s="3349"/>
      <c r="V4" s="3273" t="s">
        <v>2536</v>
      </c>
      <c r="W4" s="3273"/>
      <c r="X4" s="1817"/>
      <c r="Y4" s="3348" t="s">
        <v>2538</v>
      </c>
      <c r="Z4" s="3349"/>
      <c r="AA4" s="3343" t="s">
        <v>2534</v>
      </c>
      <c r="AB4" s="3343" t="s">
        <v>2535</v>
      </c>
      <c r="AC4" s="3343" t="s">
        <v>2536</v>
      </c>
    </row>
    <row r="5" spans="1:29" ht="15">
      <c r="A5" s="404"/>
      <c r="B5" s="405"/>
      <c r="C5" s="3282" t="s">
        <v>2539</v>
      </c>
      <c r="D5" s="3277"/>
      <c r="E5" s="3350" t="s">
        <v>2540</v>
      </c>
      <c r="F5" s="3289"/>
      <c r="G5" s="3282" t="s">
        <v>2541</v>
      </c>
      <c r="H5" s="3277"/>
      <c r="I5" s="3282" t="s">
        <v>2542</v>
      </c>
      <c r="J5" s="3277"/>
      <c r="K5" s="2599"/>
      <c r="L5" s="1133"/>
      <c r="M5" s="1134"/>
      <c r="N5" s="1134"/>
      <c r="O5" s="1134"/>
      <c r="P5" s="3346"/>
      <c r="Q5" s="3263"/>
      <c r="R5" s="3268"/>
      <c r="S5" s="3269"/>
      <c r="T5" s="3268"/>
      <c r="U5" s="3269"/>
      <c r="V5" s="3273"/>
      <c r="W5" s="3273"/>
      <c r="X5" s="1817"/>
      <c r="Y5" s="3268"/>
      <c r="Z5" s="3269"/>
      <c r="AA5" s="3286"/>
      <c r="AB5" s="3286"/>
      <c r="AC5" s="3286"/>
    </row>
    <row r="6" spans="1:29" ht="15.75" thickBot="1">
      <c r="A6" s="406"/>
      <c r="B6" s="407"/>
      <c r="C6" s="3274" t="s">
        <v>2543</v>
      </c>
      <c r="D6" s="3275"/>
      <c r="E6" s="3283" t="s">
        <v>2543</v>
      </c>
      <c r="F6" s="3284"/>
      <c r="G6" s="3274" t="s">
        <v>2543</v>
      </c>
      <c r="H6" s="3275"/>
      <c r="I6" s="3274" t="s">
        <v>2543</v>
      </c>
      <c r="J6" s="3275"/>
      <c r="K6" s="2599" t="s">
        <v>2544</v>
      </c>
      <c r="L6" s="1133"/>
      <c r="M6" s="1134"/>
      <c r="N6" s="1134"/>
      <c r="O6" s="1134"/>
      <c r="P6" s="3347"/>
      <c r="Q6" s="3265"/>
      <c r="R6" s="3268"/>
      <c r="S6" s="3269"/>
      <c r="T6" s="3270"/>
      <c r="U6" s="3271"/>
      <c r="V6" s="3273"/>
      <c r="W6" s="3273"/>
      <c r="X6" s="1817"/>
      <c r="Y6" s="3270"/>
      <c r="Z6" s="3271"/>
      <c r="AA6" s="3287"/>
      <c r="AB6" s="3287"/>
      <c r="AC6" s="3287"/>
    </row>
    <row r="7" spans="1:29" s="116" customFormat="1" ht="15.75" thickBot="1">
      <c r="A7" s="408" t="s">
        <v>2545</v>
      </c>
      <c r="B7" s="409"/>
      <c r="C7" s="410">
        <f>'数据-取费表'!B2</f>
        <v>43047</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80" t="s">
        <v>2546</v>
      </c>
      <c r="Q7" s="3281"/>
      <c r="R7" s="770" t="s">
        <v>23</v>
      </c>
      <c r="S7" s="771">
        <f t="shared" ref="S7:S15" si="0">F7</f>
        <v>0</v>
      </c>
      <c r="T7" s="770" t="s">
        <v>23</v>
      </c>
      <c r="U7" s="771">
        <f t="shared" ref="U7:U15" si="1">H7</f>
        <v>0</v>
      </c>
      <c r="V7" s="770" t="s">
        <v>23</v>
      </c>
      <c r="W7" s="771">
        <f t="shared" ref="W7:W15" si="2">J7</f>
        <v>0</v>
      </c>
      <c r="X7" s="772"/>
      <c r="Y7" s="3280" t="s">
        <v>2546</v>
      </c>
      <c r="Z7" s="3279"/>
      <c r="AA7" s="773" t="e">
        <f>D7/F7</f>
        <v>#DIV/0!</v>
      </c>
      <c r="AB7" s="773" t="e">
        <f>D7/H7</f>
        <v>#DIV/0!</v>
      </c>
      <c r="AC7" s="773" t="e">
        <f>D7/J7</f>
        <v>#DIV/0!</v>
      </c>
    </row>
    <row r="8" spans="1:29" s="116" customFormat="1" ht="15.75" thickBot="1">
      <c r="A8" s="408" t="s">
        <v>2547</v>
      </c>
      <c r="B8" s="409"/>
      <c r="C8" s="414" t="s">
        <v>2548</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80" t="s">
        <v>2549</v>
      </c>
      <c r="Q8" s="3279"/>
      <c r="R8" s="770" t="s">
        <v>23</v>
      </c>
      <c r="S8" s="771">
        <f t="shared" si="0"/>
        <v>0</v>
      </c>
      <c r="T8" s="770" t="s">
        <v>23</v>
      </c>
      <c r="U8" s="771">
        <f t="shared" si="1"/>
        <v>0</v>
      </c>
      <c r="V8" s="770" t="s">
        <v>23</v>
      </c>
      <c r="W8" s="771">
        <f t="shared" si="2"/>
        <v>0</v>
      </c>
      <c r="X8" s="772"/>
      <c r="Y8" s="3280" t="s">
        <v>2549</v>
      </c>
      <c r="Z8" s="3279"/>
      <c r="AA8" s="773" t="e">
        <f t="shared" ref="AA8:AA19" si="3">D8/F8</f>
        <v>#DIV/0!</v>
      </c>
      <c r="AB8" s="773" t="e">
        <f t="shared" ref="AB8:AB19" si="4">D8/H8</f>
        <v>#DIV/0!</v>
      </c>
      <c r="AC8" s="773" t="e">
        <f t="shared" ref="AC8:AC19" si="5">D8/J8</f>
        <v>#DIV/0!</v>
      </c>
    </row>
    <row r="9" spans="1:29" s="116" customFormat="1">
      <c r="A9" s="415" t="s">
        <v>2550</v>
      </c>
      <c r="B9" s="70" t="s">
        <v>2551</v>
      </c>
      <c r="C9" s="416"/>
      <c r="D9" s="134">
        <v>100</v>
      </c>
      <c r="E9" s="417"/>
      <c r="F9" s="418">
        <f>SUMIF(63:63,E9,64:64)-SUMIF(63:63,C9,64:64)+100</f>
        <v>100</v>
      </c>
      <c r="G9" s="419"/>
      <c r="H9" s="134">
        <f>SUMIF(63:63,G9,64:64)-SUMIF(63:63,C9,64:64)+100</f>
        <v>100</v>
      </c>
      <c r="I9" s="419"/>
      <c r="J9" s="134">
        <f>SUMIF(63:63,I9,64:64)-SUMIF(63:63,C9,64:64)+100</f>
        <v>100</v>
      </c>
      <c r="K9" s="2600"/>
      <c r="L9" s="1135"/>
      <c r="M9" s="1136"/>
      <c r="N9" s="1136"/>
      <c r="O9" s="1136"/>
      <c r="P9" s="3238" t="s">
        <v>2552</v>
      </c>
      <c r="Q9" s="1799" t="str">
        <f t="shared" ref="Q9:Q15" si="6">B9</f>
        <v>用途</v>
      </c>
      <c r="R9" s="770" t="s">
        <v>17</v>
      </c>
      <c r="S9" s="771">
        <f t="shared" si="0"/>
        <v>100</v>
      </c>
      <c r="T9" s="770" t="s">
        <v>17</v>
      </c>
      <c r="U9" s="771">
        <f t="shared" si="1"/>
        <v>100</v>
      </c>
      <c r="V9" s="770" t="s">
        <v>17</v>
      </c>
      <c r="W9" s="771">
        <f t="shared" si="2"/>
        <v>100</v>
      </c>
      <c r="X9" s="772"/>
      <c r="Y9" s="3096" t="s">
        <v>2553</v>
      </c>
      <c r="Z9" s="54" t="str">
        <f t="shared" ref="Z9:Z15" si="7">Q9</f>
        <v>用途</v>
      </c>
      <c r="AA9" s="773">
        <f t="shared" si="3"/>
        <v>1</v>
      </c>
      <c r="AB9" s="773">
        <f t="shared" si="4"/>
        <v>1</v>
      </c>
      <c r="AC9" s="773">
        <f t="shared" si="5"/>
        <v>1</v>
      </c>
    </row>
    <row r="10" spans="1:29" s="427" customFormat="1" ht="27">
      <c r="A10" s="421"/>
      <c r="B10" s="422" t="s">
        <v>2554</v>
      </c>
      <c r="C10" s="423"/>
      <c r="D10" s="135">
        <v>100</v>
      </c>
      <c r="E10" s="424"/>
      <c r="F10" s="425">
        <f>SUMIF(65:65,E10,66:66)-SUMIF(65:65,C10,66:66)+100</f>
        <v>100</v>
      </c>
      <c r="G10" s="423"/>
      <c r="H10" s="135">
        <f>SUMIF(65:65,G10,66:66)-SUMIF(65:65,C10,66:66)+100</f>
        <v>100</v>
      </c>
      <c r="I10" s="423"/>
      <c r="J10" s="135">
        <f>SUMIF(65:65,I10,66:66)-SUMIF(65:65,C10,66:66)+100</f>
        <v>100</v>
      </c>
      <c r="K10" s="426"/>
      <c r="L10" s="1138"/>
      <c r="M10" s="1139"/>
      <c r="N10" s="1139"/>
      <c r="O10" s="1139"/>
      <c r="P10" s="3238"/>
      <c r="Q10" s="1799" t="str">
        <f t="shared" si="6"/>
        <v>土地使用年限（年）</v>
      </c>
      <c r="R10" s="770" t="s">
        <v>17</v>
      </c>
      <c r="S10" s="771">
        <f t="shared" si="0"/>
        <v>100</v>
      </c>
      <c r="T10" s="770" t="s">
        <v>17</v>
      </c>
      <c r="U10" s="771">
        <f t="shared" si="1"/>
        <v>100</v>
      </c>
      <c r="V10" s="770" t="s">
        <v>17</v>
      </c>
      <c r="W10" s="771">
        <f t="shared" si="2"/>
        <v>100</v>
      </c>
      <c r="X10" s="772"/>
      <c r="Y10" s="3096"/>
      <c r="Z10" s="54" t="str">
        <f t="shared" si="7"/>
        <v>土地使用年限（年）</v>
      </c>
      <c r="AA10" s="773">
        <f t="shared" si="3"/>
        <v>1</v>
      </c>
      <c r="AB10" s="773">
        <f t="shared" si="4"/>
        <v>1</v>
      </c>
      <c r="AC10" s="773">
        <f t="shared" si="5"/>
        <v>1</v>
      </c>
    </row>
    <row r="11" spans="1:29" ht="15">
      <c r="A11" s="428"/>
      <c r="B11" s="422" t="s">
        <v>2555</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41"/>
      <c r="M11" s="1134"/>
      <c r="N11" s="1134"/>
      <c r="O11" s="1134"/>
      <c r="P11" s="3238"/>
      <c r="Q11" s="1799" t="str">
        <f t="shared" si="6"/>
        <v>容积率</v>
      </c>
      <c r="R11" s="770" t="s">
        <v>21</v>
      </c>
      <c r="S11" s="771" t="e">
        <f t="shared" si="0"/>
        <v>#N/A</v>
      </c>
      <c r="T11" s="770" t="s">
        <v>21</v>
      </c>
      <c r="U11" s="771" t="e">
        <f t="shared" si="1"/>
        <v>#N/A</v>
      </c>
      <c r="V11" s="770" t="s">
        <v>21</v>
      </c>
      <c r="W11" s="771" t="e">
        <f t="shared" si="2"/>
        <v>#N/A</v>
      </c>
      <c r="X11" s="772"/>
      <c r="Y11" s="3096"/>
      <c r="Z11" s="54" t="str">
        <f t="shared" si="7"/>
        <v>容积率</v>
      </c>
      <c r="AA11" s="773" t="e">
        <f t="shared" si="3"/>
        <v>#N/A</v>
      </c>
      <c r="AB11" s="773" t="e">
        <f t="shared" si="4"/>
        <v>#N/A</v>
      </c>
      <c r="AC11" s="773" t="e">
        <f t="shared" si="5"/>
        <v>#N/A</v>
      </c>
    </row>
    <row r="12" spans="1:29" s="116" customFormat="1" ht="15">
      <c r="A12" s="431"/>
      <c r="B12" s="2602">
        <v>111</v>
      </c>
      <c r="C12" s="432"/>
      <c r="D12" s="433">
        <v>100</v>
      </c>
      <c r="E12" s="432"/>
      <c r="F12" s="425">
        <f>SUMIF(70:70,E12,71:71)-SUMIF(70:70,C12,71:71)+100</f>
        <v>100</v>
      </c>
      <c r="G12" s="432"/>
      <c r="H12" s="135">
        <f>SUMIF(70:70,G12,71:71)-SUMIF(70:70,C12,71:71)+100</f>
        <v>100</v>
      </c>
      <c r="I12" s="432"/>
      <c r="J12" s="135">
        <f>SUMIF(70:70,I12,71:71)-SUMIF(70:70,C12,71:71)+100</f>
        <v>100</v>
      </c>
      <c r="K12" s="2603"/>
      <c r="L12" s="1135"/>
      <c r="M12" s="1136"/>
      <c r="N12" s="1136"/>
      <c r="O12" s="1136"/>
      <c r="P12" s="3238"/>
      <c r="Q12" s="1799">
        <f t="shared" si="6"/>
        <v>111</v>
      </c>
      <c r="R12" s="770" t="s">
        <v>21</v>
      </c>
      <c r="S12" s="771">
        <f t="shared" si="0"/>
        <v>100</v>
      </c>
      <c r="T12" s="770" t="s">
        <v>21</v>
      </c>
      <c r="U12" s="771">
        <f t="shared" si="1"/>
        <v>100</v>
      </c>
      <c r="V12" s="770" t="s">
        <v>21</v>
      </c>
      <c r="W12" s="771">
        <f t="shared" si="2"/>
        <v>100</v>
      </c>
      <c r="X12" s="772"/>
      <c r="Y12" s="3096"/>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38"/>
      <c r="Q13" s="1799">
        <f t="shared" si="6"/>
        <v>111</v>
      </c>
      <c r="R13" s="770" t="s">
        <v>21</v>
      </c>
      <c r="S13" s="771">
        <f t="shared" si="0"/>
        <v>100</v>
      </c>
      <c r="T13" s="770" t="s">
        <v>21</v>
      </c>
      <c r="U13" s="771">
        <f t="shared" si="1"/>
        <v>100</v>
      </c>
      <c r="V13" s="770" t="s">
        <v>21</v>
      </c>
      <c r="W13" s="771">
        <f t="shared" si="2"/>
        <v>100</v>
      </c>
      <c r="X13" s="772"/>
      <c r="Y13" s="3096"/>
      <c r="Z13" s="54">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38"/>
      <c r="Q14" s="1799">
        <f t="shared" si="6"/>
        <v>111</v>
      </c>
      <c r="R14" s="770" t="s">
        <v>21</v>
      </c>
      <c r="S14" s="771">
        <f t="shared" si="0"/>
        <v>100</v>
      </c>
      <c r="T14" s="770" t="s">
        <v>21</v>
      </c>
      <c r="U14" s="771">
        <f t="shared" si="1"/>
        <v>100</v>
      </c>
      <c r="V14" s="770" t="s">
        <v>21</v>
      </c>
      <c r="W14" s="771">
        <f t="shared" si="2"/>
        <v>100</v>
      </c>
      <c r="X14" s="772"/>
      <c r="Y14" s="3096"/>
      <c r="Z14" s="54">
        <f t="shared" si="7"/>
        <v>111</v>
      </c>
      <c r="AA14" s="773">
        <f t="shared" si="3"/>
        <v>1</v>
      </c>
      <c r="AB14" s="773">
        <f t="shared" si="4"/>
        <v>1</v>
      </c>
      <c r="AC14" s="773">
        <f t="shared" si="5"/>
        <v>1</v>
      </c>
    </row>
    <row r="15" spans="1:29" ht="99.75">
      <c r="A15" s="440" t="s">
        <v>2556</v>
      </c>
      <c r="B15" s="68" t="s">
        <v>2088</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4" t="s">
        <v>2557</v>
      </c>
      <c r="Q15" s="1814" t="str">
        <f t="shared" si="6"/>
        <v>居住社区成熟度</v>
      </c>
      <c r="R15" s="774" t="s">
        <v>21</v>
      </c>
      <c r="S15" s="775">
        <f t="shared" si="0"/>
        <v>100</v>
      </c>
      <c r="T15" s="774" t="s">
        <v>21</v>
      </c>
      <c r="U15" s="775">
        <f t="shared" si="1"/>
        <v>100</v>
      </c>
      <c r="V15" s="774" t="s">
        <v>21</v>
      </c>
      <c r="W15" s="775">
        <f t="shared" si="2"/>
        <v>100</v>
      </c>
      <c r="X15" s="1817"/>
      <c r="Y15" s="3246" t="s">
        <v>2557</v>
      </c>
      <c r="Z15" s="1818" t="str">
        <f t="shared" si="7"/>
        <v>居住社区成熟度</v>
      </c>
      <c r="AA15" s="1815">
        <f t="shared" si="3"/>
        <v>1</v>
      </c>
      <c r="AB15" s="1815">
        <f t="shared" si="4"/>
        <v>1</v>
      </c>
      <c r="AC15" s="1815">
        <f t="shared" si="5"/>
        <v>1</v>
      </c>
    </row>
    <row r="16" spans="1:29" ht="15">
      <c r="A16" s="428"/>
      <c r="B16" s="446"/>
      <c r="C16" s="447"/>
      <c r="D16" s="448"/>
      <c r="E16" s="2606"/>
      <c r="F16" s="448"/>
      <c r="G16" s="2607"/>
      <c r="H16" s="450"/>
      <c r="I16" s="2607"/>
      <c r="J16" s="448"/>
      <c r="K16" s="2608"/>
      <c r="L16" s="1143"/>
      <c r="M16" s="1134"/>
      <c r="N16" s="1134"/>
      <c r="O16" s="1134"/>
      <c r="P16" s="3245"/>
      <c r="Q16" s="1814"/>
      <c r="R16" s="774"/>
      <c r="S16" s="775"/>
      <c r="T16" s="774"/>
      <c r="U16" s="775"/>
      <c r="V16" s="774"/>
      <c r="W16" s="775"/>
      <c r="X16" s="1817"/>
      <c r="Y16" s="3247"/>
      <c r="Z16" s="1818"/>
      <c r="AA16" s="1815">
        <v>1</v>
      </c>
      <c r="AB16" s="1815">
        <v>1</v>
      </c>
      <c r="AC16" s="1815">
        <v>1</v>
      </c>
    </row>
    <row r="17" spans="1:29" ht="128.25">
      <c r="A17" s="428"/>
      <c r="B17" s="451" t="s">
        <v>2096</v>
      </c>
      <c r="C17" s="2609" t="str">
        <f>估价对象房地状况!C6</f>
        <v>估价对象周边有113路、115路、117路等多条公交线路，有地铁团结湖站，路网较密集，停车便捷程度较好，综合评价交通便捷度较好。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5"/>
      <c r="Q17" s="1814" t="str">
        <f>B17</f>
        <v>交通便捷度</v>
      </c>
      <c r="R17" s="774" t="s">
        <v>21</v>
      </c>
      <c r="S17" s="775">
        <f>F17</f>
        <v>100</v>
      </c>
      <c r="T17" s="774" t="s">
        <v>21</v>
      </c>
      <c r="U17" s="775">
        <f>H17</f>
        <v>100</v>
      </c>
      <c r="V17" s="774" t="s">
        <v>21</v>
      </c>
      <c r="W17" s="775">
        <f>J17</f>
        <v>100</v>
      </c>
      <c r="X17" s="1817"/>
      <c r="Y17" s="3247"/>
      <c r="Z17" s="1818" t="str">
        <f>Q17</f>
        <v>交通便捷度</v>
      </c>
      <c r="AA17" s="1815">
        <f t="shared" si="3"/>
        <v>1</v>
      </c>
      <c r="AB17" s="1815">
        <f t="shared" si="4"/>
        <v>1</v>
      </c>
      <c r="AC17" s="1815">
        <f t="shared" si="5"/>
        <v>1</v>
      </c>
    </row>
    <row r="18" spans="1:29" ht="15">
      <c r="A18" s="428"/>
      <c r="B18" s="456"/>
      <c r="C18" s="2610"/>
      <c r="D18" s="450"/>
      <c r="E18" s="2611"/>
      <c r="F18" s="450"/>
      <c r="G18" s="2612"/>
      <c r="H18" s="448"/>
      <c r="I18" s="2612"/>
      <c r="J18" s="448"/>
      <c r="K18" s="2608"/>
      <c r="L18" s="1143"/>
      <c r="M18" s="1134"/>
      <c r="N18" s="1134"/>
      <c r="O18" s="1134"/>
      <c r="P18" s="3245"/>
      <c r="Q18" s="1814"/>
      <c r="R18" s="774"/>
      <c r="S18" s="775"/>
      <c r="T18" s="774"/>
      <c r="U18" s="775"/>
      <c r="V18" s="774"/>
      <c r="W18" s="775"/>
      <c r="X18" s="1817"/>
      <c r="Y18" s="3247"/>
      <c r="Z18" s="1818"/>
      <c r="AA18" s="1815">
        <v>1</v>
      </c>
      <c r="AB18" s="1815">
        <v>1</v>
      </c>
      <c r="AC18" s="1815">
        <v>1</v>
      </c>
    </row>
    <row r="19" spans="1:29" ht="199.5">
      <c r="A19" s="428"/>
      <c r="B19" s="451" t="s">
        <v>2095</v>
      </c>
      <c r="C19" s="2609"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5"/>
      <c r="Q19" s="1814" t="str">
        <f>B19</f>
        <v>公共配套设施</v>
      </c>
      <c r="R19" s="774" t="s">
        <v>21</v>
      </c>
      <c r="S19" s="775">
        <f>F19</f>
        <v>100</v>
      </c>
      <c r="T19" s="774" t="s">
        <v>21</v>
      </c>
      <c r="U19" s="775">
        <f>H19</f>
        <v>100</v>
      </c>
      <c r="V19" s="774" t="s">
        <v>21</v>
      </c>
      <c r="W19" s="775">
        <f>J19</f>
        <v>100</v>
      </c>
      <c r="X19" s="1817"/>
      <c r="Y19" s="3247"/>
      <c r="Z19" s="1818" t="str">
        <f>Q19</f>
        <v>公共配套设施</v>
      </c>
      <c r="AA19" s="1815">
        <f t="shared" si="3"/>
        <v>1</v>
      </c>
      <c r="AB19" s="1815">
        <f t="shared" si="4"/>
        <v>1</v>
      </c>
      <c r="AC19" s="1815">
        <f t="shared" si="5"/>
        <v>1</v>
      </c>
    </row>
    <row r="20" spans="1:29" ht="15">
      <c r="A20" s="428"/>
      <c r="B20" s="456"/>
      <c r="C20" s="447"/>
      <c r="D20" s="448"/>
      <c r="E20" s="2606"/>
      <c r="F20" s="448"/>
      <c r="G20" s="2607"/>
      <c r="H20" s="448"/>
      <c r="I20" s="2607"/>
      <c r="J20" s="448"/>
      <c r="K20" s="2608"/>
      <c r="L20" s="1143"/>
      <c r="M20" s="1134"/>
      <c r="N20" s="1134"/>
      <c r="O20" s="1134"/>
      <c r="P20" s="3245"/>
      <c r="Q20" s="1814"/>
      <c r="R20" s="774"/>
      <c r="S20" s="775"/>
      <c r="T20" s="774"/>
      <c r="U20" s="775"/>
      <c r="V20" s="774"/>
      <c r="W20" s="775"/>
      <c r="X20" s="1817"/>
      <c r="Y20" s="3247"/>
      <c r="Z20" s="1818"/>
      <c r="AA20" s="1815">
        <v>1</v>
      </c>
      <c r="AB20" s="1815">
        <v>1</v>
      </c>
      <c r="AC20" s="1815">
        <v>1</v>
      </c>
    </row>
    <row r="21" spans="1:29" ht="42.75">
      <c r="A21" s="428"/>
      <c r="B21" s="1387" t="s">
        <v>2097</v>
      </c>
      <c r="C21" s="2609"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5"/>
      <c r="Q21" s="1814" t="str">
        <f>B21</f>
        <v>基础设施水平</v>
      </c>
      <c r="R21" s="774" t="s">
        <v>17</v>
      </c>
      <c r="S21" s="775">
        <f>F21</f>
        <v>100</v>
      </c>
      <c r="T21" s="774" t="s">
        <v>17</v>
      </c>
      <c r="U21" s="775">
        <f>H21</f>
        <v>100</v>
      </c>
      <c r="V21" s="774" t="s">
        <v>17</v>
      </c>
      <c r="W21" s="775">
        <f>J21</f>
        <v>100</v>
      </c>
      <c r="X21" s="1817"/>
      <c r="Y21" s="3247"/>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8"/>
      <c r="G22" s="2613"/>
      <c r="H22" s="448"/>
      <c r="I22" s="447"/>
      <c r="J22" s="448"/>
      <c r="K22" s="2614"/>
      <c r="L22" s="1143"/>
      <c r="M22" s="1134"/>
      <c r="N22" s="1134"/>
      <c r="O22" s="1134"/>
      <c r="P22" s="3245"/>
      <c r="Q22" s="1814"/>
      <c r="R22" s="774"/>
      <c r="S22" s="775"/>
      <c r="T22" s="774"/>
      <c r="U22" s="775"/>
      <c r="V22" s="774"/>
      <c r="W22" s="775"/>
      <c r="X22" s="1817"/>
      <c r="Y22" s="3247"/>
      <c r="Z22" s="1818"/>
      <c r="AA22" s="1815">
        <v>1</v>
      </c>
      <c r="AB22" s="1815">
        <v>1</v>
      </c>
      <c r="AC22" s="1815">
        <v>1</v>
      </c>
    </row>
    <row r="23" spans="1:29" ht="142.5">
      <c r="A23" s="428"/>
      <c r="B23" s="451" t="s">
        <v>2099</v>
      </c>
      <c r="C23" s="2609" t="str">
        <f>估价对象房地状况!C9</f>
        <v>估价对象所在区域有团结湖公园，自然情况较好；有农业展览馆、北京联合大学机电学院等人文设施，人文情况较好；综合评价自然及人文环境较好。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5"/>
      <c r="Q23" s="1814" t="str">
        <f>B23</f>
        <v>自然及人文环境</v>
      </c>
      <c r="R23" s="774" t="s">
        <v>21</v>
      </c>
      <c r="S23" s="775">
        <f>F23</f>
        <v>100</v>
      </c>
      <c r="T23" s="774" t="s">
        <v>21</v>
      </c>
      <c r="U23" s="775">
        <f>H23</f>
        <v>100</v>
      </c>
      <c r="V23" s="774" t="s">
        <v>21</v>
      </c>
      <c r="W23" s="775">
        <f>J23</f>
        <v>100</v>
      </c>
      <c r="X23" s="1817"/>
      <c r="Y23" s="3247"/>
      <c r="Z23" s="1818" t="str">
        <f>Q23</f>
        <v>自然及人文环境</v>
      </c>
      <c r="AA23" s="1815">
        <f>D23/F23</f>
        <v>1</v>
      </c>
      <c r="AB23" s="1815">
        <f>D23/H23</f>
        <v>1</v>
      </c>
      <c r="AC23" s="1815">
        <f>D23/J23</f>
        <v>1</v>
      </c>
    </row>
    <row r="24" spans="1:29" ht="15">
      <c r="A24" s="428"/>
      <c r="B24" s="456"/>
      <c r="C24" s="447"/>
      <c r="D24" s="448"/>
      <c r="E24" s="2606"/>
      <c r="F24" s="448"/>
      <c r="G24" s="2607"/>
      <c r="H24" s="448"/>
      <c r="I24" s="2607"/>
      <c r="J24" s="448"/>
      <c r="K24" s="2608"/>
      <c r="L24" s="1143"/>
      <c r="M24" s="1134"/>
      <c r="N24" s="1134"/>
      <c r="O24" s="1134"/>
      <c r="P24" s="3245"/>
      <c r="Q24" s="1814"/>
      <c r="R24" s="774"/>
      <c r="S24" s="775"/>
      <c r="T24" s="774"/>
      <c r="U24" s="775"/>
      <c r="V24" s="774"/>
      <c r="W24" s="775"/>
      <c r="X24" s="1817"/>
      <c r="Y24" s="3247"/>
      <c r="Z24" s="1818"/>
      <c r="AA24" s="1815">
        <v>1</v>
      </c>
      <c r="AB24" s="1815">
        <v>1</v>
      </c>
      <c r="AC24" s="1815">
        <v>1</v>
      </c>
    </row>
    <row r="25" spans="1:29" ht="15">
      <c r="A25" s="428"/>
      <c r="B25" s="422" t="s">
        <v>2558</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45"/>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247"/>
      <c r="Z25" s="1818" t="str">
        <f>Q25</f>
        <v>楼层-1</v>
      </c>
      <c r="AA25" s="1815">
        <f t="shared" ref="AA25:AA46" si="15">D25/F25</f>
        <v>1</v>
      </c>
      <c r="AB25" s="1815">
        <f t="shared" ref="AB25:AB46" si="16">D25/H25</f>
        <v>1</v>
      </c>
      <c r="AC25" s="1815">
        <f t="shared" ref="AC25:AC46" si="17">D25/J25</f>
        <v>1</v>
      </c>
    </row>
    <row r="26" spans="1:29" ht="15">
      <c r="A26" s="428"/>
      <c r="B26" s="422" t="s">
        <v>2559</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45"/>
      <c r="Q26" s="1814" t="str">
        <f t="shared" si="11"/>
        <v>朝向</v>
      </c>
      <c r="R26" s="774" t="s">
        <v>21</v>
      </c>
      <c r="S26" s="775">
        <f t="shared" si="12"/>
        <v>100</v>
      </c>
      <c r="T26" s="774" t="s">
        <v>21</v>
      </c>
      <c r="U26" s="775">
        <f t="shared" si="13"/>
        <v>100</v>
      </c>
      <c r="V26" s="774" t="s">
        <v>21</v>
      </c>
      <c r="W26" s="775">
        <f t="shared" si="14"/>
        <v>100</v>
      </c>
      <c r="X26" s="1817"/>
      <c r="Y26" s="3247"/>
      <c r="Z26" s="1818" t="str">
        <f>Q26</f>
        <v>朝向</v>
      </c>
      <c r="AA26" s="1815">
        <f t="shared" si="15"/>
        <v>1</v>
      </c>
      <c r="AB26" s="1815">
        <f t="shared" si="16"/>
        <v>1</v>
      </c>
      <c r="AC26" s="1815">
        <f t="shared" si="17"/>
        <v>1</v>
      </c>
    </row>
    <row r="27" spans="1:29" s="116"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45"/>
      <c r="Q27" s="1799">
        <f t="shared" si="11"/>
        <v>111</v>
      </c>
      <c r="R27" s="770" t="s">
        <v>21</v>
      </c>
      <c r="S27" s="771">
        <f t="shared" si="12"/>
        <v>100</v>
      </c>
      <c r="T27" s="770" t="s">
        <v>21</v>
      </c>
      <c r="U27" s="771">
        <f t="shared" si="13"/>
        <v>100</v>
      </c>
      <c r="V27" s="770" t="s">
        <v>21</v>
      </c>
      <c r="W27" s="771">
        <f t="shared" si="14"/>
        <v>100</v>
      </c>
      <c r="X27" s="772"/>
      <c r="Y27" s="3247"/>
      <c r="Z27" s="54">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45"/>
      <c r="Q28" s="1814">
        <f t="shared" si="11"/>
        <v>111</v>
      </c>
      <c r="R28" s="774" t="s">
        <v>21</v>
      </c>
      <c r="S28" s="775">
        <f t="shared" si="12"/>
        <v>100</v>
      </c>
      <c r="T28" s="774" t="s">
        <v>21</v>
      </c>
      <c r="U28" s="775">
        <f t="shared" si="13"/>
        <v>100</v>
      </c>
      <c r="V28" s="774" t="s">
        <v>21</v>
      </c>
      <c r="W28" s="775">
        <f t="shared" si="14"/>
        <v>100</v>
      </c>
      <c r="X28" s="1817"/>
      <c r="Y28" s="3247"/>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45"/>
      <c r="Q29" s="1814">
        <f t="shared" si="11"/>
        <v>111</v>
      </c>
      <c r="R29" s="774" t="s">
        <v>21</v>
      </c>
      <c r="S29" s="775">
        <f t="shared" si="12"/>
        <v>100</v>
      </c>
      <c r="T29" s="774" t="s">
        <v>21</v>
      </c>
      <c r="U29" s="775">
        <f t="shared" si="13"/>
        <v>100</v>
      </c>
      <c r="V29" s="774" t="s">
        <v>21</v>
      </c>
      <c r="W29" s="775">
        <f t="shared" si="14"/>
        <v>100</v>
      </c>
      <c r="X29" s="1817"/>
      <c r="Y29" s="3247"/>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45"/>
      <c r="Q30" s="1814">
        <f t="shared" si="11"/>
        <v>111</v>
      </c>
      <c r="R30" s="774" t="s">
        <v>21</v>
      </c>
      <c r="S30" s="775">
        <f t="shared" si="12"/>
        <v>100</v>
      </c>
      <c r="T30" s="774" t="s">
        <v>21</v>
      </c>
      <c r="U30" s="775">
        <f t="shared" si="13"/>
        <v>100</v>
      </c>
      <c r="V30" s="774" t="s">
        <v>21</v>
      </c>
      <c r="W30" s="775">
        <f t="shared" si="14"/>
        <v>100</v>
      </c>
      <c r="X30" s="1817"/>
      <c r="Y30" s="3247"/>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45"/>
      <c r="Q31" s="1814">
        <f t="shared" si="11"/>
        <v>111</v>
      </c>
      <c r="R31" s="774" t="s">
        <v>21</v>
      </c>
      <c r="S31" s="775">
        <f t="shared" si="12"/>
        <v>100</v>
      </c>
      <c r="T31" s="774" t="s">
        <v>21</v>
      </c>
      <c r="U31" s="775">
        <f t="shared" si="13"/>
        <v>100</v>
      </c>
      <c r="V31" s="774" t="s">
        <v>21</v>
      </c>
      <c r="W31" s="775">
        <f t="shared" si="14"/>
        <v>100</v>
      </c>
      <c r="X31" s="1817"/>
      <c r="Y31" s="3247"/>
      <c r="Z31" s="1818">
        <f t="shared" si="18"/>
        <v>111</v>
      </c>
      <c r="AA31" s="1815">
        <f t="shared" si="15"/>
        <v>1</v>
      </c>
      <c r="AB31" s="1815">
        <f t="shared" si="16"/>
        <v>1</v>
      </c>
      <c r="AC31" s="1815">
        <f t="shared" si="17"/>
        <v>1</v>
      </c>
    </row>
    <row r="32" spans="1:29" ht="15">
      <c r="A32" s="440" t="s">
        <v>2560</v>
      </c>
      <c r="B32" s="70" t="s">
        <v>2561</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48" t="s">
        <v>2562</v>
      </c>
      <c r="Q32" s="1814" t="str">
        <f t="shared" si="11"/>
        <v>建筑类型</v>
      </c>
      <c r="R32" s="774" t="s">
        <v>21</v>
      </c>
      <c r="S32" s="775">
        <f t="shared" si="12"/>
        <v>100</v>
      </c>
      <c r="T32" s="774" t="s">
        <v>21</v>
      </c>
      <c r="U32" s="775">
        <f t="shared" si="13"/>
        <v>100</v>
      </c>
      <c r="V32" s="774" t="s">
        <v>21</v>
      </c>
      <c r="W32" s="775">
        <f t="shared" si="14"/>
        <v>100</v>
      </c>
      <c r="X32" s="1817"/>
      <c r="Y32" s="3251" t="s">
        <v>2562</v>
      </c>
      <c r="Z32" s="1818" t="str">
        <f t="shared" si="18"/>
        <v>建筑类型</v>
      </c>
      <c r="AA32" s="1815">
        <f t="shared" si="15"/>
        <v>1</v>
      </c>
      <c r="AB32" s="1815">
        <f t="shared" si="16"/>
        <v>1</v>
      </c>
      <c r="AC32" s="1815">
        <f t="shared" si="17"/>
        <v>1</v>
      </c>
    </row>
    <row r="33" spans="1:29" s="471" customFormat="1" ht="15">
      <c r="A33" s="468"/>
      <c r="B33" s="422" t="s">
        <v>2563</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3"/>
      <c r="L33" s="1141"/>
      <c r="M33" s="1144"/>
      <c r="N33" s="1144"/>
      <c r="O33" s="1144"/>
      <c r="P33" s="3249"/>
      <c r="Q33" s="776" t="str">
        <f t="shared" si="11"/>
        <v>项目建筑规模</v>
      </c>
      <c r="R33" s="777" t="s">
        <v>21</v>
      </c>
      <c r="S33" s="778" t="e">
        <f t="shared" si="12"/>
        <v>#N/A</v>
      </c>
      <c r="T33" s="777" t="s">
        <v>21</v>
      </c>
      <c r="U33" s="778" t="e">
        <f t="shared" si="13"/>
        <v>#N/A</v>
      </c>
      <c r="V33" s="777" t="s">
        <v>21</v>
      </c>
      <c r="W33" s="778" t="e">
        <f t="shared" si="14"/>
        <v>#N/A</v>
      </c>
      <c r="X33" s="779"/>
      <c r="Y33" s="3251"/>
      <c r="Z33" s="780" t="str">
        <f t="shared" si="18"/>
        <v>项目建筑规模</v>
      </c>
      <c r="AA33" s="1815" t="e">
        <f t="shared" si="15"/>
        <v>#N/A</v>
      </c>
      <c r="AB33" s="1815" t="e">
        <f t="shared" si="16"/>
        <v>#N/A</v>
      </c>
      <c r="AC33" s="1815" t="e">
        <f t="shared" si="17"/>
        <v>#N/A</v>
      </c>
    </row>
    <row r="34" spans="1:29" ht="15">
      <c r="A34" s="472"/>
      <c r="B34" s="422" t="s">
        <v>2564</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49"/>
      <c r="Q34" s="1814" t="str">
        <f t="shared" si="11"/>
        <v>建筑结构</v>
      </c>
      <c r="R34" s="774" t="s">
        <v>21</v>
      </c>
      <c r="S34" s="775">
        <f t="shared" si="12"/>
        <v>100</v>
      </c>
      <c r="T34" s="774" t="s">
        <v>21</v>
      </c>
      <c r="U34" s="775">
        <f t="shared" si="13"/>
        <v>100</v>
      </c>
      <c r="V34" s="774" t="s">
        <v>21</v>
      </c>
      <c r="W34" s="775">
        <f t="shared" si="14"/>
        <v>100</v>
      </c>
      <c r="X34" s="1817"/>
      <c r="Y34" s="3251"/>
      <c r="Z34" s="1818" t="str">
        <f t="shared" si="18"/>
        <v>建筑结构</v>
      </c>
      <c r="AA34" s="1815">
        <f t="shared" si="15"/>
        <v>1</v>
      </c>
      <c r="AB34" s="1815">
        <f t="shared" si="16"/>
        <v>1</v>
      </c>
      <c r="AC34" s="1815">
        <f t="shared" si="17"/>
        <v>1</v>
      </c>
    </row>
    <row r="35" spans="1:29" ht="15">
      <c r="A35" s="472"/>
      <c r="B35" s="422" t="s">
        <v>2565</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49"/>
      <c r="Q35" s="1814" t="str">
        <f t="shared" si="11"/>
        <v>建筑品质</v>
      </c>
      <c r="R35" s="774" t="s">
        <v>21</v>
      </c>
      <c r="S35" s="775">
        <f t="shared" si="12"/>
        <v>100</v>
      </c>
      <c r="T35" s="774" t="s">
        <v>21</v>
      </c>
      <c r="U35" s="775">
        <f t="shared" si="13"/>
        <v>100</v>
      </c>
      <c r="V35" s="774" t="s">
        <v>21</v>
      </c>
      <c r="W35" s="775">
        <f t="shared" si="14"/>
        <v>100</v>
      </c>
      <c r="X35" s="1817"/>
      <c r="Y35" s="3251"/>
      <c r="Z35" s="1818" t="str">
        <f t="shared" si="18"/>
        <v>建筑品质</v>
      </c>
      <c r="AA35" s="1815">
        <f t="shared" si="15"/>
        <v>1</v>
      </c>
      <c r="AB35" s="1815">
        <f t="shared" si="16"/>
        <v>1</v>
      </c>
      <c r="AC35" s="1815">
        <f t="shared" si="17"/>
        <v>1</v>
      </c>
    </row>
    <row r="36" spans="1:29" ht="15">
      <c r="A36" s="472"/>
      <c r="B36" s="422" t="s">
        <v>2566</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49"/>
      <c r="Q36" s="1814" t="str">
        <f t="shared" si="11"/>
        <v>公共部分装修</v>
      </c>
      <c r="R36" s="774" t="s">
        <v>21</v>
      </c>
      <c r="S36" s="775">
        <f t="shared" si="12"/>
        <v>100</v>
      </c>
      <c r="T36" s="774" t="s">
        <v>21</v>
      </c>
      <c r="U36" s="775">
        <f t="shared" si="13"/>
        <v>100</v>
      </c>
      <c r="V36" s="774" t="s">
        <v>21</v>
      </c>
      <c r="W36" s="775">
        <f t="shared" si="14"/>
        <v>100</v>
      </c>
      <c r="X36" s="1817"/>
      <c r="Y36" s="3251"/>
      <c r="Z36" s="1818" t="str">
        <f t="shared" si="18"/>
        <v>公共部分装修</v>
      </c>
      <c r="AA36" s="1815">
        <f t="shared" si="15"/>
        <v>1</v>
      </c>
      <c r="AB36" s="1815">
        <f t="shared" si="16"/>
        <v>1</v>
      </c>
      <c r="AC36" s="1815">
        <f t="shared" si="17"/>
        <v>1</v>
      </c>
    </row>
    <row r="37" spans="1:29" s="116" customFormat="1" ht="15">
      <c r="A37" s="473"/>
      <c r="B37" s="422" t="s">
        <v>2567</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5"/>
      <c r="M37" s="1136"/>
      <c r="N37" s="1136"/>
      <c r="O37" s="1136"/>
      <c r="P37" s="3249"/>
      <c r="Q37" s="1799" t="str">
        <f t="shared" si="11"/>
        <v>成新度</v>
      </c>
      <c r="R37" s="770" t="s">
        <v>21</v>
      </c>
      <c r="S37" s="771" t="e">
        <f t="shared" si="12"/>
        <v>#N/A</v>
      </c>
      <c r="T37" s="770" t="s">
        <v>21</v>
      </c>
      <c r="U37" s="771" t="e">
        <f t="shared" si="13"/>
        <v>#N/A</v>
      </c>
      <c r="V37" s="770" t="s">
        <v>21</v>
      </c>
      <c r="W37" s="771" t="e">
        <f t="shared" si="14"/>
        <v>#N/A</v>
      </c>
      <c r="X37" s="772"/>
      <c r="Y37" s="3251"/>
      <c r="Z37" s="54" t="str">
        <f t="shared" si="18"/>
        <v>成新度</v>
      </c>
      <c r="AA37" s="773" t="e">
        <f t="shared" si="15"/>
        <v>#N/A</v>
      </c>
      <c r="AB37" s="773" t="e">
        <f t="shared" si="16"/>
        <v>#N/A</v>
      </c>
      <c r="AC37" s="773" t="e">
        <f t="shared" si="17"/>
        <v>#N/A</v>
      </c>
    </row>
    <row r="38" spans="1:29" ht="15">
      <c r="A38" s="472"/>
      <c r="B38" s="422" t="s">
        <v>2568</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49" t="s">
        <v>2562</v>
      </c>
      <c r="Q38" s="1814" t="str">
        <f t="shared" si="11"/>
        <v>物业管理</v>
      </c>
      <c r="R38" s="774" t="s">
        <v>21</v>
      </c>
      <c r="S38" s="775">
        <f t="shared" si="12"/>
        <v>100</v>
      </c>
      <c r="T38" s="774" t="s">
        <v>21</v>
      </c>
      <c r="U38" s="775">
        <f t="shared" si="13"/>
        <v>100</v>
      </c>
      <c r="V38" s="774" t="s">
        <v>21</v>
      </c>
      <c r="W38" s="775">
        <f t="shared" si="14"/>
        <v>100</v>
      </c>
      <c r="X38" s="1817"/>
      <c r="Y38" s="3251" t="s">
        <v>2562</v>
      </c>
      <c r="Z38" s="1818" t="str">
        <f t="shared" si="18"/>
        <v>物业管理</v>
      </c>
      <c r="AA38" s="1815">
        <f t="shared" si="15"/>
        <v>1</v>
      </c>
      <c r="AB38" s="1815">
        <f t="shared" si="16"/>
        <v>1</v>
      </c>
      <c r="AC38" s="1815">
        <f t="shared" si="17"/>
        <v>1</v>
      </c>
    </row>
    <row r="39" spans="1:29" ht="15">
      <c r="A39" s="472"/>
      <c r="B39" s="422" t="s">
        <v>2569</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49"/>
      <c r="Q39" s="1814" t="str">
        <f t="shared" si="11"/>
        <v>市政基础设施</v>
      </c>
      <c r="R39" s="774" t="s">
        <v>21</v>
      </c>
      <c r="S39" s="775">
        <f t="shared" si="12"/>
        <v>100</v>
      </c>
      <c r="T39" s="774" t="s">
        <v>21</v>
      </c>
      <c r="U39" s="775">
        <f t="shared" si="13"/>
        <v>100</v>
      </c>
      <c r="V39" s="774" t="s">
        <v>21</v>
      </c>
      <c r="W39" s="775">
        <f t="shared" si="14"/>
        <v>100</v>
      </c>
      <c r="X39" s="1817"/>
      <c r="Y39" s="3251"/>
      <c r="Z39" s="1818" t="str">
        <f t="shared" si="18"/>
        <v>市政基础设施</v>
      </c>
      <c r="AA39" s="1815">
        <f t="shared" si="15"/>
        <v>1</v>
      </c>
      <c r="AB39" s="1815">
        <f t="shared" si="16"/>
        <v>1</v>
      </c>
      <c r="AC39" s="1815">
        <f t="shared" si="17"/>
        <v>1</v>
      </c>
    </row>
    <row r="40" spans="1:29" ht="15">
      <c r="A40" s="472"/>
      <c r="B40" s="422" t="s">
        <v>2570</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49"/>
      <c r="Q40" s="1814" t="str">
        <f t="shared" si="11"/>
        <v>房型</v>
      </c>
      <c r="R40" s="774" t="s">
        <v>21</v>
      </c>
      <c r="S40" s="775">
        <f t="shared" si="12"/>
        <v>100</v>
      </c>
      <c r="T40" s="774" t="s">
        <v>21</v>
      </c>
      <c r="U40" s="775">
        <f t="shared" si="13"/>
        <v>100</v>
      </c>
      <c r="V40" s="774" t="s">
        <v>21</v>
      </c>
      <c r="W40" s="775">
        <f t="shared" si="14"/>
        <v>100</v>
      </c>
      <c r="X40" s="1817"/>
      <c r="Y40" s="3251"/>
      <c r="Z40" s="1818" t="str">
        <f t="shared" si="18"/>
        <v>房型</v>
      </c>
      <c r="AA40" s="1815">
        <f t="shared" si="15"/>
        <v>1</v>
      </c>
      <c r="AB40" s="1815">
        <f t="shared" si="16"/>
        <v>1</v>
      </c>
      <c r="AC40" s="1815">
        <f t="shared" si="17"/>
        <v>1</v>
      </c>
    </row>
    <row r="41" spans="1:29" s="471" customFormat="1" ht="28.5">
      <c r="A41" s="468"/>
      <c r="B41" s="422" t="s">
        <v>2571</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3"/>
      <c r="L41" s="1141"/>
      <c r="M41" s="1144"/>
      <c r="N41" s="1144"/>
      <c r="O41" s="1144"/>
      <c r="P41" s="3249"/>
      <c r="Q41" s="776" t="str">
        <f t="shared" si="11"/>
        <v>单套/主力户型建筑面积</v>
      </c>
      <c r="R41" s="777" t="s">
        <v>21</v>
      </c>
      <c r="S41" s="778">
        <f t="shared" si="12"/>
        <v>100</v>
      </c>
      <c r="T41" s="777" t="s">
        <v>21</v>
      </c>
      <c r="U41" s="778">
        <f t="shared" si="13"/>
        <v>100</v>
      </c>
      <c r="V41" s="777" t="s">
        <v>21</v>
      </c>
      <c r="W41" s="778">
        <f t="shared" si="14"/>
        <v>100</v>
      </c>
      <c r="X41" s="779"/>
      <c r="Y41" s="3251"/>
      <c r="Z41" s="780" t="str">
        <f t="shared" si="18"/>
        <v>单套/主力户型建筑面积</v>
      </c>
      <c r="AA41" s="1815">
        <f t="shared" si="15"/>
        <v>1</v>
      </c>
      <c r="AB41" s="1815">
        <f t="shared" si="16"/>
        <v>1</v>
      </c>
      <c r="AC41" s="1815">
        <f t="shared" si="17"/>
        <v>1</v>
      </c>
    </row>
    <row r="42" spans="1:29" ht="15">
      <c r="A42" s="472"/>
      <c r="B42" s="422" t="s">
        <v>2572</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49"/>
      <c r="Q42" s="1814" t="str">
        <f t="shared" si="11"/>
        <v>内部装修</v>
      </c>
      <c r="R42" s="774" t="s">
        <v>21</v>
      </c>
      <c r="S42" s="775">
        <f t="shared" si="12"/>
        <v>100</v>
      </c>
      <c r="T42" s="774" t="s">
        <v>21</v>
      </c>
      <c r="U42" s="775">
        <f t="shared" si="13"/>
        <v>100</v>
      </c>
      <c r="V42" s="774" t="s">
        <v>21</v>
      </c>
      <c r="W42" s="775">
        <f t="shared" si="14"/>
        <v>100</v>
      </c>
      <c r="X42" s="1817"/>
      <c r="Y42" s="3251"/>
      <c r="Z42" s="1818" t="str">
        <f t="shared" si="18"/>
        <v>内部装修</v>
      </c>
      <c r="AA42" s="1815">
        <f t="shared" si="15"/>
        <v>1</v>
      </c>
      <c r="AB42" s="1815">
        <f t="shared" si="16"/>
        <v>1</v>
      </c>
      <c r="AC42" s="1815">
        <f t="shared" si="17"/>
        <v>1</v>
      </c>
    </row>
    <row r="43" spans="1:29" ht="15">
      <c r="A43" s="472"/>
      <c r="B43" s="422" t="s">
        <v>2573</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49"/>
      <c r="Q43" s="1814" t="str">
        <f t="shared" si="11"/>
        <v>内部装修维护情况</v>
      </c>
      <c r="R43" s="774" t="s">
        <v>21</v>
      </c>
      <c r="S43" s="775">
        <f t="shared" si="12"/>
        <v>100</v>
      </c>
      <c r="T43" s="774" t="s">
        <v>21</v>
      </c>
      <c r="U43" s="775">
        <f t="shared" si="13"/>
        <v>100</v>
      </c>
      <c r="V43" s="774" t="s">
        <v>21</v>
      </c>
      <c r="W43" s="775">
        <f t="shared" si="14"/>
        <v>100</v>
      </c>
      <c r="X43" s="1817"/>
      <c r="Y43" s="3251"/>
      <c r="Z43" s="1818" t="str">
        <f t="shared" si="18"/>
        <v>内部装修维护情况</v>
      </c>
      <c r="AA43" s="1815">
        <f t="shared" si="15"/>
        <v>1</v>
      </c>
      <c r="AB43" s="1815">
        <f t="shared" si="16"/>
        <v>1</v>
      </c>
      <c r="AC43" s="1815">
        <f t="shared" si="17"/>
        <v>1</v>
      </c>
    </row>
    <row r="44" spans="1:29" s="116" customFormat="1" ht="15">
      <c r="A44" s="473"/>
      <c r="B44" s="1389">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3"/>
      <c r="L44" s="1135"/>
      <c r="M44" s="1136"/>
      <c r="N44" s="1136"/>
      <c r="O44" s="1136"/>
      <c r="P44" s="3249"/>
      <c r="Q44" s="1799">
        <f t="shared" si="11"/>
        <v>111</v>
      </c>
      <c r="R44" s="770" t="s">
        <v>21</v>
      </c>
      <c r="S44" s="771">
        <f t="shared" si="12"/>
        <v>100</v>
      </c>
      <c r="T44" s="770" t="s">
        <v>21</v>
      </c>
      <c r="U44" s="771">
        <f t="shared" si="13"/>
        <v>100</v>
      </c>
      <c r="V44" s="770" t="s">
        <v>21</v>
      </c>
      <c r="W44" s="771">
        <f t="shared" si="14"/>
        <v>100</v>
      </c>
      <c r="X44" s="772"/>
      <c r="Y44" s="3251"/>
      <c r="Z44" s="54">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49"/>
      <c r="Q45" s="1814">
        <f t="shared" si="11"/>
        <v>111</v>
      </c>
      <c r="R45" s="774" t="s">
        <v>21</v>
      </c>
      <c r="S45" s="775">
        <f t="shared" si="12"/>
        <v>100</v>
      </c>
      <c r="T45" s="774" t="s">
        <v>21</v>
      </c>
      <c r="U45" s="775">
        <f t="shared" si="13"/>
        <v>100</v>
      </c>
      <c r="V45" s="774" t="s">
        <v>21</v>
      </c>
      <c r="W45" s="775">
        <f t="shared" si="14"/>
        <v>100</v>
      </c>
      <c r="X45" s="1817"/>
      <c r="Y45" s="3251"/>
      <c r="Z45" s="1818">
        <f t="shared" si="18"/>
        <v>111</v>
      </c>
      <c r="AA45" s="1815">
        <f t="shared" si="15"/>
        <v>1</v>
      </c>
      <c r="AB45" s="1815">
        <f t="shared" si="16"/>
        <v>1</v>
      </c>
      <c r="AC45" s="1815">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50"/>
      <c r="Q46" s="1814">
        <f t="shared" si="11"/>
        <v>111</v>
      </c>
      <c r="R46" s="774" t="s">
        <v>20</v>
      </c>
      <c r="S46" s="775">
        <f t="shared" si="12"/>
        <v>100</v>
      </c>
      <c r="T46" s="774" t="s">
        <v>20</v>
      </c>
      <c r="U46" s="775">
        <f t="shared" si="13"/>
        <v>100</v>
      </c>
      <c r="V46" s="774" t="s">
        <v>20</v>
      </c>
      <c r="W46" s="775">
        <f t="shared" si="14"/>
        <v>100</v>
      </c>
      <c r="X46" s="1817"/>
      <c r="Y46" s="3252"/>
      <c r="Z46" s="1818">
        <f t="shared" si="18"/>
        <v>111</v>
      </c>
      <c r="AA46" s="1815">
        <f t="shared" si="15"/>
        <v>1</v>
      </c>
      <c r="AB46" s="1815">
        <f t="shared" si="16"/>
        <v>1</v>
      </c>
      <c r="AC46" s="1815">
        <f t="shared" si="17"/>
        <v>1</v>
      </c>
    </row>
    <row r="47" spans="1:29" ht="15">
      <c r="A47" s="479" t="s">
        <v>2574</v>
      </c>
      <c r="B47" s="480"/>
      <c r="C47" s="1410" t="s">
        <v>19</v>
      </c>
      <c r="D47" s="1411"/>
      <c r="E47" s="1412"/>
      <c r="F47" s="1413"/>
      <c r="G47" s="1414"/>
      <c r="H47" s="1415"/>
      <c r="I47" s="1412"/>
      <c r="J47" s="1415"/>
      <c r="K47" s="2623"/>
      <c r="L47" s="1146"/>
      <c r="M47" s="1147"/>
      <c r="N47" s="1134"/>
      <c r="O47" s="1147"/>
      <c r="P47" s="3239" t="str">
        <f>A47</f>
        <v>成交单价（元/平方米）</v>
      </c>
      <c r="Q47" s="3239"/>
      <c r="R47" s="3240">
        <f>E47</f>
        <v>0</v>
      </c>
      <c r="S47" s="3240"/>
      <c r="T47" s="3240">
        <f>G47</f>
        <v>0</v>
      </c>
      <c r="U47" s="3240"/>
      <c r="V47" s="3240">
        <f>I47</f>
        <v>0</v>
      </c>
      <c r="W47" s="3240"/>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4"/>
      <c r="L48" s="1146"/>
      <c r="M48" s="1147"/>
      <c r="N48" s="1147"/>
      <c r="O48" s="1147"/>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5"/>
      <c r="L49" s="1146"/>
      <c r="M49" s="1147"/>
      <c r="N49" s="1147"/>
      <c r="O49" s="1147"/>
      <c r="P49" s="3340" t="str">
        <f>A49</f>
        <v>估价对象XX用房的比较价值（楼面单价，元/平方米）</v>
      </c>
      <c r="Q49" s="3341"/>
      <c r="R49" s="3342" t="e">
        <f>IF(F1="售价",ROUND(AVERAGE(R48:V48),0),ROUND(AVERAGE(R48:V48),1))</f>
        <v>#DIV/0!</v>
      </c>
      <c r="S49" s="3342"/>
      <c r="T49" s="3342"/>
      <c r="U49" s="3342"/>
      <c r="V49" s="3342"/>
      <c r="W49" s="334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8"/>
      <c r="Q57" s="504"/>
    </row>
    <row r="58" spans="1:29" s="508" customFormat="1" ht="15">
      <c r="A58" s="505" t="s">
        <v>2581</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6" customFormat="1" ht="15">
      <c r="A59" s="509"/>
      <c r="B59" s="2629"/>
      <c r="C59" s="1577">
        <v>100</v>
      </c>
      <c r="D59" s="511"/>
      <c r="E59" s="512"/>
      <c r="F59" s="512"/>
      <c r="G59" s="512"/>
      <c r="H59" s="512"/>
      <c r="I59" s="512"/>
      <c r="J59" s="512"/>
      <c r="K59" s="512"/>
      <c r="L59" s="512"/>
      <c r="M59" s="513"/>
      <c r="N59" s="512"/>
      <c r="O59" s="513"/>
      <c r="P59" s="2630"/>
    </row>
    <row r="60" spans="1:29" s="116" customFormat="1" ht="15.75" thickBot="1">
      <c r="A60" s="515" t="s">
        <v>2582</v>
      </c>
      <c r="B60" s="516"/>
      <c r="C60" s="517"/>
      <c r="D60" s="518"/>
      <c r="E60" s="518"/>
      <c r="F60" s="518"/>
      <c r="G60" s="518"/>
      <c r="H60" s="518"/>
      <c r="I60" s="518"/>
      <c r="J60" s="518"/>
      <c r="K60" s="518"/>
      <c r="L60" s="518"/>
      <c r="M60" s="519"/>
      <c r="N60" s="518"/>
      <c r="O60" s="519"/>
      <c r="P60" s="2630"/>
      <c r="Q60" s="504"/>
    </row>
    <row r="61" spans="1:29" s="116" customFormat="1" ht="15">
      <c r="A61" s="521" t="s">
        <v>2583</v>
      </c>
      <c r="B61" s="510"/>
      <c r="C61" s="522" t="s">
        <v>2584</v>
      </c>
      <c r="D61" s="523"/>
      <c r="E61" s="523"/>
      <c r="F61" s="523"/>
      <c r="G61" s="523"/>
      <c r="H61" s="523"/>
      <c r="I61" s="523"/>
      <c r="J61" s="523"/>
      <c r="K61" s="523"/>
      <c r="L61" s="524"/>
      <c r="M61" s="525"/>
      <c r="N61" s="1154"/>
      <c r="O61" s="1154"/>
      <c r="P61" s="2631"/>
      <c r="Q61" s="504"/>
    </row>
    <row r="62" spans="1:29" s="116"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2097</v>
      </c>
      <c r="C82" s="539" t="s">
        <v>2601</v>
      </c>
      <c r="D82" s="539" t="s">
        <v>2602</v>
      </c>
      <c r="E82" s="539" t="s">
        <v>2603</v>
      </c>
      <c r="F82" s="539" t="s">
        <v>2604</v>
      </c>
      <c r="G82" s="539" t="s">
        <v>2605</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6" customFormat="1" ht="15.75" thickTop="1">
      <c r="A86" s="579"/>
      <c r="B86" s="538" t="s">
        <v>2607</v>
      </c>
      <c r="C86" s="554"/>
      <c r="D86" s="554"/>
      <c r="E86" s="554"/>
      <c r="F86" s="554"/>
      <c r="G86" s="554"/>
      <c r="H86" s="554"/>
      <c r="I86" s="554"/>
      <c r="J86" s="554"/>
      <c r="K86" s="554"/>
      <c r="L86" s="580"/>
      <c r="M86" s="581"/>
      <c r="N86" s="1154"/>
      <c r="O86" s="1154"/>
      <c r="P86" s="2632"/>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6" customFormat="1" ht="15.75" thickTop="1">
      <c r="A88" s="579"/>
      <c r="B88" s="538" t="s">
        <v>2608</v>
      </c>
      <c r="C88" s="554"/>
      <c r="D88" s="554"/>
      <c r="E88" s="554"/>
      <c r="F88" s="2637"/>
      <c r="G88" s="554"/>
      <c r="H88" s="554"/>
      <c r="I88" s="554"/>
      <c r="J88" s="554"/>
      <c r="K88" s="554"/>
      <c r="L88" s="554"/>
      <c r="M88" s="581"/>
      <c r="N88" s="1154"/>
      <c r="O88" s="1154"/>
      <c r="P88" s="2632"/>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2560</v>
      </c>
      <c r="B100" s="528" t="s">
        <v>2609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2612</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2613</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2616</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2619</v>
      </c>
    </row>
    <row r="137" spans="1:17" ht="15">
      <c r="B137" s="2640" t="s">
        <v>2620</v>
      </c>
      <c r="C137" s="2641"/>
      <c r="D137" s="2641"/>
      <c r="E137" s="2641"/>
      <c r="F137" s="2641"/>
      <c r="G137" s="2642"/>
      <c r="H137" s="2643"/>
      <c r="I137" s="2644" t="s">
        <v>2621</v>
      </c>
      <c r="J137" s="2641"/>
      <c r="K137" s="2645"/>
    </row>
    <row r="138" spans="1:17" ht="15">
      <c r="B138" s="2646"/>
      <c r="C138" s="145" t="s">
        <v>2622</v>
      </c>
      <c r="D138" s="145" t="s">
        <v>2623</v>
      </c>
      <c r="E138" s="2647" t="s">
        <v>2624</v>
      </c>
      <c r="F138" s="2648" t="s">
        <v>2625</v>
      </c>
      <c r="G138" s="145" t="s">
        <v>2623</v>
      </c>
      <c r="H138" s="146" t="s">
        <v>2624</v>
      </c>
      <c r="I138" s="2649"/>
      <c r="J138" s="145" t="s">
        <v>2626</v>
      </c>
      <c r="K138" s="146" t="s">
        <v>2627</v>
      </c>
    </row>
    <row r="139" spans="1:17" ht="15">
      <c r="B139" s="1087">
        <v>6</v>
      </c>
      <c r="C139" s="1088">
        <v>96</v>
      </c>
      <c r="D139" s="2650" t="s">
        <v>2628</v>
      </c>
      <c r="E139" s="1089">
        <v>100</v>
      </c>
      <c r="F139" s="1090">
        <v>102.5</v>
      </c>
      <c r="G139" s="2650" t="s">
        <v>2628</v>
      </c>
      <c r="H139" s="1091">
        <v>105</v>
      </c>
      <c r="I139" s="2651" t="s">
        <v>2629</v>
      </c>
      <c r="J139" s="1088">
        <v>20</v>
      </c>
      <c r="K139" s="1092">
        <f>C145/(J139-2)</f>
        <v>4.0555555555555553E-3</v>
      </c>
    </row>
    <row r="140" spans="1:17" ht="15">
      <c r="B140" s="1093">
        <v>5</v>
      </c>
      <c r="C140" s="1094">
        <v>100</v>
      </c>
      <c r="D140" s="1094"/>
      <c r="E140" s="1095"/>
      <c r="F140" s="1096">
        <v>102</v>
      </c>
      <c r="G140" s="1094"/>
      <c r="H140" s="1097"/>
      <c r="I140" s="2652" t="s">
        <v>2630</v>
      </c>
      <c r="J140" s="315">
        <f>ROUNDUP((J139-1)/2,0)</f>
        <v>10</v>
      </c>
      <c r="K140" s="1098">
        <v>100</v>
      </c>
    </row>
    <row r="141" spans="1:17" ht="15">
      <c r="B141" s="1093">
        <v>4</v>
      </c>
      <c r="C141" s="1094">
        <v>102</v>
      </c>
      <c r="D141" s="1094"/>
      <c r="E141" s="1095"/>
      <c r="F141" s="1096">
        <v>101.5</v>
      </c>
      <c r="G141" s="1094"/>
      <c r="H141" s="1097"/>
      <c r="I141" s="2652" t="s">
        <v>2631</v>
      </c>
      <c r="J141" s="315">
        <v>1</v>
      </c>
      <c r="K141" s="1099">
        <f>ROUND(100+(J141-J140)*K139*100,1)</f>
        <v>96.4</v>
      </c>
    </row>
    <row r="142" spans="1:17" ht="15">
      <c r="B142" s="1093">
        <v>3</v>
      </c>
      <c r="C142" s="1094">
        <v>103</v>
      </c>
      <c r="D142" s="1094"/>
      <c r="E142" s="1095"/>
      <c r="F142" s="1096">
        <v>101</v>
      </c>
      <c r="G142" s="1094"/>
      <c r="H142" s="1097"/>
      <c r="I142" s="2652" t="s">
        <v>2632</v>
      </c>
      <c r="J142" s="315">
        <f>J139</f>
        <v>20</v>
      </c>
      <c r="K142" s="1100">
        <v>95</v>
      </c>
    </row>
    <row r="143" spans="1:17" ht="15">
      <c r="B143" s="1093">
        <v>2</v>
      </c>
      <c r="C143" s="1094">
        <v>100</v>
      </c>
      <c r="D143" s="1094"/>
      <c r="E143" s="1095"/>
      <c r="F143" s="1096">
        <v>100.5</v>
      </c>
      <c r="G143" s="1094"/>
      <c r="H143" s="1097"/>
      <c r="I143" s="2652" t="s">
        <v>2633</v>
      </c>
      <c r="J143" s="1094">
        <v>15</v>
      </c>
      <c r="K143" s="1099">
        <f>ROUND(100+(J143-J140)*K139*100,1)</f>
        <v>102</v>
      </c>
    </row>
    <row r="144" spans="1:17" ht="15">
      <c r="B144" s="1093">
        <v>1</v>
      </c>
      <c r="C144" s="1094">
        <v>98</v>
      </c>
      <c r="D144" s="2653" t="s">
        <v>2634</v>
      </c>
      <c r="E144" s="1095">
        <v>102</v>
      </c>
      <c r="F144" s="1101">
        <v>100</v>
      </c>
      <c r="G144" s="2653" t="s">
        <v>2634</v>
      </c>
      <c r="H144" s="1097">
        <v>105</v>
      </c>
      <c r="I144" s="2652" t="s">
        <v>2633</v>
      </c>
      <c r="J144" s="1094">
        <v>18</v>
      </c>
      <c r="K144" s="1099">
        <f>ROUND(100+(J144-J140)*K139*100,1)</f>
        <v>103.2</v>
      </c>
    </row>
    <row r="145" spans="2:11" ht="15.75" thickBot="1">
      <c r="B145" s="2654" t="s">
        <v>2635</v>
      </c>
      <c r="C145" s="1102">
        <f>ROUND(MAX(C139:C144)/MIN(C139:C144)-1,3)</f>
        <v>7.2999999999999995E-2</v>
      </c>
      <c r="D145" s="1103"/>
      <c r="E145" s="1103"/>
      <c r="F145" s="2655" t="s">
        <v>2636</v>
      </c>
      <c r="G145" s="2656"/>
      <c r="H145" s="2657"/>
      <c r="I145" s="2658" t="s">
        <v>2633</v>
      </c>
      <c r="J145" s="1104">
        <v>8</v>
      </c>
      <c r="K145" s="1105">
        <f>ROUND(100+(J145-J140)*K139*100,1)</f>
        <v>99.2</v>
      </c>
    </row>
    <row r="147" spans="2:11">
      <c r="B147" s="2639" t="s">
        <v>2637</v>
      </c>
    </row>
    <row r="148" spans="2:11">
      <c r="B148" s="2639"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1613</v>
      </c>
    </row>
    <row r="2" spans="1:1">
      <c r="A2" s="1950"/>
    </row>
    <row r="3" spans="1:1" ht="18">
      <c r="A3" s="1951" t="str">
        <f>项目基本情况!B5&amp;"："</f>
        <v>北京京城机电控股有限责任公司：</v>
      </c>
    </row>
    <row r="4" spans="1:1" ht="36">
      <c r="A4" s="1952" t="str">
        <f>"受贵公司委托，我公司对"&amp;项目基本情况!S1&amp;"进行了预评估。"</f>
        <v>受贵公司委托，我公司对北京市朝阳区酒仙桥北路7号北侧房地产市场价值进行了预评估。</v>
      </c>
    </row>
    <row r="5" spans="1:1" ht="18.75">
      <c r="A5" s="1953" t="s">
        <v>1614</v>
      </c>
    </row>
    <row r="6" spans="1:1" ht="18.75">
      <c r="A6" s="1954" t="s">
        <v>1615</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北路7号北侧房地产，为北京机电院高技术股份有限公司所有。根据《国有土地使用证》[]，估价对象（分摊）出让国有建设用地使用权面积为38167.26平方米。根据《房屋所有权证》[]、《测绘报告》[]，估价对象建筑面积为25430.71平方米。</v>
      </c>
    </row>
    <row r="8" spans="1:1" ht="57.75">
      <c r="A8" s="1955" t="s">
        <v>1616</v>
      </c>
    </row>
    <row r="9" spans="1:1" ht="18.75">
      <c r="A9" s="1954" t="s">
        <v>1617</v>
      </c>
    </row>
    <row r="10" spans="1:1" ht="90">
      <c r="A10" s="1952" t="str">
        <f>"估价对象为"&amp;项目基本情况!S2&amp;IF('结果表-凯富'!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北路7号北侧房地产,属北京机电院高技术股份有限公司开发建设的办公项目，该项目尚在开发建设中。根据《国有土地使用证》[]，估价对象（分摊）出让国有建设用地使用权面积为38167.26平方米。根据《房屋所有权证》[]、《测绘报告》[]，估价对象规划建筑面积为25430.71平方米。</v>
      </c>
    </row>
    <row r="11" spans="1:1" ht="76.5">
      <c r="A11" s="1955" t="s">
        <v>1618</v>
      </c>
    </row>
    <row r="12" spans="1:1" ht="18.75">
      <c r="A12" s="1953" t="s">
        <v>1619</v>
      </c>
    </row>
    <row r="13" spans="1:1" ht="38.25" customHeight="1">
      <c r="A13" s="1956" t="str">
        <f>IF(项目基本情况!B8="抵押",IF(项目基本情况!B5=项目基本情况!B6,定义!C51,定义!B51),定义!D51)</f>
        <v>为估价委托人了解估价对象房地产市场价值提供参考依据。</v>
      </c>
    </row>
    <row r="14" spans="1:1" ht="18.75">
      <c r="A14" s="1957" t="s">
        <v>1620</v>
      </c>
    </row>
    <row r="15" spans="1:1" ht="18">
      <c r="A15" s="1958" t="str">
        <f>TEXT(项目基本情况!D3,"yyyy年m月d日;;")&amp;IF(项目基本情况!D3=项目基本情况!B3,"（评估专业人员实地查勘之日）","")</f>
        <v>2017年11月8日（评估专业人员实地查勘之日）</v>
      </c>
    </row>
    <row r="16" spans="1:1" ht="18.75">
      <c r="A16" s="1957" t="s">
        <v>1621</v>
      </c>
    </row>
    <row r="17" spans="1:1" ht="75">
      <c r="A17" s="1952" t="s">
        <v>1622</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工业，土地取得方式为出让，出让国有建设用地使用权剩余土地使用年限为工业35.11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凯富'!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凯富'!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工业35.11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2" t="str">
        <f>IF(项目基本情况!B9="房地产市场价值","——",IF(项目基本情况!E8="房地产抵押价值",定义!C54,IF(项目基本情况!E8="已注销",定义!C55,定义!C56)))</f>
        <v>——</v>
      </c>
    </row>
    <row r="21" spans="1:1" ht="18">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2" t="str">
        <f>IF(项目基本情况!B9="房地产市场价值","——",IF(项目基本情况!E9="——","",定义!C57))</f>
        <v>——</v>
      </c>
    </row>
    <row r="23" spans="1:1" ht="18.75">
      <c r="A23" s="1957" t="s">
        <v>1611</v>
      </c>
    </row>
    <row r="24" spans="1:1" ht="18">
      <c r="A24" s="1959" t="str">
        <f>"本次评估采用的主估价方法为"&amp;'结果表-凯富'!K4&amp;"和"&amp;'结果表-凯富'!L4&amp;"。"</f>
        <v>本次评估采用的主估价方法为比较法和收益法。</v>
      </c>
    </row>
    <row r="25" spans="1:1" ht="18">
      <c r="A25" s="1959"/>
    </row>
    <row r="26" spans="1:1" ht="18.75">
      <c r="A26" s="1960" t="s">
        <v>1612</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2525</v>
      </c>
      <c r="B1" s="2584" t="s">
        <v>2639</v>
      </c>
      <c r="C1" s="1638" t="s">
        <v>2527</v>
      </c>
      <c r="D1" s="1625"/>
      <c r="E1" s="2659"/>
      <c r="F1" s="2586"/>
      <c r="G1" s="1635" t="s">
        <v>2640</v>
      </c>
      <c r="H1" s="1634"/>
      <c r="I1" s="1634"/>
      <c r="J1" s="1634"/>
      <c r="K1" s="1636"/>
      <c r="L1" s="1637"/>
      <c r="M1" s="1638"/>
      <c r="N1" s="1638"/>
      <c r="O1" s="1638"/>
      <c r="P1" s="2660"/>
      <c r="Q1" s="2661"/>
      <c r="R1" s="2661"/>
      <c r="S1" s="2661"/>
      <c r="T1" s="2661"/>
      <c r="U1" s="2661"/>
      <c r="V1" s="2661"/>
      <c r="W1" s="2661"/>
      <c r="X1" s="2661"/>
      <c r="Y1" s="2661"/>
      <c r="Z1" s="2661"/>
      <c r="AA1" s="2661"/>
      <c r="AB1" s="2661"/>
      <c r="AC1" s="2662"/>
    </row>
    <row r="2" spans="1:29" s="398" customFormat="1" ht="28.5" customHeight="1" thickTop="1">
      <c r="A2" s="1621" t="s">
        <v>2324</v>
      </c>
      <c r="B2" s="1421" t="e">
        <f ca="1">IF(C2="——",ROUND(C49*D3/10000,0),ROUND(C49*D3/10000,0)-D2)</f>
        <v>#DIV/0!</v>
      </c>
      <c r="C2" s="2588"/>
      <c r="D2" s="1368" t="e">
        <f ca="1">SUMIF(INDIRECT("'"&amp;F2&amp;"'"&amp;"!A:A"),"承租人权益价值",INDIRECT("'"&amp;F2&amp;"'"&amp;"!c:c"))</f>
        <v>#REF!</v>
      </c>
      <c r="E2" s="2589" t="s">
        <v>2325</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2326</v>
      </c>
      <c r="B3" s="609" t="e">
        <f ca="1">IF(C2="——",C49,ROUND(B2*10000/D3,0))</f>
        <v>#DIV/0!</v>
      </c>
      <c r="C3" s="400" t="s">
        <v>2641</v>
      </c>
      <c r="D3" s="399">
        <f>IF(D1="",'数据-汇总表'!E3,SUMIF('数据-汇总表'!$C19:$C33,D1,'数据-汇总表'!$E19:$E33))</f>
        <v>25430.71</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2642</v>
      </c>
      <c r="B4" s="402"/>
      <c r="C4" s="3256" t="s">
        <v>2643</v>
      </c>
      <c r="D4" s="3257"/>
      <c r="E4" s="3258" t="s">
        <v>2644</v>
      </c>
      <c r="F4" s="3259"/>
      <c r="G4" s="3256" t="s">
        <v>2645</v>
      </c>
      <c r="H4" s="3257"/>
      <c r="I4" s="3256" t="s">
        <v>2646</v>
      </c>
      <c r="J4" s="3257"/>
      <c r="K4" s="610" t="s">
        <v>2647</v>
      </c>
      <c r="L4" s="1133"/>
      <c r="M4" s="1134"/>
      <c r="N4" s="1134"/>
      <c r="O4" s="1134"/>
      <c r="P4" s="3344" t="s">
        <v>2648</v>
      </c>
      <c r="Q4" s="3345"/>
      <c r="R4" s="3348" t="s">
        <v>2644</v>
      </c>
      <c r="S4" s="3349"/>
      <c r="T4" s="3348" t="s">
        <v>2645</v>
      </c>
      <c r="U4" s="3349"/>
      <c r="V4" s="3273" t="s">
        <v>2646</v>
      </c>
      <c r="W4" s="3273"/>
      <c r="X4" s="1817"/>
      <c r="Y4" s="3348" t="s">
        <v>2648</v>
      </c>
      <c r="Z4" s="3349"/>
      <c r="AA4" s="3343" t="s">
        <v>2644</v>
      </c>
      <c r="AB4" s="3273" t="s">
        <v>2645</v>
      </c>
      <c r="AC4" s="3343" t="s">
        <v>2646</v>
      </c>
    </row>
    <row r="5" spans="1:29" ht="15">
      <c r="A5" s="404"/>
      <c r="B5" s="405"/>
      <c r="C5" s="3282" t="s">
        <v>2539</v>
      </c>
      <c r="D5" s="3277"/>
      <c r="E5" s="3350" t="s">
        <v>2540</v>
      </c>
      <c r="F5" s="3289"/>
      <c r="G5" s="3282" t="s">
        <v>2541</v>
      </c>
      <c r="H5" s="3277"/>
      <c r="I5" s="3282" t="s">
        <v>2542</v>
      </c>
      <c r="J5" s="3277"/>
      <c r="K5" s="610"/>
      <c r="L5" s="1133"/>
      <c r="M5" s="1134"/>
      <c r="N5" s="1134"/>
      <c r="O5" s="1134"/>
      <c r="P5" s="3346"/>
      <c r="Q5" s="3263"/>
      <c r="R5" s="3268"/>
      <c r="S5" s="3269"/>
      <c r="T5" s="3268"/>
      <c r="U5" s="3269"/>
      <c r="V5" s="3273"/>
      <c r="W5" s="3273"/>
      <c r="X5" s="1817"/>
      <c r="Y5" s="3268"/>
      <c r="Z5" s="3269"/>
      <c r="AA5" s="3286"/>
      <c r="AB5" s="3273"/>
      <c r="AC5" s="3286"/>
    </row>
    <row r="6" spans="1:29" ht="15.75" thickBot="1">
      <c r="A6" s="406"/>
      <c r="B6" s="407"/>
      <c r="C6" s="3274" t="s">
        <v>2543</v>
      </c>
      <c r="D6" s="3275"/>
      <c r="E6" s="3283" t="s">
        <v>2543</v>
      </c>
      <c r="F6" s="3284"/>
      <c r="G6" s="3274" t="s">
        <v>2543</v>
      </c>
      <c r="H6" s="3275"/>
      <c r="I6" s="3274" t="s">
        <v>2543</v>
      </c>
      <c r="J6" s="3275"/>
      <c r="K6" s="610" t="s">
        <v>2544</v>
      </c>
      <c r="L6" s="1133"/>
      <c r="M6" s="1134"/>
      <c r="N6" s="1134"/>
      <c r="O6" s="1134"/>
      <c r="P6" s="3347"/>
      <c r="Q6" s="3265"/>
      <c r="R6" s="3268"/>
      <c r="S6" s="3269"/>
      <c r="T6" s="3270"/>
      <c r="U6" s="3271"/>
      <c r="V6" s="3273"/>
      <c r="W6" s="3273"/>
      <c r="X6" s="1817"/>
      <c r="Y6" s="3270"/>
      <c r="Z6" s="3271"/>
      <c r="AA6" s="3287"/>
      <c r="AB6" s="3273"/>
      <c r="AC6" s="3287"/>
    </row>
    <row r="7" spans="1:29" s="116" customFormat="1" ht="15.75" thickBot="1">
      <c r="A7" s="408" t="s">
        <v>2545</v>
      </c>
      <c r="B7" s="409"/>
      <c r="C7" s="410">
        <f>'数据-取费表'!B2</f>
        <v>43047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80" t="s">
        <v>2546</v>
      </c>
      <c r="Q7" s="3281"/>
      <c r="R7" s="770" t="s">
        <v>17</v>
      </c>
      <c r="S7" s="771">
        <f t="shared" ref="S7:S15" si="0">F7</f>
        <v>0</v>
      </c>
      <c r="T7" s="770" t="s">
        <v>17</v>
      </c>
      <c r="U7" s="771">
        <f t="shared" ref="U7:U15" si="1">H7</f>
        <v>0</v>
      </c>
      <c r="V7" s="770" t="s">
        <v>17</v>
      </c>
      <c r="W7" s="771">
        <f t="shared" ref="W7:W15" si="2">J7</f>
        <v>0</v>
      </c>
      <c r="X7" s="772"/>
      <c r="Y7" s="3280" t="s">
        <v>2546</v>
      </c>
      <c r="Z7" s="3279"/>
      <c r="AA7" s="773" t="e">
        <f>D7/F7</f>
        <v>#DIV/0!</v>
      </c>
      <c r="AB7" s="773" t="e">
        <f>D7/H7</f>
        <v>#DIV/0!</v>
      </c>
      <c r="AC7" s="773" t="e">
        <f>D7/J7</f>
        <v>#DIV/0!</v>
      </c>
    </row>
    <row r="8" spans="1:29" s="116"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80" t="s">
        <v>2549</v>
      </c>
      <c r="Q8" s="3279"/>
      <c r="R8" s="770" t="s">
        <v>17</v>
      </c>
      <c r="S8" s="771">
        <f t="shared" si="0"/>
        <v>0</v>
      </c>
      <c r="T8" s="770" t="s">
        <v>17</v>
      </c>
      <c r="U8" s="771">
        <f t="shared" si="1"/>
        <v>0</v>
      </c>
      <c r="V8" s="770" t="s">
        <v>17</v>
      </c>
      <c r="W8" s="771">
        <f t="shared" si="2"/>
        <v>0</v>
      </c>
      <c r="X8" s="772"/>
      <c r="Y8" s="3280" t="s">
        <v>2549</v>
      </c>
      <c r="Z8" s="3279"/>
      <c r="AA8" s="773" t="e">
        <f t="shared" ref="AA8:AA46" si="3">D8/F8</f>
        <v>#DIV/0!</v>
      </c>
      <c r="AB8" s="773" t="e">
        <f t="shared" ref="AB8:AB46" si="4">D8/H8</f>
        <v>#DIV/0!</v>
      </c>
      <c r="AC8" s="773" t="e">
        <f t="shared" ref="AC8:AC46" si="5">D8/J8</f>
        <v>#DIV/0!</v>
      </c>
    </row>
    <row r="9" spans="1:29" s="116" customFormat="1">
      <c r="A9" s="415" t="s">
        <v>2550</v>
      </c>
      <c r="B9" s="70" t="s">
        <v>2551</v>
      </c>
      <c r="C9" s="416"/>
      <c r="D9" s="134">
        <v>100</v>
      </c>
      <c r="E9" s="417"/>
      <c r="F9" s="418">
        <f>SUMIF(63:63,E9,64:64)-SUMIF(63:63,C9,64:64)+100</f>
        <v>100</v>
      </c>
      <c r="G9" s="417"/>
      <c r="H9" s="134">
        <f>SUMIF(63:63,G9,64:64)-SUMIF(63:63,C9,64:64)+100</f>
        <v>100</v>
      </c>
      <c r="I9" s="417"/>
      <c r="J9" s="134">
        <f>SUMIF(63:63,I9,64:64)-SUMIF(63:63,C9,64:64)+100</f>
        <v>100</v>
      </c>
      <c r="K9" s="611"/>
      <c r="L9" s="1135"/>
      <c r="M9" s="1136"/>
      <c r="N9" s="1136"/>
      <c r="O9" s="1136"/>
      <c r="P9" s="3238" t="s">
        <v>2552</v>
      </c>
      <c r="Q9" s="1799" t="str">
        <f t="shared" ref="Q9:Q15" si="6">B9</f>
        <v>用途</v>
      </c>
      <c r="R9" s="770" t="s">
        <v>17</v>
      </c>
      <c r="S9" s="771">
        <f t="shared" si="0"/>
        <v>100</v>
      </c>
      <c r="T9" s="770" t="s">
        <v>17</v>
      </c>
      <c r="U9" s="771">
        <f t="shared" si="1"/>
        <v>100</v>
      </c>
      <c r="V9" s="770" t="s">
        <v>17</v>
      </c>
      <c r="W9" s="771">
        <f t="shared" si="2"/>
        <v>100</v>
      </c>
      <c r="X9" s="772"/>
      <c r="Y9" s="3096" t="s">
        <v>2553</v>
      </c>
      <c r="Z9" s="54" t="str">
        <f t="shared" ref="Z9:Z15" si="7">Q9</f>
        <v>用途</v>
      </c>
      <c r="AA9" s="773">
        <f t="shared" si="3"/>
        <v>1</v>
      </c>
      <c r="AB9" s="773">
        <f t="shared" si="4"/>
        <v>1</v>
      </c>
      <c r="AC9" s="773">
        <f t="shared" si="5"/>
        <v>1</v>
      </c>
    </row>
    <row r="10" spans="1:29" s="427" customFormat="1" ht="27">
      <c r="A10" s="421"/>
      <c r="B10" s="422" t="s">
        <v>2554</v>
      </c>
      <c r="C10" s="423"/>
      <c r="D10" s="135">
        <v>100</v>
      </c>
      <c r="E10" s="424"/>
      <c r="F10" s="425">
        <f>SUMIF(65:65,E10,66:66)-SUMIF(65:65,C10,66:66)+100</f>
        <v>100</v>
      </c>
      <c r="G10" s="423"/>
      <c r="H10" s="135">
        <f>SUMIF(65:65,G10,66:66)-SUMIF(65:65,C10,66:66)+100</f>
        <v>100</v>
      </c>
      <c r="I10" s="423"/>
      <c r="J10" s="135">
        <f>SUMIF(65:65,I10,66:66)-SUMIF(65:65,C10,66:66)+100</f>
        <v>100</v>
      </c>
      <c r="K10" s="612"/>
      <c r="L10" s="1138"/>
      <c r="M10" s="1139"/>
      <c r="N10" s="1139"/>
      <c r="O10" s="1139"/>
      <c r="P10" s="3238"/>
      <c r="Q10" s="1799" t="str">
        <f t="shared" si="6"/>
        <v>土地使用年限（年）</v>
      </c>
      <c r="R10" s="770" t="s">
        <v>17</v>
      </c>
      <c r="S10" s="771">
        <f t="shared" si="0"/>
        <v>100</v>
      </c>
      <c r="T10" s="770" t="s">
        <v>17</v>
      </c>
      <c r="U10" s="771">
        <f t="shared" si="1"/>
        <v>100</v>
      </c>
      <c r="V10" s="770" t="s">
        <v>17</v>
      </c>
      <c r="W10" s="771">
        <f t="shared" si="2"/>
        <v>100</v>
      </c>
      <c r="X10" s="772"/>
      <c r="Y10" s="3096"/>
      <c r="Z10" s="54" t="str">
        <f t="shared" si="7"/>
        <v>土地使用年限（年）</v>
      </c>
      <c r="AA10" s="773">
        <f t="shared" si="3"/>
        <v>1</v>
      </c>
      <c r="AB10" s="773">
        <f t="shared" si="4"/>
        <v>1</v>
      </c>
      <c r="AC10" s="773">
        <f t="shared" si="5"/>
        <v>1</v>
      </c>
    </row>
    <row r="11" spans="1:29" ht="15">
      <c r="A11" s="428"/>
      <c r="B11" s="422" t="s">
        <v>2555</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41"/>
      <c r="M11" s="1134"/>
      <c r="N11" s="1134"/>
      <c r="O11" s="1134"/>
      <c r="P11" s="3238"/>
      <c r="Q11" s="1799" t="str">
        <f t="shared" si="6"/>
        <v>容积率</v>
      </c>
      <c r="R11" s="770" t="s">
        <v>17</v>
      </c>
      <c r="S11" s="771" t="e">
        <f t="shared" si="0"/>
        <v>#N/A</v>
      </c>
      <c r="T11" s="770" t="s">
        <v>17</v>
      </c>
      <c r="U11" s="771" t="e">
        <f t="shared" si="1"/>
        <v>#N/A</v>
      </c>
      <c r="V11" s="770" t="s">
        <v>17</v>
      </c>
      <c r="W11" s="771" t="e">
        <f t="shared" si="2"/>
        <v>#N/A</v>
      </c>
      <c r="X11" s="772"/>
      <c r="Y11" s="3096"/>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425">
        <f>SUMIF(70:70,E12,71:71)-SUMIF(70:70,C12,71:71)+100</f>
        <v>100</v>
      </c>
      <c r="G12" s="434"/>
      <c r="H12" s="135">
        <f>SUMIF(70:70,G12,71:71)-SUMIF(70:70,C12,71:71)+100</f>
        <v>100</v>
      </c>
      <c r="I12" s="434"/>
      <c r="J12" s="135">
        <f>SUMIF(70:70,I12,71:71)-SUMIF(70:70,C12,71:71)+100</f>
        <v>100</v>
      </c>
      <c r="K12" s="613"/>
      <c r="L12" s="1135"/>
      <c r="M12" s="1136"/>
      <c r="N12" s="1136"/>
      <c r="O12" s="1136"/>
      <c r="P12" s="3238"/>
      <c r="Q12" s="1799">
        <f t="shared" si="6"/>
        <v>111</v>
      </c>
      <c r="R12" s="770" t="s">
        <v>17</v>
      </c>
      <c r="S12" s="771">
        <f t="shared" si="0"/>
        <v>100</v>
      </c>
      <c r="T12" s="770" t="s">
        <v>17</v>
      </c>
      <c r="U12" s="771">
        <f t="shared" si="1"/>
        <v>100</v>
      </c>
      <c r="V12" s="770" t="s">
        <v>17</v>
      </c>
      <c r="W12" s="771">
        <f t="shared" si="2"/>
        <v>100</v>
      </c>
      <c r="X12" s="772"/>
      <c r="Y12" s="3096"/>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38"/>
      <c r="Q13" s="1799">
        <f t="shared" si="6"/>
        <v>111</v>
      </c>
      <c r="R13" s="770" t="s">
        <v>17</v>
      </c>
      <c r="S13" s="771">
        <f t="shared" si="0"/>
        <v>100</v>
      </c>
      <c r="T13" s="770" t="s">
        <v>17</v>
      </c>
      <c r="U13" s="771">
        <f t="shared" si="1"/>
        <v>100</v>
      </c>
      <c r="V13" s="770" t="s">
        <v>17</v>
      </c>
      <c r="W13" s="771">
        <f t="shared" si="2"/>
        <v>100</v>
      </c>
      <c r="X13" s="772"/>
      <c r="Y13" s="3096"/>
      <c r="Z13" s="54">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38"/>
      <c r="Q14" s="1799">
        <f t="shared" si="6"/>
        <v>111</v>
      </c>
      <c r="R14" s="770" t="s">
        <v>17</v>
      </c>
      <c r="S14" s="771">
        <f t="shared" si="0"/>
        <v>100</v>
      </c>
      <c r="T14" s="770" t="s">
        <v>17</v>
      </c>
      <c r="U14" s="771">
        <f t="shared" si="1"/>
        <v>100</v>
      </c>
      <c r="V14" s="770" t="s">
        <v>17</v>
      </c>
      <c r="W14" s="771">
        <f t="shared" si="2"/>
        <v>100</v>
      </c>
      <c r="X14" s="772"/>
      <c r="Y14" s="3096"/>
      <c r="Z14" s="54">
        <f t="shared" si="7"/>
        <v>111</v>
      </c>
      <c r="AA14" s="773">
        <f t="shared" si="3"/>
        <v>1</v>
      </c>
      <c r="AB14" s="773">
        <f t="shared" si="4"/>
        <v>1</v>
      </c>
      <c r="AC14" s="773">
        <f t="shared" si="5"/>
        <v>1</v>
      </c>
    </row>
    <row r="15" spans="1:29" ht="71.25">
      <c r="A15" s="440" t="s">
        <v>2556</v>
      </c>
      <c r="B15" s="68" t="s">
        <v>2650</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4" t="s">
        <v>2557</v>
      </c>
      <c r="Q15" s="1814" t="str">
        <f t="shared" si="6"/>
        <v>商业繁华度</v>
      </c>
      <c r="R15" s="774" t="s">
        <v>17</v>
      </c>
      <c r="S15" s="775">
        <f t="shared" si="0"/>
        <v>100</v>
      </c>
      <c r="T15" s="774" t="s">
        <v>17</v>
      </c>
      <c r="U15" s="775">
        <f t="shared" si="1"/>
        <v>100</v>
      </c>
      <c r="V15" s="774" t="s">
        <v>17</v>
      </c>
      <c r="W15" s="775">
        <f t="shared" si="2"/>
        <v>100</v>
      </c>
      <c r="X15" s="1817"/>
      <c r="Y15" s="3246" t="s">
        <v>2557</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245"/>
      <c r="Q16" s="1814"/>
      <c r="R16" s="774"/>
      <c r="S16" s="775"/>
      <c r="T16" s="774"/>
      <c r="U16" s="775"/>
      <c r="V16" s="774"/>
      <c r="W16" s="775"/>
      <c r="X16" s="1817"/>
      <c r="Y16" s="3247"/>
      <c r="Z16" s="1818"/>
      <c r="AA16" s="1815">
        <v>1</v>
      </c>
      <c r="AB16" s="1815">
        <v>1</v>
      </c>
      <c r="AC16" s="1815">
        <v>1</v>
      </c>
    </row>
    <row r="17" spans="1:29" ht="128.25">
      <c r="A17" s="428"/>
      <c r="B17" s="451" t="s">
        <v>2096</v>
      </c>
      <c r="C17" s="2609" t="str">
        <f>估价对象房地状况!C6</f>
        <v>估价对象周边有113路、115路、117路等多条公交线路，有地铁团结湖站，路网较密集，停车便捷程度较好，综合评价交通便捷度较好。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5"/>
      <c r="Q17" s="1814" t="str">
        <f>B17</f>
        <v>交通便捷度</v>
      </c>
      <c r="R17" s="774" t="s">
        <v>17</v>
      </c>
      <c r="S17" s="775">
        <f>F17</f>
        <v>100</v>
      </c>
      <c r="T17" s="774" t="s">
        <v>17</v>
      </c>
      <c r="U17" s="775">
        <f>H17</f>
        <v>100</v>
      </c>
      <c r="V17" s="774" t="s">
        <v>17</v>
      </c>
      <c r="W17" s="775">
        <f>J17</f>
        <v>100</v>
      </c>
      <c r="X17" s="1817"/>
      <c r="Y17" s="3247"/>
      <c r="Z17" s="1818" t="str">
        <f>Q17</f>
        <v>交通便捷度</v>
      </c>
      <c r="AA17" s="1815">
        <f t="shared" si="3"/>
        <v>1</v>
      </c>
      <c r="AB17" s="1815">
        <f t="shared" si="4"/>
        <v>1</v>
      </c>
      <c r="AC17" s="1815">
        <f t="shared" si="5"/>
        <v>1</v>
      </c>
    </row>
    <row r="18" spans="1:29" ht="15">
      <c r="A18" s="428"/>
      <c r="B18" s="456"/>
      <c r="C18" s="2610"/>
      <c r="D18" s="450"/>
      <c r="E18" s="2612"/>
      <c r="F18" s="453"/>
      <c r="G18" s="2611"/>
      <c r="H18" s="448"/>
      <c r="I18" s="2612"/>
      <c r="J18" s="448"/>
      <c r="K18" s="615"/>
      <c r="L18" s="1143"/>
      <c r="M18" s="1134"/>
      <c r="N18" s="1134"/>
      <c r="O18" s="1134"/>
      <c r="P18" s="3245"/>
      <c r="Q18" s="1814"/>
      <c r="R18" s="774"/>
      <c r="S18" s="775"/>
      <c r="T18" s="774"/>
      <c r="U18" s="775"/>
      <c r="V18" s="774"/>
      <c r="W18" s="775"/>
      <c r="X18" s="1817"/>
      <c r="Y18" s="3247"/>
      <c r="Z18" s="1818"/>
      <c r="AA18" s="1815">
        <v>1</v>
      </c>
      <c r="AB18" s="1815">
        <v>1</v>
      </c>
      <c r="AC18" s="1815">
        <v>1</v>
      </c>
    </row>
    <row r="19" spans="1:29" ht="199.5">
      <c r="A19" s="428"/>
      <c r="B19" s="451" t="s">
        <v>2651</v>
      </c>
      <c r="C19" s="2609"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5"/>
      <c r="Q19" s="1814" t="str">
        <f>B19</f>
        <v>公共配套设施</v>
      </c>
      <c r="R19" s="774" t="s">
        <v>17</v>
      </c>
      <c r="S19" s="775">
        <f>F19</f>
        <v>100</v>
      </c>
      <c r="T19" s="774" t="s">
        <v>17</v>
      </c>
      <c r="U19" s="775">
        <f>H19</f>
        <v>100</v>
      </c>
      <c r="V19" s="774" t="s">
        <v>17</v>
      </c>
      <c r="W19" s="775">
        <f>J19</f>
        <v>100</v>
      </c>
      <c r="X19" s="1817"/>
      <c r="Y19" s="3247"/>
      <c r="Z19" s="1818" t="str">
        <f>Q19</f>
        <v>公共配套设施</v>
      </c>
      <c r="AA19" s="1815">
        <f t="shared" si="3"/>
        <v>1</v>
      </c>
      <c r="AB19" s="1815">
        <f t="shared" si="4"/>
        <v>1</v>
      </c>
      <c r="AC19" s="1815">
        <f t="shared" si="5"/>
        <v>1</v>
      </c>
    </row>
    <row r="20" spans="1:29" ht="15">
      <c r="A20" s="428"/>
      <c r="B20" s="456"/>
      <c r="C20" s="447"/>
      <c r="D20" s="448"/>
      <c r="E20" s="2607"/>
      <c r="F20" s="449"/>
      <c r="G20" s="2606"/>
      <c r="H20" s="448"/>
      <c r="I20" s="2607"/>
      <c r="J20" s="448"/>
      <c r="K20" s="615"/>
      <c r="L20" s="1143"/>
      <c r="M20" s="1134"/>
      <c r="N20" s="1134"/>
      <c r="O20" s="1134"/>
      <c r="P20" s="3245"/>
      <c r="Q20" s="1814"/>
      <c r="R20" s="774"/>
      <c r="S20" s="775"/>
      <c r="T20" s="774"/>
      <c r="U20" s="775"/>
      <c r="V20" s="774"/>
      <c r="W20" s="775"/>
      <c r="X20" s="1817"/>
      <c r="Y20" s="3247"/>
      <c r="Z20" s="1818"/>
      <c r="AA20" s="1815">
        <v>1</v>
      </c>
      <c r="AB20" s="1815">
        <v>1</v>
      </c>
      <c r="AC20" s="1815">
        <v>1</v>
      </c>
    </row>
    <row r="21" spans="1:29" ht="42.75">
      <c r="A21" s="428"/>
      <c r="B21" s="1387" t="s">
        <v>2652</v>
      </c>
      <c r="C21" s="2609"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5"/>
      <c r="Q21" s="1814" t="str">
        <f>B21</f>
        <v>基础设施水平</v>
      </c>
      <c r="R21" s="774" t="s">
        <v>17</v>
      </c>
      <c r="S21" s="775">
        <f>F21</f>
        <v>100</v>
      </c>
      <c r="T21" s="774" t="s">
        <v>17</v>
      </c>
      <c r="U21" s="775">
        <f>H21</f>
        <v>100</v>
      </c>
      <c r="V21" s="774" t="s">
        <v>17</v>
      </c>
      <c r="W21" s="775">
        <f>J21</f>
        <v>100</v>
      </c>
      <c r="X21" s="1817"/>
      <c r="Y21" s="3247"/>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9"/>
      <c r="G22" s="447"/>
      <c r="H22" s="448"/>
      <c r="I22" s="447"/>
      <c r="J22" s="448"/>
      <c r="K22" s="1386"/>
      <c r="L22" s="1143"/>
      <c r="M22" s="1134"/>
      <c r="N22" s="1134"/>
      <c r="O22" s="1134"/>
      <c r="P22" s="3245"/>
      <c r="Q22" s="1814"/>
      <c r="R22" s="774"/>
      <c r="S22" s="775"/>
      <c r="T22" s="774"/>
      <c r="U22" s="775"/>
      <c r="V22" s="774"/>
      <c r="W22" s="775"/>
      <c r="X22" s="1817"/>
      <c r="Y22" s="3247"/>
      <c r="Z22" s="1818"/>
      <c r="AA22" s="1815">
        <v>1</v>
      </c>
      <c r="AB22" s="1815">
        <v>1</v>
      </c>
      <c r="AC22" s="1815">
        <v>1</v>
      </c>
    </row>
    <row r="23" spans="1:29" ht="142.5">
      <c r="A23" s="428"/>
      <c r="B23" s="451" t="s">
        <v>2099</v>
      </c>
      <c r="C23" s="2666" t="str">
        <f>估价对象房地状况!C9</f>
        <v>估价对象所在区域有团结湖公园，自然情况较好；有农业展览馆、北京联合大学机电学院等人文设施，人文情况较好；综合评价自然及人文环境较好。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5"/>
      <c r="Q23" s="1814" t="str">
        <f>B23</f>
        <v>自然及人文环境</v>
      </c>
      <c r="R23" s="774" t="s">
        <v>17</v>
      </c>
      <c r="S23" s="775">
        <f>F23</f>
        <v>100</v>
      </c>
      <c r="T23" s="774" t="s">
        <v>17</v>
      </c>
      <c r="U23" s="775">
        <f>H23</f>
        <v>100</v>
      </c>
      <c r="V23" s="774" t="s">
        <v>17</v>
      </c>
      <c r="W23" s="775">
        <f>J23</f>
        <v>100</v>
      </c>
      <c r="X23" s="1817"/>
      <c r="Y23" s="3247"/>
      <c r="Z23" s="1818" t="str">
        <f>Q23</f>
        <v>自然及人文环境</v>
      </c>
      <c r="AA23" s="1815">
        <f t="shared" si="3"/>
        <v>1</v>
      </c>
      <c r="AB23" s="1815">
        <f t="shared" si="4"/>
        <v>1</v>
      </c>
      <c r="AC23" s="1815">
        <f t="shared" si="5"/>
        <v>1</v>
      </c>
    </row>
    <row r="24" spans="1:29" ht="15">
      <c r="A24" s="428"/>
      <c r="B24" s="456"/>
      <c r="C24" s="447"/>
      <c r="D24" s="448"/>
      <c r="E24" s="2607"/>
      <c r="F24" s="449"/>
      <c r="G24" s="2606"/>
      <c r="H24" s="448"/>
      <c r="I24" s="2607"/>
      <c r="J24" s="448"/>
      <c r="K24" s="615"/>
      <c r="L24" s="1143"/>
      <c r="M24" s="1134"/>
      <c r="N24" s="1134"/>
      <c r="O24" s="1134"/>
      <c r="P24" s="3245"/>
      <c r="Q24" s="1814"/>
      <c r="R24" s="774"/>
      <c r="S24" s="775"/>
      <c r="T24" s="774"/>
      <c r="U24" s="775"/>
      <c r="V24" s="774"/>
      <c r="W24" s="775"/>
      <c r="X24" s="1817"/>
      <c r="Y24" s="3247"/>
      <c r="Z24" s="1818"/>
      <c r="AA24" s="1815">
        <v>1</v>
      </c>
      <c r="AB24" s="1815">
        <v>1</v>
      </c>
      <c r="AC24" s="1815">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5"/>
      <c r="Q25" s="1814" t="str">
        <f t="shared" ref="Q25:Q46" si="11">B25</f>
        <v>临街状况</v>
      </c>
      <c r="R25" s="774" t="s">
        <v>17</v>
      </c>
      <c r="S25" s="775">
        <f>F25</f>
        <v>100</v>
      </c>
      <c r="T25" s="774" t="s">
        <v>17</v>
      </c>
      <c r="U25" s="775">
        <f>H25</f>
        <v>100</v>
      </c>
      <c r="V25" s="774" t="s">
        <v>17</v>
      </c>
      <c r="W25" s="775">
        <f>J25</f>
        <v>100</v>
      </c>
      <c r="X25" s="1817"/>
      <c r="Y25" s="3247"/>
      <c r="Z25" s="1818" t="str">
        <f>Q25</f>
        <v>临街状况</v>
      </c>
      <c r="AA25" s="1815">
        <f t="shared" si="3"/>
        <v>1</v>
      </c>
      <c r="AB25" s="1815">
        <f t="shared" si="4"/>
        <v>1</v>
      </c>
      <c r="AC25" s="1815">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5"/>
      <c r="Q26" s="1814" t="str">
        <f t="shared" si="11"/>
        <v>平面位置/可视性</v>
      </c>
      <c r="R26" s="774" t="s">
        <v>17</v>
      </c>
      <c r="S26" s="775">
        <f>F26</f>
        <v>100</v>
      </c>
      <c r="T26" s="774" t="s">
        <v>17</v>
      </c>
      <c r="U26" s="775">
        <f>H26</f>
        <v>100</v>
      </c>
      <c r="V26" s="774" t="s">
        <v>17</v>
      </c>
      <c r="W26" s="775">
        <f>J26</f>
        <v>100</v>
      </c>
      <c r="X26" s="1817"/>
      <c r="Y26" s="3247"/>
      <c r="Z26" s="1818" t="str">
        <f>Q26</f>
        <v>平面位置/可视性</v>
      </c>
      <c r="AA26" s="1815">
        <f t="shared" si="3"/>
        <v>1</v>
      </c>
      <c r="AB26" s="1815">
        <f t="shared" si="4"/>
        <v>1</v>
      </c>
      <c r="AC26" s="1815">
        <f t="shared" si="5"/>
        <v>1</v>
      </c>
    </row>
    <row r="27" spans="1:29" s="116" customFormat="1" ht="15">
      <c r="A27" s="431"/>
      <c r="B27" s="451" t="s">
        <v>2655</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45"/>
      <c r="Q27" s="1799" t="str">
        <f t="shared" si="11"/>
        <v>人流量</v>
      </c>
      <c r="R27" s="770" t="s">
        <v>17</v>
      </c>
      <c r="S27" s="771">
        <f>F27</f>
        <v>100</v>
      </c>
      <c r="T27" s="770" t="s">
        <v>17</v>
      </c>
      <c r="U27" s="771">
        <f>H27</f>
        <v>100</v>
      </c>
      <c r="V27" s="770" t="s">
        <v>17</v>
      </c>
      <c r="W27" s="771">
        <f>J27</f>
        <v>100</v>
      </c>
      <c r="X27" s="772"/>
      <c r="Y27" s="3247"/>
      <c r="Z27" s="54" t="str">
        <f>Q27</f>
        <v>人流量</v>
      </c>
      <c r="AA27" s="1815">
        <f>D27/F27</f>
        <v>1</v>
      </c>
      <c r="AB27" s="1815">
        <f>D27/H27</f>
        <v>1</v>
      </c>
      <c r="AC27" s="1815">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5"/>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247"/>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5"/>
      <c r="Q29" s="1814">
        <f t="shared" si="11"/>
        <v>111</v>
      </c>
      <c r="R29" s="774" t="s">
        <v>17</v>
      </c>
      <c r="S29" s="775">
        <f t="shared" si="12"/>
        <v>100</v>
      </c>
      <c r="T29" s="774" t="s">
        <v>17</v>
      </c>
      <c r="U29" s="775">
        <f t="shared" si="13"/>
        <v>100</v>
      </c>
      <c r="V29" s="774" t="s">
        <v>17</v>
      </c>
      <c r="W29" s="775">
        <f t="shared" si="14"/>
        <v>100</v>
      </c>
      <c r="X29" s="1817"/>
      <c r="Y29" s="3247"/>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5"/>
      <c r="Q30" s="1814">
        <f t="shared" si="11"/>
        <v>111</v>
      </c>
      <c r="R30" s="774" t="s">
        <v>17</v>
      </c>
      <c r="S30" s="775">
        <f t="shared" si="12"/>
        <v>100</v>
      </c>
      <c r="T30" s="774" t="s">
        <v>17</v>
      </c>
      <c r="U30" s="775">
        <f t="shared" si="13"/>
        <v>100</v>
      </c>
      <c r="V30" s="774" t="s">
        <v>17</v>
      </c>
      <c r="W30" s="775">
        <f t="shared" si="14"/>
        <v>100</v>
      </c>
      <c r="X30" s="1817"/>
      <c r="Y30" s="3247"/>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5"/>
      <c r="Q31" s="1814">
        <f t="shared" si="11"/>
        <v>111</v>
      </c>
      <c r="R31" s="774" t="s">
        <v>17</v>
      </c>
      <c r="S31" s="775">
        <f t="shared" si="12"/>
        <v>100</v>
      </c>
      <c r="T31" s="774" t="s">
        <v>17</v>
      </c>
      <c r="U31" s="775">
        <f t="shared" si="13"/>
        <v>100</v>
      </c>
      <c r="V31" s="774" t="s">
        <v>17</v>
      </c>
      <c r="W31" s="775">
        <f t="shared" si="14"/>
        <v>100</v>
      </c>
      <c r="X31" s="1817"/>
      <c r="Y31" s="3247"/>
      <c r="Z31" s="1818">
        <f t="shared" si="15"/>
        <v>111</v>
      </c>
      <c r="AA31" s="1815">
        <f t="shared" si="3"/>
        <v>1</v>
      </c>
      <c r="AB31" s="1815">
        <f t="shared" si="4"/>
        <v>1</v>
      </c>
      <c r="AC31" s="1815">
        <f t="shared" si="5"/>
        <v>1</v>
      </c>
    </row>
    <row r="32" spans="1:29" ht="15">
      <c r="A32" s="440" t="s">
        <v>2560</v>
      </c>
      <c r="B32" s="70" t="s">
        <v>2657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48" t="s">
        <v>2562</v>
      </c>
      <c r="Q32" s="1814" t="str">
        <f t="shared" si="11"/>
        <v>商业类型</v>
      </c>
      <c r="R32" s="774" t="s">
        <v>17</v>
      </c>
      <c r="S32" s="775">
        <f t="shared" si="12"/>
        <v>100</v>
      </c>
      <c r="T32" s="774" t="s">
        <v>17</v>
      </c>
      <c r="U32" s="775">
        <f t="shared" si="13"/>
        <v>100</v>
      </c>
      <c r="V32" s="774" t="s">
        <v>17</v>
      </c>
      <c r="W32" s="775">
        <f t="shared" si="14"/>
        <v>100</v>
      </c>
      <c r="X32" s="1817"/>
      <c r="Y32" s="3251" t="s">
        <v>2562</v>
      </c>
      <c r="Z32" s="1818" t="str">
        <f t="shared" si="15"/>
        <v>商业类型</v>
      </c>
      <c r="AA32" s="1815">
        <f t="shared" si="3"/>
        <v>1</v>
      </c>
      <c r="AB32" s="1815">
        <f t="shared" si="4"/>
        <v>1</v>
      </c>
      <c r="AC32" s="1815">
        <f t="shared" si="5"/>
        <v>1</v>
      </c>
    </row>
    <row r="33" spans="1:29" s="471" customFormat="1" ht="15">
      <c r="A33" s="468"/>
      <c r="B33" s="422" t="s">
        <v>2563</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41"/>
      <c r="M33" s="1144"/>
      <c r="N33" s="1144"/>
      <c r="O33" s="1144"/>
      <c r="P33" s="3249"/>
      <c r="Q33" s="776" t="str">
        <f t="shared" si="11"/>
        <v>项目建筑规模</v>
      </c>
      <c r="R33" s="777" t="s">
        <v>17</v>
      </c>
      <c r="S33" s="778" t="e">
        <f t="shared" si="12"/>
        <v>#N/A</v>
      </c>
      <c r="T33" s="777" t="s">
        <v>17</v>
      </c>
      <c r="U33" s="778" t="e">
        <f t="shared" si="13"/>
        <v>#N/A</v>
      </c>
      <c r="V33" s="777" t="s">
        <v>17</v>
      </c>
      <c r="W33" s="778" t="e">
        <f t="shared" si="14"/>
        <v>#N/A</v>
      </c>
      <c r="X33" s="779"/>
      <c r="Y33" s="3251"/>
      <c r="Z33" s="780" t="str">
        <f t="shared" si="15"/>
        <v>项目建筑规模</v>
      </c>
      <c r="AA33" s="1815" t="e">
        <f t="shared" si="3"/>
        <v>#N/A</v>
      </c>
      <c r="AB33" s="1815" t="e">
        <f t="shared" si="4"/>
        <v>#N/A</v>
      </c>
      <c r="AC33" s="1815" t="e">
        <f t="shared" si="5"/>
        <v>#N/A</v>
      </c>
    </row>
    <row r="34" spans="1:29" ht="15">
      <c r="A34" s="472"/>
      <c r="B34" s="422" t="s">
        <v>2564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49"/>
      <c r="Q34" s="1814" t="str">
        <f t="shared" si="11"/>
        <v>建筑结构</v>
      </c>
      <c r="R34" s="774" t="s">
        <v>17</v>
      </c>
      <c r="S34" s="775">
        <f t="shared" si="12"/>
        <v>100</v>
      </c>
      <c r="T34" s="774" t="s">
        <v>17</v>
      </c>
      <c r="U34" s="775">
        <f t="shared" si="13"/>
        <v>100</v>
      </c>
      <c r="V34" s="774" t="s">
        <v>17</v>
      </c>
      <c r="W34" s="775">
        <f t="shared" si="14"/>
        <v>100</v>
      </c>
      <c r="X34" s="1817"/>
      <c r="Y34" s="3251"/>
      <c r="Z34" s="1818" t="str">
        <f t="shared" si="15"/>
        <v>建筑结构</v>
      </c>
      <c r="AA34" s="1815">
        <f t="shared" si="3"/>
        <v>1</v>
      </c>
      <c r="AB34" s="1815">
        <f t="shared" si="4"/>
        <v>1</v>
      </c>
      <c r="AC34" s="1815">
        <f t="shared" si="5"/>
        <v>1</v>
      </c>
    </row>
    <row r="35" spans="1:29" ht="15">
      <c r="A35" s="472"/>
      <c r="B35" s="422" t="s">
        <v>2658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49"/>
      <c r="Q35" s="1814" t="str">
        <f t="shared" si="11"/>
        <v>公共部分装修</v>
      </c>
      <c r="R35" s="774" t="s">
        <v>17</v>
      </c>
      <c r="S35" s="775">
        <f t="shared" si="12"/>
        <v>100</v>
      </c>
      <c r="T35" s="774" t="s">
        <v>17</v>
      </c>
      <c r="U35" s="775">
        <f t="shared" si="13"/>
        <v>100</v>
      </c>
      <c r="V35" s="774" t="s">
        <v>17</v>
      </c>
      <c r="W35" s="775">
        <f t="shared" si="14"/>
        <v>100</v>
      </c>
      <c r="X35" s="1817"/>
      <c r="Y35" s="3251"/>
      <c r="Z35" s="1818" t="str">
        <f t="shared" si="15"/>
        <v>公共部分装修</v>
      </c>
      <c r="AA35" s="1815">
        <f t="shared" si="3"/>
        <v>1</v>
      </c>
      <c r="AB35" s="1815">
        <f t="shared" si="4"/>
        <v>1</v>
      </c>
      <c r="AC35" s="1815">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9"/>
      <c r="Q36" s="1814" t="str">
        <f t="shared" si="11"/>
        <v>成新度</v>
      </c>
      <c r="R36" s="774" t="s">
        <v>17</v>
      </c>
      <c r="S36" s="775" t="e">
        <f t="shared" si="12"/>
        <v>#N/A</v>
      </c>
      <c r="T36" s="774" t="s">
        <v>17</v>
      </c>
      <c r="U36" s="775" t="e">
        <f t="shared" si="13"/>
        <v>#N/A</v>
      </c>
      <c r="V36" s="774" t="s">
        <v>17</v>
      </c>
      <c r="W36" s="775" t="e">
        <f t="shared" si="14"/>
        <v>#N/A</v>
      </c>
      <c r="X36" s="1817"/>
      <c r="Y36" s="3251"/>
      <c r="Z36" s="1818" t="str">
        <f t="shared" si="15"/>
        <v>成新度</v>
      </c>
      <c r="AA36" s="1815" t="e">
        <f t="shared" si="3"/>
        <v>#N/A</v>
      </c>
      <c r="AB36" s="1815" t="e">
        <f t="shared" si="4"/>
        <v>#N/A</v>
      </c>
      <c r="AC36" s="1815" t="e">
        <f t="shared" si="5"/>
        <v>#N/A</v>
      </c>
    </row>
    <row r="37" spans="1:29" s="116" customFormat="1" ht="15">
      <c r="A37" s="473"/>
      <c r="B37" s="422" t="s">
        <v>2660</v>
      </c>
      <c r="C37" s="2615"/>
      <c r="D37" s="135">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49"/>
      <c r="Q37" s="1799" t="str">
        <f t="shared" si="11"/>
        <v>市政基础设施</v>
      </c>
      <c r="R37" s="770" t="s">
        <v>17</v>
      </c>
      <c r="S37" s="771">
        <f t="shared" si="12"/>
        <v>100</v>
      </c>
      <c r="T37" s="770" t="s">
        <v>17</v>
      </c>
      <c r="U37" s="771">
        <f t="shared" si="13"/>
        <v>100</v>
      </c>
      <c r="V37" s="770" t="s">
        <v>17</v>
      </c>
      <c r="W37" s="771">
        <f t="shared" si="14"/>
        <v>100</v>
      </c>
      <c r="X37" s="772"/>
      <c r="Y37" s="3251"/>
      <c r="Z37" s="54" t="str">
        <f t="shared" si="15"/>
        <v>市政基础设施</v>
      </c>
      <c r="AA37" s="773">
        <f t="shared" si="3"/>
        <v>1</v>
      </c>
      <c r="AB37" s="773">
        <f t="shared" si="4"/>
        <v>1</v>
      </c>
      <c r="AC37" s="773">
        <f t="shared" si="5"/>
        <v>1</v>
      </c>
    </row>
    <row r="38" spans="1:29" ht="15">
      <c r="A38" s="472"/>
      <c r="B38" s="422" t="s">
        <v>2661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49" t="s">
        <v>2562</v>
      </c>
      <c r="Q38" s="1814" t="str">
        <f t="shared" si="11"/>
        <v>业态</v>
      </c>
      <c r="R38" s="774" t="s">
        <v>17</v>
      </c>
      <c r="S38" s="775">
        <f t="shared" si="12"/>
        <v>100</v>
      </c>
      <c r="T38" s="774" t="s">
        <v>17</v>
      </c>
      <c r="U38" s="775">
        <f t="shared" si="13"/>
        <v>100</v>
      </c>
      <c r="V38" s="774" t="s">
        <v>17</v>
      </c>
      <c r="W38" s="775">
        <f t="shared" si="14"/>
        <v>100</v>
      </c>
      <c r="X38" s="1817"/>
      <c r="Y38" s="3251" t="s">
        <v>2562</v>
      </c>
      <c r="Z38" s="1818" t="str">
        <f t="shared" si="15"/>
        <v>业态</v>
      </c>
      <c r="AA38" s="1815">
        <f t="shared" si="3"/>
        <v>1</v>
      </c>
      <c r="AB38" s="1815">
        <f t="shared" si="4"/>
        <v>1</v>
      </c>
      <c r="AC38" s="1815">
        <f t="shared" si="5"/>
        <v>1</v>
      </c>
    </row>
    <row r="39" spans="1:29" ht="15">
      <c r="A39" s="472"/>
      <c r="B39" s="422" t="s">
        <v>2662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49"/>
      <c r="Q39" s="1814" t="str">
        <f t="shared" si="11"/>
        <v>层高</v>
      </c>
      <c r="R39" s="774" t="s">
        <v>17</v>
      </c>
      <c r="S39" s="775">
        <f t="shared" si="12"/>
        <v>100</v>
      </c>
      <c r="T39" s="774" t="s">
        <v>17</v>
      </c>
      <c r="U39" s="775">
        <f t="shared" si="13"/>
        <v>100</v>
      </c>
      <c r="V39" s="774" t="s">
        <v>17</v>
      </c>
      <c r="W39" s="775">
        <f t="shared" si="14"/>
        <v>100</v>
      </c>
      <c r="X39" s="1817"/>
      <c r="Y39" s="3251"/>
      <c r="Z39" s="1818" t="str">
        <f t="shared" si="15"/>
        <v>层高</v>
      </c>
      <c r="AA39" s="1815">
        <f t="shared" si="3"/>
        <v>1</v>
      </c>
      <c r="AB39" s="1815">
        <f t="shared" si="4"/>
        <v>1</v>
      </c>
      <c r="AC39" s="1815">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9"/>
      <c r="Q40" s="1814" t="str">
        <f t="shared" si="11"/>
        <v>单套建筑面积</v>
      </c>
      <c r="R40" s="774" t="s">
        <v>17</v>
      </c>
      <c r="S40" s="775">
        <f t="shared" si="12"/>
        <v>100</v>
      </c>
      <c r="T40" s="774" t="s">
        <v>17</v>
      </c>
      <c r="U40" s="775">
        <f t="shared" si="13"/>
        <v>100</v>
      </c>
      <c r="V40" s="774" t="s">
        <v>17</v>
      </c>
      <c r="W40" s="775">
        <f t="shared" si="14"/>
        <v>100</v>
      </c>
      <c r="X40" s="1817"/>
      <c r="Y40" s="3251"/>
      <c r="Z40" s="1818" t="str">
        <f t="shared" si="15"/>
        <v>单套建筑面积</v>
      </c>
      <c r="AA40" s="1815">
        <f t="shared" si="3"/>
        <v>1</v>
      </c>
      <c r="AB40" s="1815">
        <f t="shared" si="4"/>
        <v>1</v>
      </c>
      <c r="AC40" s="1815">
        <f t="shared" si="5"/>
        <v>1</v>
      </c>
    </row>
    <row r="41" spans="1:29" s="471" customFormat="1" ht="15">
      <c r="A41" s="468"/>
      <c r="B41" s="1816"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9"/>
      <c r="Q41" s="776" t="str">
        <f t="shared" si="11"/>
        <v>进深比</v>
      </c>
      <c r="R41" s="777" t="s">
        <v>17</v>
      </c>
      <c r="S41" s="778">
        <f t="shared" si="12"/>
        <v>100</v>
      </c>
      <c r="T41" s="777" t="s">
        <v>17</v>
      </c>
      <c r="U41" s="778">
        <f t="shared" si="13"/>
        <v>100</v>
      </c>
      <c r="V41" s="777" t="s">
        <v>17</v>
      </c>
      <c r="W41" s="778">
        <f t="shared" si="14"/>
        <v>100</v>
      </c>
      <c r="X41" s="779"/>
      <c r="Y41" s="3251"/>
      <c r="Z41" s="780" t="str">
        <f t="shared" si="15"/>
        <v>进深比</v>
      </c>
      <c r="AA41" s="1815">
        <f t="shared" si="3"/>
        <v>1</v>
      </c>
      <c r="AB41" s="1815">
        <f t="shared" si="4"/>
        <v>1</v>
      </c>
      <c r="AC41" s="1815">
        <f t="shared" si="5"/>
        <v>1</v>
      </c>
    </row>
    <row r="42" spans="1:29" ht="15">
      <c r="A42" s="472"/>
      <c r="B42" s="422" t="s">
        <v>2665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49"/>
      <c r="Q42" s="1814" t="str">
        <f t="shared" si="11"/>
        <v>内部装修</v>
      </c>
      <c r="R42" s="774" t="s">
        <v>17</v>
      </c>
      <c r="S42" s="775">
        <f t="shared" si="12"/>
        <v>100</v>
      </c>
      <c r="T42" s="774" t="s">
        <v>17</v>
      </c>
      <c r="U42" s="775">
        <f t="shared" si="13"/>
        <v>100</v>
      </c>
      <c r="V42" s="774" t="s">
        <v>17</v>
      </c>
      <c r="W42" s="775">
        <f t="shared" si="14"/>
        <v>100</v>
      </c>
      <c r="X42" s="1817"/>
      <c r="Y42" s="3251"/>
      <c r="Z42" s="1818" t="str">
        <f t="shared" si="15"/>
        <v>内部装修</v>
      </c>
      <c r="AA42" s="1815">
        <f t="shared" si="3"/>
        <v>1</v>
      </c>
      <c r="AB42" s="1815">
        <f t="shared" si="4"/>
        <v>1</v>
      </c>
      <c r="AC42" s="1815">
        <f t="shared" si="5"/>
        <v>1</v>
      </c>
    </row>
    <row r="43" spans="1:29" ht="15">
      <c r="A43" s="472"/>
      <c r="B43" s="422" t="s">
        <v>2573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49"/>
      <c r="Q43" s="1814" t="str">
        <f t="shared" si="11"/>
        <v>内部装修维护情况</v>
      </c>
      <c r="R43" s="774" t="s">
        <v>17</v>
      </c>
      <c r="S43" s="775">
        <f t="shared" si="12"/>
        <v>100</v>
      </c>
      <c r="T43" s="774" t="s">
        <v>17</v>
      </c>
      <c r="U43" s="775">
        <f t="shared" si="13"/>
        <v>100</v>
      </c>
      <c r="V43" s="774" t="s">
        <v>17</v>
      </c>
      <c r="W43" s="775">
        <f t="shared" si="14"/>
        <v>100</v>
      </c>
      <c r="X43" s="1817"/>
      <c r="Y43" s="3251"/>
      <c r="Z43" s="1818" t="str">
        <f t="shared" si="15"/>
        <v>内部装修维护情况</v>
      </c>
      <c r="AA43" s="1815">
        <f t="shared" si="3"/>
        <v>1</v>
      </c>
      <c r="AB43" s="1815">
        <f t="shared" si="4"/>
        <v>1</v>
      </c>
      <c r="AC43" s="1815">
        <f t="shared" si="5"/>
        <v>1</v>
      </c>
    </row>
    <row r="44" spans="1:29" s="116" customFormat="1" ht="15">
      <c r="A44" s="473"/>
      <c r="B44" s="1389">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5"/>
      <c r="M44" s="1136"/>
      <c r="N44" s="1136"/>
      <c r="O44" s="1136"/>
      <c r="P44" s="3249"/>
      <c r="Q44" s="1799">
        <f t="shared" si="11"/>
        <v>111</v>
      </c>
      <c r="R44" s="770" t="s">
        <v>17</v>
      </c>
      <c r="S44" s="771">
        <f t="shared" si="12"/>
        <v>100</v>
      </c>
      <c r="T44" s="770" t="s">
        <v>17</v>
      </c>
      <c r="U44" s="771">
        <f t="shared" si="13"/>
        <v>100</v>
      </c>
      <c r="V44" s="770" t="s">
        <v>17</v>
      </c>
      <c r="W44" s="771">
        <f t="shared" si="14"/>
        <v>100</v>
      </c>
      <c r="X44" s="772"/>
      <c r="Y44" s="3251"/>
      <c r="Z44" s="54">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9"/>
      <c r="Q45" s="1814">
        <f t="shared" si="11"/>
        <v>111</v>
      </c>
      <c r="R45" s="774" t="s">
        <v>17</v>
      </c>
      <c r="S45" s="775">
        <f t="shared" si="12"/>
        <v>100</v>
      </c>
      <c r="T45" s="774" t="s">
        <v>17</v>
      </c>
      <c r="U45" s="775">
        <f t="shared" si="13"/>
        <v>100</v>
      </c>
      <c r="V45" s="774" t="s">
        <v>17</v>
      </c>
      <c r="W45" s="775">
        <f t="shared" si="14"/>
        <v>100</v>
      </c>
      <c r="X45" s="1817"/>
      <c r="Y45" s="3251"/>
      <c r="Z45" s="1818">
        <f t="shared" si="15"/>
        <v>111</v>
      </c>
      <c r="AA45" s="1815">
        <f t="shared" si="3"/>
        <v>1</v>
      </c>
      <c r="AB45" s="1815">
        <f t="shared" si="4"/>
        <v>1</v>
      </c>
      <c r="AC45" s="1815">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0"/>
      <c r="Q46" s="1814">
        <f t="shared" si="11"/>
        <v>111</v>
      </c>
      <c r="R46" s="774" t="s">
        <v>17</v>
      </c>
      <c r="S46" s="775">
        <f t="shared" si="12"/>
        <v>100</v>
      </c>
      <c r="T46" s="774" t="s">
        <v>17</v>
      </c>
      <c r="U46" s="775">
        <f t="shared" si="13"/>
        <v>100</v>
      </c>
      <c r="V46" s="774" t="s">
        <v>17</v>
      </c>
      <c r="W46" s="775">
        <f t="shared" si="14"/>
        <v>100</v>
      </c>
      <c r="X46" s="1817"/>
      <c r="Y46" s="3252"/>
      <c r="Z46" s="1818">
        <f t="shared" si="15"/>
        <v>111</v>
      </c>
      <c r="AA46" s="1815">
        <f t="shared" si="3"/>
        <v>1</v>
      </c>
      <c r="AB46" s="1815">
        <f t="shared" si="4"/>
        <v>1</v>
      </c>
      <c r="AC46" s="1815">
        <f t="shared" si="5"/>
        <v>1</v>
      </c>
    </row>
    <row r="47" spans="1:29" ht="15">
      <c r="A47" s="479" t="s">
        <v>2574</v>
      </c>
      <c r="B47" s="480"/>
      <c r="C47" s="1410" t="s">
        <v>1</v>
      </c>
      <c r="D47" s="1411"/>
      <c r="E47" s="1412"/>
      <c r="F47" s="1413"/>
      <c r="G47" s="1414"/>
      <c r="H47" s="1415"/>
      <c r="I47" s="1412"/>
      <c r="J47" s="1415"/>
      <c r="K47" s="783"/>
      <c r="L47" s="1146"/>
      <c r="M47" s="1147"/>
      <c r="N47" s="1134"/>
      <c r="O47" s="1147"/>
      <c r="P47" s="3239" t="str">
        <f>A47</f>
        <v>成交单价（元/平方米）</v>
      </c>
      <c r="Q47" s="3239"/>
      <c r="R47" s="3273">
        <f>E47</f>
        <v>0</v>
      </c>
      <c r="S47" s="3273"/>
      <c r="T47" s="3273">
        <f>G47</f>
        <v>0</v>
      </c>
      <c r="U47" s="3273"/>
      <c r="V47" s="3273">
        <f>I47</f>
        <v>0</v>
      </c>
      <c r="W47" s="3273"/>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340" t="str">
        <f>A49</f>
        <v>估价对象XX用房的比较价值（楼面单价，元/平方米）</v>
      </c>
      <c r="Q49" s="3341"/>
      <c r="R49" s="3342" t="e">
        <f>IF(F1="售价",ROUND(AVERAGE(R48:V48),0),ROUND(AVERAGE(R48:V48),1))</f>
        <v>#DIV/0!</v>
      </c>
      <c r="S49" s="3342"/>
      <c r="T49" s="3342"/>
      <c r="U49" s="3342"/>
      <c r="V49" s="3342"/>
      <c r="W49" s="334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2545</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6" customFormat="1" ht="15">
      <c r="A59" s="509"/>
      <c r="B59" s="510"/>
      <c r="C59" s="1577">
        <v>100</v>
      </c>
      <c r="D59" s="512"/>
      <c r="E59" s="512"/>
      <c r="F59" s="512"/>
      <c r="G59" s="512"/>
      <c r="H59" s="512"/>
      <c r="I59" s="512"/>
      <c r="J59" s="512"/>
      <c r="K59" s="512"/>
      <c r="L59" s="512"/>
      <c r="M59" s="513"/>
      <c r="N59" s="512"/>
      <c r="O59" s="513"/>
      <c r="P59" s="2630"/>
    </row>
    <row r="60" spans="1:29" s="116" customFormat="1" ht="15.75" thickBot="1">
      <c r="A60" s="515" t="s">
        <v>2582</v>
      </c>
      <c r="B60" s="516"/>
      <c r="C60" s="517"/>
      <c r="D60" s="518"/>
      <c r="E60" s="518"/>
      <c r="F60" s="518"/>
      <c r="G60" s="518"/>
      <c r="H60" s="518"/>
      <c r="I60" s="518"/>
      <c r="J60" s="518"/>
      <c r="K60" s="518"/>
      <c r="L60" s="518"/>
      <c r="M60" s="519"/>
      <c r="N60" s="518"/>
      <c r="O60" s="519"/>
      <c r="P60" s="2630"/>
      <c r="Q60" s="504"/>
    </row>
    <row r="61" spans="1:29" s="116" customFormat="1" ht="15">
      <c r="A61" s="521" t="s">
        <v>2547</v>
      </c>
      <c r="B61" s="510"/>
      <c r="C61" s="522" t="s">
        <v>2649</v>
      </c>
      <c r="D61" s="523"/>
      <c r="E61" s="523"/>
      <c r="F61" s="523"/>
      <c r="G61" s="523"/>
      <c r="H61" s="523"/>
      <c r="I61" s="523"/>
      <c r="J61" s="523"/>
      <c r="K61" s="523"/>
      <c r="L61" s="524"/>
      <c r="M61" s="525"/>
      <c r="N61" s="1154"/>
      <c r="O61" s="1154"/>
      <c r="P61" s="2631"/>
      <c r="Q61" s="504"/>
    </row>
    <row r="62" spans="1:29" s="116"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6" customFormat="1" ht="15.75" thickTop="1">
      <c r="A86" s="579"/>
      <c r="B86" s="538" t="s">
        <v>2677</v>
      </c>
      <c r="C86" s="554"/>
      <c r="D86" s="554"/>
      <c r="E86" s="554"/>
      <c r="F86" s="554"/>
      <c r="G86" s="554"/>
      <c r="H86" s="554"/>
      <c r="I86" s="554"/>
      <c r="J86" s="554"/>
      <c r="K86" s="554"/>
      <c r="L86" s="580"/>
      <c r="M86" s="581"/>
      <c r="N86" s="1154"/>
      <c r="O86" s="1154"/>
      <c r="P86" s="2632"/>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6"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6"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2560</v>
      </c>
      <c r="B100" s="528" t="s">
        <v>2678</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2613</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2681</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G43" sqref="G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3257</v>
      </c>
      <c r="D1" s="1824" t="s">
        <v>70</v>
      </c>
      <c r="E1" s="1825" t="s">
        <v>1388</v>
      </c>
      <c r="F1" s="1286">
        <f ca="1">J53</f>
        <v>35.11</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55711</v>
      </c>
      <c r="C2" s="1849" t="s">
        <v>1518</v>
      </c>
      <c r="D2" s="1849"/>
      <c r="E2" s="1850"/>
      <c r="F2" s="1851"/>
      <c r="G2" s="1852"/>
      <c r="H2" s="1844"/>
      <c r="I2" s="1844"/>
      <c r="J2" s="1844"/>
      <c r="K2" s="1845"/>
      <c r="L2" s="1844"/>
      <c r="M2" s="1844"/>
    </row>
    <row r="3" spans="1:37" ht="18" customHeight="1" thickBot="1">
      <c r="A3" s="1853" t="s">
        <v>1519</v>
      </c>
      <c r="B3" s="1854">
        <f ca="1">IF(ISERROR(B2*10000/F43),0,ROUND(B2*10000/F43,0))</f>
        <v>42558</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3660</v>
      </c>
      <c r="D5" s="1826" t="s">
        <v>1403</v>
      </c>
      <c r="E5" s="1296"/>
      <c r="F5" s="1297"/>
      <c r="G5" s="1855"/>
      <c r="H5" s="344">
        <v>1</v>
      </c>
      <c r="I5" s="345" t="s">
        <v>1402</v>
      </c>
      <c r="J5" s="1295">
        <f ca="1">J6+J10+J12</f>
        <v>2699</v>
      </c>
      <c r="K5" s="1826" t="s">
        <v>1403</v>
      </c>
      <c r="L5" s="1296"/>
      <c r="M5" s="1297"/>
    </row>
    <row r="6" spans="1:37" ht="18" customHeight="1">
      <c r="A6" s="1294" t="s">
        <v>1035</v>
      </c>
      <c r="B6" s="3292" t="s">
        <v>1404</v>
      </c>
      <c r="C6" s="1299">
        <f ca="1">ROUND(F6*F8*F7*(1-F9)/10000,0)</f>
        <v>3655</v>
      </c>
      <c r="D6" s="164" t="s">
        <v>3029</v>
      </c>
      <c r="E6" s="347" t="s">
        <v>1406</v>
      </c>
      <c r="F6" s="348">
        <f ca="1">INDIRECT("'数据-取费表'!u"&amp;$G$1)</f>
        <v>7.65</v>
      </c>
      <c r="G6" s="1855"/>
      <c r="H6" s="1294" t="s">
        <v>1035</v>
      </c>
      <c r="I6" s="3292" t="s">
        <v>1404</v>
      </c>
      <c r="J6" s="346">
        <f ca="1">ROUND(M6*M8*M7*(1-M9)/10000,0)</f>
        <v>2692</v>
      </c>
      <c r="K6" s="164" t="s">
        <v>3028</v>
      </c>
      <c r="L6" s="347" t="s">
        <v>1406</v>
      </c>
      <c r="M6" s="348">
        <f ca="1">INDIRECT("'数据-取费表'!z"&amp;$G$1)</f>
        <v>6.26</v>
      </c>
    </row>
    <row r="7" spans="1:37" ht="18" customHeight="1">
      <c r="A7" s="1298"/>
      <c r="B7" s="3293"/>
      <c r="C7" s="1300"/>
      <c r="D7" s="352"/>
      <c r="E7" s="2962" t="s">
        <v>1407</v>
      </c>
      <c r="F7" s="348">
        <f ca="1">IF(INDIRECT("'数据-取费表'!ah"&amp;$G$1)="",INDIRECT("'数据-取费表'!k"&amp;$G$1),INDIRECT("'数据-取费表'!ah"&amp;$G$1))</f>
        <v>13090.679999999998</v>
      </c>
      <c r="G7" s="1855"/>
      <c r="H7" s="349"/>
      <c r="I7" s="3293"/>
      <c r="J7" s="351"/>
      <c r="K7" s="352"/>
      <c r="L7" s="347" t="s">
        <v>1407</v>
      </c>
      <c r="M7" s="348">
        <f ca="1">F7</f>
        <v>13090.679999999998</v>
      </c>
    </row>
    <row r="8" spans="1:37" ht="18" customHeight="1">
      <c r="A8" s="349"/>
      <c r="B8" s="3293"/>
      <c r="C8" s="351"/>
      <c r="D8" s="352"/>
      <c r="E8" s="347" t="s">
        <v>1408</v>
      </c>
      <c r="F8" s="348">
        <f ca="1">INDIRECT("'数据-取费表'!ai"&amp;$G$1)</f>
        <v>365</v>
      </c>
      <c r="G8" s="1855"/>
      <c r="H8" s="349"/>
      <c r="I8" s="3293"/>
      <c r="J8" s="351"/>
      <c r="K8" s="352"/>
      <c r="L8" s="347" t="s">
        <v>1408</v>
      </c>
      <c r="M8" s="348">
        <f ca="1">INDIRECT("'数据-取费表'!ai"&amp;$G$1)</f>
        <v>365</v>
      </c>
    </row>
    <row r="9" spans="1:37" ht="18" customHeight="1">
      <c r="A9" s="349"/>
      <c r="B9" s="3294"/>
      <c r="C9" s="351"/>
      <c r="D9" s="352"/>
      <c r="E9" s="347" t="s">
        <v>1409</v>
      </c>
      <c r="F9" s="357">
        <f ca="1">INDIRECT("'数据-取费表'!w"&amp;$G$1)</f>
        <v>0</v>
      </c>
      <c r="G9" s="1855"/>
      <c r="H9" s="349"/>
      <c r="I9" s="3294"/>
      <c r="J9" s="351"/>
      <c r="K9" s="352"/>
      <c r="L9" s="358" t="s">
        <v>1409</v>
      </c>
      <c r="M9" s="359">
        <f ca="1">INDIRECT("'数据-取费表'!ab"&amp;$G$1)</f>
        <v>0.1</v>
      </c>
    </row>
    <row r="10" spans="1:37" ht="18" customHeight="1">
      <c r="A10" s="1294" t="s">
        <v>1039</v>
      </c>
      <c r="B10" s="1827" t="s">
        <v>1410</v>
      </c>
      <c r="C10" s="361">
        <f ca="1">ROUND(IF(F10="押一",F6*F8*F7/12*F11,IF(F10="押二",F6*F8*F7/12*2*F11,IF(F10="押三",F6*F8*F7/12*3*F11,C11*F11)))/10000,0)</f>
        <v>5</v>
      </c>
      <c r="D10" s="1828" t="s">
        <v>3025</v>
      </c>
      <c r="E10" s="358" t="s">
        <v>1412</v>
      </c>
      <c r="F10" s="1369" t="s">
        <v>3332</v>
      </c>
      <c r="G10" s="1855"/>
      <c r="H10" s="1294" t="s">
        <v>1039</v>
      </c>
      <c r="I10" s="1827" t="s">
        <v>1410</v>
      </c>
      <c r="J10" s="346">
        <f ca="1">ROUND(IF(M10="押一",M6*M8*M7/12*M11,IF(M10="押二",M6*M8*M7/12*2*M11,IF(M10="押三",M6*M8*M7/12*3*M11,J11*M11)))/10000,0)</f>
        <v>7</v>
      </c>
      <c r="K10" s="1828" t="s">
        <v>3025</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2667</v>
      </c>
      <c r="D13" s="1334" t="s">
        <v>1417</v>
      </c>
      <c r="E13" s="1334" t="s">
        <v>1418</v>
      </c>
      <c r="F13" s="1335">
        <f ca="1">INDIRECT("'数据-取费表'!y"&amp;$G$1)</f>
        <v>0.75</v>
      </c>
      <c r="G13" s="1855"/>
      <c r="H13" s="1332">
        <v>2</v>
      </c>
      <c r="I13" s="1333" t="s">
        <v>1416</v>
      </c>
      <c r="J13" s="1293">
        <f ca="1">ROUND(J14*J15,0)</f>
        <v>2383</v>
      </c>
      <c r="K13" s="1340" t="s">
        <v>1417</v>
      </c>
      <c r="L13" s="1856"/>
      <c r="M13" s="1857"/>
    </row>
    <row r="14" spans="1:37" ht="18" customHeight="1">
      <c r="A14" s="1204" t="s">
        <v>1034</v>
      </c>
      <c r="B14" s="347" t="s">
        <v>1419</v>
      </c>
      <c r="C14" s="363">
        <f ca="1">INDIRECT("'数据-取费表'!m"&amp;$G$1)+INDIRECT("'数据-取费表'!t"&amp;$G$1)</f>
        <v>2356</v>
      </c>
      <c r="D14" s="2949" t="s">
        <v>1420</v>
      </c>
      <c r="E14" s="2944"/>
      <c r="F14" s="364"/>
      <c r="G14" s="1855"/>
      <c r="H14" s="1204" t="s">
        <v>1035</v>
      </c>
      <c r="I14" s="347" t="s">
        <v>1421</v>
      </c>
      <c r="J14" s="23">
        <f ca="1">C29</f>
        <v>3556</v>
      </c>
      <c r="K14" s="2961"/>
      <c r="L14" s="982"/>
      <c r="M14" s="983"/>
    </row>
    <row r="15" spans="1:37" s="1862" customFormat="1" ht="18" customHeight="1" thickBot="1">
      <c r="A15" s="1204" t="s">
        <v>1036</v>
      </c>
      <c r="B15" s="347" t="s">
        <v>1422</v>
      </c>
      <c r="C15" s="23">
        <f ca="1">ROUND(C14*F15,0)</f>
        <v>94</v>
      </c>
      <c r="D15" s="365" t="s">
        <v>1423</v>
      </c>
      <c r="E15" s="365" t="s">
        <v>1424</v>
      </c>
      <c r="F15" s="366">
        <f>'数据-取费表'!B33</f>
        <v>0.04</v>
      </c>
      <c r="G15" s="1858"/>
      <c r="H15" s="1342" t="s">
        <v>1039</v>
      </c>
      <c r="I15" s="1343" t="s">
        <v>1418</v>
      </c>
      <c r="J15" s="1352">
        <f ca="1">INDIRECT("'数据-取费表'!ad"&amp;$G$1)</f>
        <v>0.67</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293</v>
      </c>
      <c r="K16" s="1340" t="s">
        <v>1427</v>
      </c>
      <c r="L16" s="2951"/>
      <c r="M16" s="1297"/>
    </row>
    <row r="17" spans="1:37" s="1862" customFormat="1" ht="18" customHeight="1">
      <c r="A17" s="1204" t="s">
        <v>1391</v>
      </c>
      <c r="B17" s="347" t="s">
        <v>1428</v>
      </c>
      <c r="C17" s="23">
        <f ca="1">ROUND(F17*(F43+INDIRECT("'数据-取费表'!S"&amp;$G$1))/10000,0)</f>
        <v>262</v>
      </c>
      <c r="D17" s="347" t="s">
        <v>1429</v>
      </c>
      <c r="E17" s="347" t="s">
        <v>1430</v>
      </c>
      <c r="F17" s="25">
        <f>'数据-取费表'!B35</f>
        <v>200</v>
      </c>
      <c r="G17" s="1858"/>
      <c r="H17" s="1204" t="s">
        <v>1035</v>
      </c>
      <c r="I17" s="347" t="s">
        <v>1431</v>
      </c>
      <c r="J17" s="23">
        <f ca="1">ROUND(IF(项目基本情况!B11="自然人",J5*M17,J18+J19+J20),1)</f>
        <v>209.2</v>
      </c>
      <c r="K17" s="2949" t="s">
        <v>1432</v>
      </c>
      <c r="L17" s="2947"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f ca="1">ROUND(C14*F18,0)</f>
        <v>35</v>
      </c>
      <c r="D18" s="347" t="s">
        <v>1423</v>
      </c>
      <c r="E18" s="347" t="s">
        <v>1424</v>
      </c>
      <c r="F18" s="367">
        <f>'数据-取费表'!B36</f>
        <v>1.4999999999999999E-2</v>
      </c>
      <c r="G18" s="1858"/>
      <c r="H18" s="1204" t="s">
        <v>1034</v>
      </c>
      <c r="I18" s="347" t="s">
        <v>1435</v>
      </c>
      <c r="J18" s="23">
        <f ca="1">ROUND(J5*M18/(1+'数据-取费表'!C42),2)</f>
        <v>143.94999999999999</v>
      </c>
      <c r="K18" s="2947"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f ca="1">SUM(C14:C18)</f>
        <v>2747</v>
      </c>
      <c r="D19" s="139" t="s">
        <v>1438</v>
      </c>
      <c r="E19" s="2959"/>
      <c r="F19" s="25"/>
      <c r="G19" s="1855"/>
      <c r="H19" s="1204" t="s">
        <v>1036</v>
      </c>
      <c r="I19" s="347" t="s">
        <v>1439</v>
      </c>
      <c r="J19" s="23">
        <f ca="1">IF(K19="按租金收入计税",ROUND(J5*M19,2),ROUND(C29*M19*0.7,2))</f>
        <v>29.87</v>
      </c>
      <c r="K19" s="1832" t="s">
        <v>1440</v>
      </c>
      <c r="L19" s="347" t="s">
        <v>1424</v>
      </c>
      <c r="M19" s="367">
        <f>IF(K19="按租金收入计税",'数据-取费表'!B51,'数据-取费表'!B50)</f>
        <v>1.2E-2</v>
      </c>
    </row>
    <row r="20" spans="1:37" s="1862" customFormat="1" ht="18" customHeight="1">
      <c r="A20" s="1204" t="s">
        <v>1039</v>
      </c>
      <c r="B20" s="347" t="s">
        <v>1441</v>
      </c>
      <c r="C20" s="23">
        <f ca="1">ROUND(C19*F20,0)</f>
        <v>55</v>
      </c>
      <c r="D20" s="369" t="s">
        <v>1442</v>
      </c>
      <c r="E20" s="347" t="s">
        <v>1424</v>
      </c>
      <c r="F20" s="367">
        <f>'数据-取费表'!B37</f>
        <v>0.02</v>
      </c>
      <c r="G20" s="1858"/>
      <c r="H20" s="1204" t="s">
        <v>1390</v>
      </c>
      <c r="I20" s="164" t="s">
        <v>1443</v>
      </c>
      <c r="J20" s="24">
        <f ca="1">ROUND(M20*M21/10000,2)</f>
        <v>35.36</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f ca="1">INDIRECT("'数据-取费表'!r"&amp;$G$1)</f>
        <v>19646.93</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2959"/>
      <c r="F22" s="25"/>
      <c r="G22" s="1855"/>
      <c r="H22" s="1204" t="s">
        <v>1039</v>
      </c>
      <c r="I22" s="347" t="s">
        <v>1451</v>
      </c>
      <c r="J22" s="23">
        <f ca="1">ROUND(J14*M22,1)</f>
        <v>53.3</v>
      </c>
      <c r="K22" s="2947" t="s">
        <v>1452</v>
      </c>
      <c r="L22" s="347" t="s">
        <v>1424</v>
      </c>
      <c r="M22" s="374">
        <f ca="1">INDIRECT("'数据-取费表'!Ak"&amp;$G$1)</f>
        <v>1.4999999999999999E-2</v>
      </c>
    </row>
    <row r="23" spans="1:37" s="1862" customFormat="1" ht="18" customHeight="1">
      <c r="A23" s="1204" t="s">
        <v>1034</v>
      </c>
      <c r="B23" s="347" t="s">
        <v>1453</v>
      </c>
      <c r="C23" s="23">
        <f ca="1">IF('数据-取费表'!B22&lt;=1,ROUND(C19*F24*F23/2,0)+ROUND(C20*F24*F23/2,0),ROUND(C19*(POWER((1+F24),F23/2)-1),0)+ROUND(C20*(POWER((1+F24),F23/2)-1),0))</f>
        <v>61</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3">
        <f ca="1">ROUND(J13*M23,1)</f>
        <v>3.6</v>
      </c>
      <c r="K23" s="2947" t="s">
        <v>1456</v>
      </c>
      <c r="L23" s="347" t="s">
        <v>1424</v>
      </c>
      <c r="M23" s="376">
        <f ca="1">INDIRECT("'数据-取费表'!Al"&amp;$G$1)</f>
        <v>1.5E-3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1036</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8"/>
      <c r="H24" s="1342" t="s">
        <v>1393</v>
      </c>
      <c r="I24" s="1343" t="s">
        <v>1441</v>
      </c>
      <c r="J24" s="1344">
        <f ca="1">ROUND(J5*M24,1)</f>
        <v>27</v>
      </c>
      <c r="K24" s="1345" t="s">
        <v>1461</v>
      </c>
      <c r="L24" s="1343" t="s">
        <v>1424</v>
      </c>
      <c r="M24" s="1339">
        <f ca="1">INDIRECT("'数据-取费表'!Am"&amp;$G$1)</f>
        <v>0.01</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2959"/>
      <c r="F25" s="25"/>
      <c r="G25" s="1855"/>
      <c r="H25" s="1332" t="s">
        <v>1031</v>
      </c>
      <c r="I25" s="1347" t="s">
        <v>1465</v>
      </c>
      <c r="J25" s="355">
        <f ca="1">J5-J16</f>
        <v>2406</v>
      </c>
      <c r="K25" s="1348" t="s">
        <v>1466</v>
      </c>
      <c r="L25" s="1349"/>
      <c r="M25" s="1350"/>
    </row>
    <row r="26" spans="1:37">
      <c r="A26" s="1204" t="s">
        <v>1034</v>
      </c>
      <c r="B26" s="347" t="s">
        <v>1467</v>
      </c>
      <c r="C26" s="23">
        <f ca="1">ROUND((C19+C20)*F26,0)</f>
        <v>420</v>
      </c>
      <c r="D26" s="369" t="s">
        <v>1468</v>
      </c>
      <c r="E26" s="358" t="s">
        <v>1469</v>
      </c>
      <c r="F26" s="357">
        <f ca="1">INDIRECT("'数据-取费表'!q"&amp;$G$1)</f>
        <v>0.15</v>
      </c>
      <c r="G26" s="1855"/>
      <c r="H26" s="344" t="s">
        <v>1032</v>
      </c>
      <c r="I26" s="345" t="s">
        <v>1470</v>
      </c>
      <c r="J26" s="346">
        <f ca="1">IF(J5&lt;&gt;0,ROUND(J25*(1-((1+M28)/(1+M26))^M27)/(M26-M28),0),0)</f>
        <v>52790</v>
      </c>
      <c r="K26" s="370" t="s">
        <v>1471</v>
      </c>
      <c r="L26" s="347" t="s">
        <v>1472</v>
      </c>
      <c r="M26" s="357">
        <f ca="1">INDIRECT("'数据-取费表'!I"&amp;$G$1)</f>
        <v>0.05</v>
      </c>
    </row>
    <row r="27" spans="1:37" ht="18" customHeight="1">
      <c r="A27" s="1204" t="s">
        <v>1036</v>
      </c>
      <c r="B27" s="347" t="s">
        <v>1473</v>
      </c>
      <c r="C27" s="23">
        <f ca="1">ROUND(F21*F26,4)</f>
        <v>3.0000000000000001E-3</v>
      </c>
      <c r="D27" s="369" t="s">
        <v>1474</v>
      </c>
      <c r="E27" s="365"/>
      <c r="F27" s="366"/>
      <c r="G27" s="1855"/>
      <c r="H27" s="349"/>
      <c r="I27" s="350"/>
      <c r="J27" s="351"/>
      <c r="K27" s="378" t="s">
        <v>1475</v>
      </c>
      <c r="L27" s="347" t="s">
        <v>1476</v>
      </c>
      <c r="M27" s="379">
        <f ca="1">INDIRECT("'数据-取费表'!ag"&amp;$G$1)</f>
        <v>30.04</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0.03</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3556</v>
      </c>
      <c r="D29" s="1345"/>
      <c r="E29" s="1343"/>
      <c r="F29" s="1346"/>
      <c r="G29" s="1858"/>
      <c r="H29" s="380" t="s">
        <v>1033</v>
      </c>
      <c r="I29" s="381" t="s">
        <v>1481</v>
      </c>
      <c r="J29" s="382">
        <f ca="1">ROUND(J26/(1+F40)^F41,0)</f>
        <v>41221</v>
      </c>
      <c r="K29" s="383" t="s">
        <v>1482</v>
      </c>
      <c r="L29" s="384"/>
      <c r="M29" s="385">
        <f ca="1">INDIRECT("'数据-取费表'!k"&amp;$G$1)</f>
        <v>13090.679999999998</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354</v>
      </c>
      <c r="D30" s="1340" t="s">
        <v>1427</v>
      </c>
      <c r="E30" s="2951"/>
      <c r="F30" s="1297"/>
      <c r="G30" s="1855"/>
      <c r="H30" s="745"/>
      <c r="I30" s="746"/>
      <c r="J30" s="747"/>
      <c r="K30" s="748"/>
      <c r="L30" s="749"/>
      <c r="M30" s="750"/>
    </row>
    <row r="31" spans="1:37" ht="18" customHeight="1">
      <c r="A31" s="1204" t="s">
        <v>1035</v>
      </c>
      <c r="B31" s="347" t="s">
        <v>1431</v>
      </c>
      <c r="C31" s="23">
        <f ca="1">ROUND(IF(项目基本情况!B11="自然人",C5*F31,C32+C33+C34),1)</f>
        <v>260.39999999999998</v>
      </c>
      <c r="D31" s="2949" t="s">
        <v>1432</v>
      </c>
      <c r="E31" s="2947"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f ca="1">IF(项目基本情况!B11="自然人","——",ROUND(C5*F32/(1+'数据-取费表'!C42),2))</f>
        <v>195.2</v>
      </c>
      <c r="D32" s="2947" t="s">
        <v>1436</v>
      </c>
      <c r="E32" s="347" t="s">
        <v>1424</v>
      </c>
      <c r="F32" s="377">
        <f>'数据-取费表'!B41</f>
        <v>5.6000000000000001E-2</v>
      </c>
      <c r="G32" s="1855"/>
      <c r="H32" s="745"/>
      <c r="I32" s="746"/>
      <c r="J32" s="747"/>
      <c r="K32" s="748"/>
      <c r="L32" s="749"/>
      <c r="M32" s="750"/>
    </row>
    <row r="33" spans="1:18" ht="18" customHeight="1">
      <c r="A33" s="1204" t="s">
        <v>1036</v>
      </c>
      <c r="B33" s="347" t="s">
        <v>1439</v>
      </c>
      <c r="C33" s="23">
        <f ca="1">IF(项目基本情况!B11="自然人","——",IF(D33="按租金收入计税",ROUND(C5*F33,2),IF(D33="按房产原值计税",ROUND(C29*F33*0.7,2),INDIRECT("'数据-取费表'!Aj"&amp;$G$1))))</f>
        <v>29.87</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f ca="1">IF(项目基本情况!B11="自然人","——",ROUND(F34*F35/10000,2))</f>
        <v>35.36</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f ca="1">INDIRECT("'数据-取费表'!r"&amp;$G$1)</f>
        <v>19646.93</v>
      </c>
      <c r="G35" s="1855"/>
      <c r="H35" s="745"/>
      <c r="I35" s="1864"/>
      <c r="J35" s="1865"/>
      <c r="K35" s="1866"/>
      <c r="L35" s="1863"/>
      <c r="M35" s="1863"/>
    </row>
    <row r="36" spans="1:18" ht="18" customHeight="1">
      <c r="A36" s="1355" t="s">
        <v>1039</v>
      </c>
      <c r="B36" s="347" t="s">
        <v>1451</v>
      </c>
      <c r="C36" s="23">
        <f ca="1">ROUND(C29*F36,1)</f>
        <v>53.3</v>
      </c>
      <c r="D36" s="2947"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3">
        <f ca="1">ROUND(C13*F37,1)</f>
        <v>4</v>
      </c>
      <c r="D37" s="2947" t="s">
        <v>1456</v>
      </c>
      <c r="E37" s="347" t="s">
        <v>1424</v>
      </c>
      <c r="F37" s="376">
        <f ca="1">INDIRECT("'数据-取费表'!Al"&amp;$G$1)</f>
        <v>1.5E-3</v>
      </c>
      <c r="G37" s="1855"/>
      <c r="H37" s="1863"/>
      <c r="I37" s="1864"/>
      <c r="J37" s="1865"/>
      <c r="K37" s="751"/>
      <c r="L37" s="1863"/>
      <c r="M37" s="1863"/>
    </row>
    <row r="38" spans="1:18" ht="18" customHeight="1" thickBot="1">
      <c r="A38" s="1342" t="s">
        <v>1393</v>
      </c>
      <c r="B38" s="1343" t="s">
        <v>1441</v>
      </c>
      <c r="C38" s="1344">
        <f ca="1">ROUND(C5*F38,1)</f>
        <v>36.6</v>
      </c>
      <c r="D38" s="1345" t="s">
        <v>1461</v>
      </c>
      <c r="E38" s="1343" t="s">
        <v>1424</v>
      </c>
      <c r="F38" s="1339">
        <f ca="1">INDIRECT("'数据-取费表'!Am"&amp;$G$1)</f>
        <v>0.01</v>
      </c>
      <c r="G38" s="1855"/>
      <c r="H38" s="1863"/>
      <c r="I38" s="1864"/>
      <c r="J38" s="1865"/>
      <c r="K38" s="1869"/>
      <c r="L38" s="1863"/>
      <c r="M38" s="1863"/>
    </row>
    <row r="39" spans="1:18" ht="24.6" customHeight="1" thickTop="1">
      <c r="A39" s="1332" t="s">
        <v>1031</v>
      </c>
      <c r="B39" s="1347" t="s">
        <v>1465</v>
      </c>
      <c r="C39" s="355">
        <f ca="1">C5-C30</f>
        <v>3306</v>
      </c>
      <c r="D39" s="1348" t="s">
        <v>1466</v>
      </c>
      <c r="E39" s="1349"/>
      <c r="F39" s="1350"/>
      <c r="G39" s="1855"/>
      <c r="H39" s="1863"/>
      <c r="I39" s="1864"/>
      <c r="J39" s="1865"/>
      <c r="K39" s="1869"/>
      <c r="L39" s="1863"/>
      <c r="M39" s="1863"/>
    </row>
    <row r="40" spans="1:18" ht="18" customHeight="1">
      <c r="A40" s="344" t="s">
        <v>1032</v>
      </c>
      <c r="B40" s="345" t="s">
        <v>1487</v>
      </c>
      <c r="C40" s="346">
        <f ca="1">ROUND(C39*(1-((1+F42)/(1+F40))^F41)/(F40-F42),0)</f>
        <v>14490</v>
      </c>
      <c r="D40" s="370" t="s">
        <v>1471</v>
      </c>
      <c r="E40" s="347" t="s">
        <v>1472</v>
      </c>
      <c r="F40" s="357">
        <f ca="1">INDIRECT("'数据-取费表'!I"&amp;$G$1)</f>
        <v>0.05</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5.07</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f ca="1">ROUND(C40*10000/F43,0)</f>
        <v>11069</v>
      </c>
      <c r="D43" s="383" t="s">
        <v>1490</v>
      </c>
      <c r="E43" s="384" t="s">
        <v>1491</v>
      </c>
      <c r="F43" s="385">
        <f ca="1">INDIRECT("'数据-取费表'!k"&amp;$G$1)</f>
        <v>13090.679999999998</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-15029</v>
      </c>
      <c r="D46" s="1876" t="str">
        <f>C2</f>
        <v>万元</v>
      </c>
      <c r="E46" s="1870"/>
      <c r="F46" s="1870"/>
      <c r="I46" s="1877" t="s">
        <v>1523</v>
      </c>
      <c r="J46" s="1878"/>
      <c r="K46" s="1879"/>
      <c r="L46" s="1880" t="str">
        <f ca="1">IF(M47="住宅",0,IF(L48&gt;J51,L60,J60))</f>
        <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3277</v>
      </c>
      <c r="K47" s="1886" t="s">
        <v>1529</v>
      </c>
      <c r="L47" s="1887">
        <f ca="1">INDIRECT("'数据-取费表'!d"&amp;$G$1)</f>
        <v>50</v>
      </c>
      <c r="M47" s="1842" t="str">
        <f>IF(ISNUMBER(FIND("住宅",C1)),"住宅","非住宅")</f>
        <v>非住宅</v>
      </c>
      <c r="O47" s="1888" t="s">
        <v>1040</v>
      </c>
      <c r="P47" s="1889" t="s">
        <v>1530</v>
      </c>
      <c r="Q47" s="1890">
        <f ca="1">C40+J29</f>
        <v>55711</v>
      </c>
      <c r="R47" s="1890" t="s">
        <v>1531</v>
      </c>
    </row>
    <row r="48" spans="1:18" s="1846" customFormat="1" ht="28.5" thickBot="1">
      <c r="A48" s="1363" t="s">
        <v>1135</v>
      </c>
      <c r="B48" s="345" t="s">
        <v>1402</v>
      </c>
      <c r="C48" s="2958">
        <f ca="1">C49+C53+C55</f>
        <v>0</v>
      </c>
      <c r="D48" s="1365"/>
      <c r="E48" s="1366"/>
      <c r="F48" s="1184"/>
      <c r="G48" s="792"/>
      <c r="H48" s="793"/>
      <c r="I48" s="1891" t="s">
        <v>1532</v>
      </c>
      <c r="J48" s="1892" t="s">
        <v>3278</v>
      </c>
      <c r="K48" s="1893" t="s">
        <v>1533</v>
      </c>
      <c r="L48" s="1894">
        <f ca="1">INDIRECT("'数据-取费表'!f"&amp;$G$1)</f>
        <v>35.11</v>
      </c>
      <c r="O48" s="1888" t="s">
        <v>1041</v>
      </c>
      <c r="P48" s="1889" t="s">
        <v>1534</v>
      </c>
      <c r="Q48" s="1890" t="str">
        <f ca="1">J60</f>
        <v>0</v>
      </c>
      <c r="R48" s="1890" t="s">
        <v>1535</v>
      </c>
    </row>
    <row r="49" spans="1:18" s="1846" customFormat="1" ht="13.5" thickBot="1">
      <c r="A49" s="1197" t="s">
        <v>1136</v>
      </c>
      <c r="B49" s="1833" t="s">
        <v>1492</v>
      </c>
      <c r="C49" s="1367">
        <f ca="1">ROUND(F49*F51*F50*(1-F52)/10000,0)</f>
        <v>0</v>
      </c>
      <c r="D49" s="1279" t="s">
        <v>3028</v>
      </c>
      <c r="E49" s="1834" t="s">
        <v>1493</v>
      </c>
      <c r="F49" s="1284"/>
      <c r="G49" s="1895"/>
      <c r="H49" s="793"/>
      <c r="I49" s="1891" t="s">
        <v>1536</v>
      </c>
      <c r="J49" s="1896"/>
      <c r="K49" s="1893" t="s">
        <v>1537</v>
      </c>
      <c r="L49" s="1897"/>
      <c r="O49" s="1898" t="s">
        <v>1042</v>
      </c>
      <c r="P49" s="1889" t="s">
        <v>1538</v>
      </c>
      <c r="Q49" s="1890">
        <f ca="1">C29</f>
        <v>3556</v>
      </c>
      <c r="R49" s="1890" t="s">
        <v>1531</v>
      </c>
    </row>
    <row r="50" spans="1:18" s="1846" customFormat="1" ht="13.5" thickBot="1">
      <c r="A50" s="1198"/>
      <c r="B50" s="1201"/>
      <c r="C50" s="1371"/>
      <c r="D50" s="1175"/>
      <c r="E50" s="1280" t="s">
        <v>1407</v>
      </c>
      <c r="F50" s="1281">
        <f ca="1">F7</f>
        <v>13090.679999999998</v>
      </c>
      <c r="H50" s="793"/>
      <c r="I50" s="1891" t="s">
        <v>1539</v>
      </c>
      <c r="J50" s="1899">
        <f>SUMPRODUCT((I63:I65=J47)*(J62:L62=J48)*(J63:L65))</f>
        <v>70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70</v>
      </c>
      <c r="K51" s="1904" t="s">
        <v>1543</v>
      </c>
      <c r="L51" s="1905">
        <f ca="1">ROUND(-PV(INDIRECT("'数据-取费表'!h"&amp;$G$1),L48,(C39-C13*C76),0),0)</f>
        <v>53839</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f ca="1">J53</f>
        <v>35.11</v>
      </c>
      <c r="R52" s="1890" t="s">
        <v>1548</v>
      </c>
    </row>
    <row r="53" spans="1:18" s="1846" customFormat="1" ht="24.75" thickBot="1">
      <c r="A53" s="1408" t="s">
        <v>1137</v>
      </c>
      <c r="B53" s="1835" t="s">
        <v>1410</v>
      </c>
      <c r="C53" s="361">
        <f ca="1">ROUND(IF(F53="押一",F49*F51*F50/12*F11,IF(F53="押二",F49*F51*F50/12*2*F11,IF(F53="押三",F49*F51*F50/12*3*F11,C54*F11)))/10000,0)</f>
        <v>0</v>
      </c>
      <c r="D53" s="1828" t="s">
        <v>3025</v>
      </c>
      <c r="E53" s="358" t="s">
        <v>1412</v>
      </c>
      <c r="F53" s="1369"/>
      <c r="I53" s="1909" t="s">
        <v>1549</v>
      </c>
      <c r="J53" s="1910">
        <f ca="1">IF(M47="住宅",J51,IF(D1="——",MIN(J51,L48),IF(D1="在建（套用方法）",MIN(J51,L48-'数据-取费表'!B24),IF(D1="土地（套用方法）",MIN(J51,L48-'数据-取费表'!B20)))))</f>
        <v>35.11</v>
      </c>
      <c r="K53" s="3290" t="s">
        <v>1550</v>
      </c>
      <c r="L53" s="3291"/>
      <c r="O53" s="1888" t="s">
        <v>1046</v>
      </c>
      <c r="P53" s="1889" t="s">
        <v>1551</v>
      </c>
      <c r="Q53" s="1890">
        <f ca="1">Q47+Q48</f>
        <v>55711</v>
      </c>
      <c r="R53" s="1890" t="s">
        <v>1047</v>
      </c>
    </row>
    <row r="54" spans="1:18" s="1846" customFormat="1" ht="13.5" thickBot="1">
      <c r="A54" s="1409"/>
      <c r="B54" s="1829" t="s">
        <v>1389</v>
      </c>
      <c r="C54" s="1181"/>
      <c r="D54" s="1828"/>
      <c r="E54" s="2954"/>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2954"/>
      <c r="F55" s="1911"/>
      <c r="I55" s="1914" t="s">
        <v>1553</v>
      </c>
      <c r="J55" s="1915" t="e">
        <f ca="1">ROUND(IF(J47="钢混",J57/J50,1-(1-2%)*(J50-J57)/J50),3)</f>
        <v>#VALUE!</v>
      </c>
      <c r="K55" s="1916" t="s">
        <v>1554</v>
      </c>
      <c r="L55" s="1917" t="s">
        <v>1555</v>
      </c>
      <c r="O55" s="1881" t="s">
        <v>1524</v>
      </c>
      <c r="P55" s="1882" t="s">
        <v>1525</v>
      </c>
      <c r="Q55" s="1883" t="s">
        <v>1526</v>
      </c>
      <c r="R55" s="1883" t="s">
        <v>1527</v>
      </c>
    </row>
    <row r="56" spans="1:18" s="1846" customFormat="1" ht="25.5" thickTop="1" thickBot="1">
      <c r="A56" s="1179">
        <v>2</v>
      </c>
      <c r="B56" s="1180" t="s">
        <v>1416</v>
      </c>
      <c r="C56" s="276">
        <f ca="1">C13</f>
        <v>2667</v>
      </c>
      <c r="D56" s="1918"/>
      <c r="E56" s="1919"/>
      <c r="F56" s="1911"/>
      <c r="I56" s="1920" t="s">
        <v>1556</v>
      </c>
      <c r="J56" s="1921" t="s">
        <v>3233</v>
      </c>
      <c r="K56" s="1891" t="s">
        <v>1557</v>
      </c>
      <c r="L56" s="1894" t="str">
        <f ca="1">IF(L48&lt;J51,"——",L48-J53)</f>
        <v>——</v>
      </c>
      <c r="O56" s="1888" t="s">
        <v>1040</v>
      </c>
      <c r="P56" s="1889" t="s">
        <v>1530</v>
      </c>
      <c r="Q56" s="1890">
        <f ca="1">C40+J29</f>
        <v>55711</v>
      </c>
      <c r="R56" s="1890" t="s">
        <v>1531</v>
      </c>
    </row>
    <row r="57" spans="1:18" s="1846" customFormat="1" ht="24.75" thickBot="1">
      <c r="A57" s="1922"/>
      <c r="B57" s="1172" t="s">
        <v>1480</v>
      </c>
      <c r="C57" s="282">
        <f ca="1">C29</f>
        <v>3556</v>
      </c>
      <c r="D57" s="1923"/>
      <c r="E57" s="1924"/>
      <c r="F57" s="1925"/>
      <c r="I57" s="1926" t="s">
        <v>1558</v>
      </c>
      <c r="J57" s="1927" t="str">
        <f ca="1">IF(OR(M47="住宅",J51&lt;L48,J56="是"),"——",J51-L48)</f>
        <v>——</v>
      </c>
      <c r="K57" s="1891" t="s">
        <v>1559</v>
      </c>
      <c r="L57" s="1894" t="str">
        <f ca="1">IF(L48&lt;J51,"——",IF(L55="比较法",L49,IF(L55="基准地价",L50,L51)))</f>
        <v>——</v>
      </c>
      <c r="O57" s="1888" t="s">
        <v>1041</v>
      </c>
      <c r="P57" s="1889" t="s">
        <v>1560</v>
      </c>
      <c r="Q57" s="1890">
        <f ca="1">L60</f>
        <v>0</v>
      </c>
      <c r="R57" s="1890" t="s">
        <v>1561</v>
      </c>
    </row>
    <row r="58" spans="1:18" s="1846" customFormat="1" ht="24.75" thickBot="1">
      <c r="A58" s="360" t="s">
        <v>1030</v>
      </c>
      <c r="B58" s="1180" t="s">
        <v>1426</v>
      </c>
      <c r="C58" s="361">
        <f ca="1">ROUND(C59+C64+C65+C66,0)</f>
        <v>123</v>
      </c>
      <c r="D58" s="1182" t="s">
        <v>1427</v>
      </c>
      <c r="E58" s="1183"/>
      <c r="F58" s="1184"/>
      <c r="I58" s="1926" t="s">
        <v>1562</v>
      </c>
      <c r="J58" s="1928" t="e">
        <f ca="1">IF(J55&lt;0.4,0.4,J55)</f>
        <v>#VALUE!</v>
      </c>
      <c r="K58" s="1904" t="s">
        <v>1563</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3">
        <f ca="1">ROUND(IF(项目基本情况!B11="自然人",C48*F59,C60+C61+C62),1)</f>
        <v>65.2</v>
      </c>
      <c r="D59" s="1185" t="s">
        <v>1432</v>
      </c>
      <c r="E59" s="1186" t="s">
        <v>1433</v>
      </c>
      <c r="F59" s="368" t="str">
        <f ca="1">IF(项目基本情况!B11="企业","",IF(INDIRECT("'数据-取费表'!c"&amp;$G$1)="住宅",5%,IF(F49*F50*F51/12/(1+'数据-取费表'!C42)&gt;20000,12%,7%)))</f>
        <v/>
      </c>
      <c r="I59" s="1926" t="s">
        <v>1565</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3">
        <f ca="1">IF(项目基本情况!B11="自然人","——",ROUND(C48*F60/(1+'数据-取费表'!C42),2))</f>
        <v>0</v>
      </c>
      <c r="D60" s="1186" t="s">
        <v>1436</v>
      </c>
      <c r="E60" s="1172" t="s">
        <v>1424</v>
      </c>
      <c r="F60" s="377">
        <f t="shared" ref="F60:F66" si="0">F32</f>
        <v>5.6000000000000001E-2</v>
      </c>
      <c r="I60" s="1929" t="s">
        <v>1567</v>
      </c>
      <c r="J60" s="1930" t="str">
        <f ca="1">IF(OR(M47="住宅",J51&lt;L48,J56="是"),"0",ROUND(J59/(1+J52)^J53,0))</f>
        <v>0</v>
      </c>
      <c r="K60" s="1931" t="s">
        <v>1568</v>
      </c>
      <c r="L60" s="1930">
        <f ca="1">IF(OR(M47="住宅",L48&lt;J51),0,ROUND(L57*(L58/L59-1),0))</f>
        <v>0</v>
      </c>
      <c r="O60" s="1898" t="s">
        <v>1044</v>
      </c>
      <c r="P60" s="1889" t="s">
        <v>1569</v>
      </c>
      <c r="Q60" s="1890" t="e">
        <f ca="1">L58</f>
        <v>#DIV/0!</v>
      </c>
      <c r="R60" s="1890" t="s">
        <v>1570</v>
      </c>
    </row>
    <row r="61" spans="1:18" s="1846" customFormat="1" ht="13.5" thickBot="1">
      <c r="A61" s="1204" t="s">
        <v>1494</v>
      </c>
      <c r="B61" s="1172" t="s">
        <v>1439</v>
      </c>
      <c r="C61" s="23">
        <f ca="1">IF(项目基本情况!B11="自然人","——",IF(D61="按租金收入计税",ROUND(C48*F61,2),IF(D61="按房产原值计税",ROUND(C57*F61*0.7,2),INDIRECT("'数据-取费表'!Aj"&amp;$G$1))))</f>
        <v>29.87</v>
      </c>
      <c r="D61" s="1832" t="s">
        <v>1440</v>
      </c>
      <c r="E61" s="1172" t="s">
        <v>1424</v>
      </c>
      <c r="F61" s="367">
        <f t="shared" si="0"/>
        <v>1.2E-2</v>
      </c>
      <c r="I61" s="1932"/>
      <c r="J61" s="1932"/>
      <c r="K61" s="1932"/>
      <c r="L61" s="1932"/>
      <c r="O61" s="1898" t="s">
        <v>1045</v>
      </c>
      <c r="P61" s="1889" t="str">
        <f>K59</f>
        <v>建筑物剩余耐用年限下的土地年期修正系数Kn</v>
      </c>
      <c r="Q61" s="1890" t="e">
        <f ca="1">L59</f>
        <v>#DIV/0!</v>
      </c>
      <c r="R61" s="1890" t="s">
        <v>1571</v>
      </c>
    </row>
    <row r="62" spans="1:18" s="1846" customFormat="1" ht="13.5" thickBot="1">
      <c r="A62" s="1204" t="s">
        <v>1497</v>
      </c>
      <c r="B62" s="1171" t="s">
        <v>1443</v>
      </c>
      <c r="C62" s="24">
        <f ca="1">IF(项目基本情况!B11="自然人","——",ROUND(F62*F63/10000,2))</f>
        <v>35.36</v>
      </c>
      <c r="D62" s="1187" t="s">
        <v>1444</v>
      </c>
      <c r="E62" s="1172" t="s">
        <v>1445</v>
      </c>
      <c r="F62" s="371">
        <f t="shared" si="0"/>
        <v>18</v>
      </c>
      <c r="I62" s="1933" t="s">
        <v>1572</v>
      </c>
      <c r="J62" s="1934" t="s">
        <v>1573</v>
      </c>
      <c r="K62" s="1934" t="s">
        <v>1574</v>
      </c>
      <c r="L62" s="1934" t="s">
        <v>1575</v>
      </c>
      <c r="M62" s="1935" t="s">
        <v>1576</v>
      </c>
      <c r="O62" s="1888" t="s">
        <v>1046</v>
      </c>
      <c r="P62" s="1889" t="s">
        <v>1551</v>
      </c>
      <c r="Q62" s="1890">
        <f ca="1">Q56+Q57</f>
        <v>55711</v>
      </c>
      <c r="R62" s="1890" t="s">
        <v>1047</v>
      </c>
    </row>
    <row r="63" spans="1:18" s="1846" customFormat="1" ht="13.5" thickBot="1">
      <c r="A63" s="372"/>
      <c r="B63" s="1178"/>
      <c r="C63" s="28"/>
      <c r="D63" s="1188"/>
      <c r="E63" s="1172" t="s">
        <v>1449</v>
      </c>
      <c r="F63" s="348">
        <f t="shared" ca="1" si="0"/>
        <v>19646.93</v>
      </c>
      <c r="I63" s="1933" t="s">
        <v>1578</v>
      </c>
      <c r="J63" s="1934">
        <v>70</v>
      </c>
      <c r="K63" s="1934">
        <v>50</v>
      </c>
      <c r="L63" s="1934">
        <v>80</v>
      </c>
      <c r="M63" s="1936">
        <v>0.02</v>
      </c>
      <c r="O63" s="1873" t="s">
        <v>1579</v>
      </c>
      <c r="P63" s="1843"/>
      <c r="Q63" s="1843"/>
      <c r="R63" s="1843"/>
    </row>
    <row r="64" spans="1:18" s="1846" customFormat="1" ht="13.5" thickBot="1">
      <c r="A64" s="1204" t="s">
        <v>1039</v>
      </c>
      <c r="B64" s="1172" t="s">
        <v>1451</v>
      </c>
      <c r="C64" s="23">
        <f ca="1">ROUND(C57*F64,1)</f>
        <v>53.3</v>
      </c>
      <c r="D64" s="1186" t="s">
        <v>1484</v>
      </c>
      <c r="E64" s="1172" t="s">
        <v>1424</v>
      </c>
      <c r="F64" s="374">
        <f t="shared" ca="1" si="0"/>
        <v>1.4999999999999999E-2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f ca="1">ROUND(C56*F65,1)</f>
        <v>4</v>
      </c>
      <c r="D65" s="1186" t="s">
        <v>1456</v>
      </c>
      <c r="E65" s="1172" t="s">
        <v>1424</v>
      </c>
      <c r="F65" s="376">
        <f t="shared" ca="1" si="0"/>
        <v>1.5E-3</v>
      </c>
      <c r="I65" s="1933" t="s">
        <v>1581</v>
      </c>
      <c r="J65" s="1934">
        <v>40</v>
      </c>
      <c r="K65" s="1934">
        <v>30</v>
      </c>
      <c r="L65" s="1934">
        <v>50</v>
      </c>
      <c r="M65" s="1936">
        <v>0.02</v>
      </c>
      <c r="O65" s="1888" t="s">
        <v>1040</v>
      </c>
      <c r="P65" s="1889" t="s">
        <v>1530</v>
      </c>
      <c r="Q65" s="1890">
        <f ca="1">C40+J29</f>
        <v>55711</v>
      </c>
      <c r="R65" s="1890" t="s">
        <v>1531</v>
      </c>
    </row>
    <row r="66" spans="1:18" s="1846" customFormat="1" ht="16.5" thickBot="1">
      <c r="A66" s="1204" t="s">
        <v>1506</v>
      </c>
      <c r="B66" s="1172" t="s">
        <v>1441</v>
      </c>
      <c r="C66" s="23">
        <f ca="1">ROUND(C48*F66,1)</f>
        <v>0</v>
      </c>
      <c r="D66" s="1186" t="s">
        <v>1461</v>
      </c>
      <c r="E66" s="1172" t="s">
        <v>1424</v>
      </c>
      <c r="F66" s="357">
        <f t="shared" ca="1" si="0"/>
        <v>0.01</v>
      </c>
      <c r="O66" s="1888" t="s">
        <v>1041</v>
      </c>
      <c r="P66" s="1889" t="s">
        <v>1560</v>
      </c>
      <c r="Q66" s="1890">
        <f ca="1">L60</f>
        <v>0</v>
      </c>
      <c r="R66" s="1890" t="s">
        <v>1583</v>
      </c>
    </row>
    <row r="67" spans="1:18" s="1846" customFormat="1" ht="16.5" thickBot="1">
      <c r="A67" s="1179" t="s">
        <v>1031</v>
      </c>
      <c r="B67" s="1189" t="s">
        <v>1465</v>
      </c>
      <c r="C67" s="361">
        <f ca="1">C48-C58</f>
        <v>-123</v>
      </c>
      <c r="D67" s="1185" t="s">
        <v>1466</v>
      </c>
      <c r="E67" s="1190"/>
      <c r="F67" s="1191"/>
      <c r="O67" s="1898" t="s">
        <v>1042</v>
      </c>
      <c r="P67" s="1889" t="s">
        <v>1564</v>
      </c>
      <c r="Q67" s="1937">
        <f ca="1">L51</f>
        <v>53839</v>
      </c>
      <c r="R67" s="1890" t="s">
        <v>1584</v>
      </c>
    </row>
    <row r="68" spans="1:18" s="1846" customFormat="1" ht="16.5" thickBot="1">
      <c r="A68" s="1169" t="s">
        <v>1032</v>
      </c>
      <c r="B68" s="1170" t="s">
        <v>1487</v>
      </c>
      <c r="C68" s="346">
        <f ca="1">ROUND(C67*(1-((1+F70)/(1+F68))^F69)/(F68-F70),0)</f>
        <v>-539</v>
      </c>
      <c r="D68" s="1187" t="s">
        <v>1471</v>
      </c>
      <c r="E68" s="1172" t="s">
        <v>1472</v>
      </c>
      <c r="F68" s="357">
        <f ca="1">F40</f>
        <v>0.05</v>
      </c>
      <c r="O68" s="1898" t="s">
        <v>1043</v>
      </c>
      <c r="P68" s="1938" t="s">
        <v>1585</v>
      </c>
      <c r="Q68" s="1890">
        <f ca="1">ROUND(Q69-Q70*Q71,0)</f>
        <v>3079</v>
      </c>
      <c r="R68" s="1890" t="s">
        <v>1051</v>
      </c>
    </row>
    <row r="69" spans="1:18" s="1846" customFormat="1" ht="13.5" thickBot="1">
      <c r="A69" s="1173"/>
      <c r="B69" s="1174"/>
      <c r="C69" s="351"/>
      <c r="D69" s="1192" t="s">
        <v>1475</v>
      </c>
      <c r="E69" s="1172" t="s">
        <v>1476</v>
      </c>
      <c r="F69" s="379">
        <f ca="1">F41</f>
        <v>5.07</v>
      </c>
      <c r="O69" s="1898" t="s">
        <v>1048</v>
      </c>
      <c r="P69" s="1938" t="s">
        <v>1586</v>
      </c>
      <c r="Q69" s="1890">
        <f ca="1">C39</f>
        <v>3306</v>
      </c>
      <c r="R69" s="1890" t="s">
        <v>1531</v>
      </c>
    </row>
    <row r="70" spans="1:18" s="1846" customFormat="1" ht="13.5" thickBot="1">
      <c r="A70" s="1176"/>
      <c r="B70" s="1177"/>
      <c r="C70" s="355"/>
      <c r="D70" s="1188"/>
      <c r="E70" s="1172" t="s">
        <v>1479</v>
      </c>
      <c r="F70" s="1278"/>
      <c r="O70" s="1898" t="s">
        <v>1049</v>
      </c>
      <c r="P70" s="1938" t="s">
        <v>1587</v>
      </c>
      <c r="Q70" s="1890">
        <f ca="1">C13</f>
        <v>2667</v>
      </c>
      <c r="R70" s="1890" t="s">
        <v>1531</v>
      </c>
    </row>
    <row r="71" spans="1:18" s="1846" customFormat="1" ht="13.5" thickBot="1">
      <c r="A71" s="1193" t="s">
        <v>1033</v>
      </c>
      <c r="B71" s="1194" t="s">
        <v>1489</v>
      </c>
      <c r="C71" s="382">
        <f ca="1">ROUND(C68*10000/F71,0)</f>
        <v>-412</v>
      </c>
      <c r="D71" s="1195" t="s">
        <v>1490</v>
      </c>
      <c r="E71" s="1196" t="s">
        <v>1491</v>
      </c>
      <c r="F71" s="385">
        <f ca="1">F43</f>
        <v>13090.679999999998</v>
      </c>
      <c r="O71" s="1898" t="s">
        <v>1050</v>
      </c>
      <c r="P71" s="1938" t="s">
        <v>1588</v>
      </c>
      <c r="Q71" s="1901">
        <f ca="1">C76</f>
        <v>8.5000000000000006E-2</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#DIV/0!</v>
      </c>
      <c r="R74" s="1890" t="s">
        <v>1571</v>
      </c>
    </row>
    <row r="75" spans="1:18" ht="13.5" thickBot="1">
      <c r="A75" s="1846"/>
      <c r="B75" s="386" t="s">
        <v>1508</v>
      </c>
      <c r="C75" s="387">
        <f ca="1">ROUND(C13*C76,0)</f>
        <v>227</v>
      </c>
      <c r="D75" s="1846"/>
      <c r="E75" s="1846"/>
      <c r="F75" s="1846"/>
      <c r="K75" s="1872"/>
      <c r="L75" s="1846"/>
      <c r="O75" s="1888" t="s">
        <v>1046</v>
      </c>
      <c r="P75" s="1889" t="s">
        <v>1551</v>
      </c>
      <c r="Q75" s="1890">
        <f ca="1">Q65+Q66</f>
        <v>55711</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0.93100000000000005</v>
      </c>
    </row>
    <row r="80" spans="1:18">
      <c r="B80" s="386" t="s">
        <v>1513</v>
      </c>
      <c r="C80" s="318">
        <f ca="1">ROUND(C75/C39,3)</f>
        <v>6.9000000000000006E-2</v>
      </c>
    </row>
    <row r="81" spans="2:3">
      <c r="B81" s="314" t="s">
        <v>1514</v>
      </c>
      <c r="C81" s="282"/>
    </row>
    <row r="82" spans="2:3">
      <c r="B82" s="317" t="s">
        <v>1515</v>
      </c>
      <c r="C82" s="319">
        <f ca="1">1-C83</f>
        <v>0.81600000000000006</v>
      </c>
    </row>
    <row r="83" spans="2:3">
      <c r="B83" s="317" t="s">
        <v>1516</v>
      </c>
      <c r="C83" s="318">
        <f ca="1">ROUND(C13/C40,3)</f>
        <v>0.184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G48" sqref="G4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3259</v>
      </c>
      <c r="D1" s="1824" t="s">
        <v>70</v>
      </c>
      <c r="E1" s="1825" t="s">
        <v>1388</v>
      </c>
      <c r="F1" s="1286">
        <f ca="1">J53</f>
        <v>35.11</v>
      </c>
      <c r="G1" s="1840">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3684</v>
      </c>
      <c r="C2" s="1849" t="s">
        <v>1518</v>
      </c>
      <c r="D2" s="1849"/>
      <c r="E2" s="1850"/>
      <c r="F2" s="1851"/>
      <c r="G2" s="1852"/>
      <c r="H2" s="1844"/>
      <c r="I2" s="1844"/>
      <c r="J2" s="1844"/>
      <c r="K2" s="1845"/>
      <c r="L2" s="1844"/>
      <c r="M2" s="1844"/>
    </row>
    <row r="3" spans="1:37" ht="18" customHeight="1" thickBot="1">
      <c r="A3" s="1853" t="s">
        <v>1519</v>
      </c>
      <c r="B3" s="1854">
        <f ca="1">IF(ISERROR(B2*10000/F43),0,ROUND(B2*10000/F43,0))</f>
        <v>22056</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49</v>
      </c>
      <c r="D5" s="1826" t="s">
        <v>1403</v>
      </c>
      <c r="E5" s="1296"/>
      <c r="F5" s="1297"/>
      <c r="G5" s="1855"/>
      <c r="H5" s="344">
        <v>1</v>
      </c>
      <c r="I5" s="345" t="s">
        <v>1402</v>
      </c>
      <c r="J5" s="1295">
        <f ca="1">J6+J10+J12</f>
        <v>451</v>
      </c>
      <c r="K5" s="1826" t="s">
        <v>1403</v>
      </c>
      <c r="L5" s="1296"/>
      <c r="M5" s="1297"/>
    </row>
    <row r="6" spans="1:37" ht="18" customHeight="1">
      <c r="A6" s="1294" t="s">
        <v>1035</v>
      </c>
      <c r="B6" s="3292" t="s">
        <v>1404</v>
      </c>
      <c r="C6" s="1299">
        <f ca="1">ROUND(F6*F8*F7*(1-F9)/10000,0)</f>
        <v>49</v>
      </c>
      <c r="D6" s="164" t="s">
        <v>3029</v>
      </c>
      <c r="E6" s="347" t="s">
        <v>1406</v>
      </c>
      <c r="F6" s="348">
        <f ca="1">INDIRECT("'数据-取费表'!u"&amp;$G$1)</f>
        <v>0.8</v>
      </c>
      <c r="G6" s="1855"/>
      <c r="H6" s="1294" t="s">
        <v>1035</v>
      </c>
      <c r="I6" s="3292" t="s">
        <v>1404</v>
      </c>
      <c r="J6" s="346">
        <f ca="1">ROUND(M6*M8*M7*(1-M9)/10000,0)</f>
        <v>450</v>
      </c>
      <c r="K6" s="164" t="s">
        <v>3028</v>
      </c>
      <c r="L6" s="347" t="s">
        <v>1406</v>
      </c>
      <c r="M6" s="348">
        <f ca="1">INDIRECT("'数据-取费表'!z"&amp;$G$1)</f>
        <v>8.1999999999999993</v>
      </c>
    </row>
    <row r="7" spans="1:37" ht="18" customHeight="1">
      <c r="A7" s="1298"/>
      <c r="B7" s="3293"/>
      <c r="C7" s="1300"/>
      <c r="D7" s="352"/>
      <c r="E7" s="2962" t="s">
        <v>1407</v>
      </c>
      <c r="F7" s="348">
        <f ca="1">IF(INDIRECT("'数据-取费表'!ah"&amp;$G$1)="",INDIRECT("'数据-取费表'!k"&amp;$G$1),INDIRECT("'数据-取费表'!ah"&amp;$G$1))</f>
        <v>1670.3</v>
      </c>
      <c r="G7" s="1855"/>
      <c r="H7" s="349"/>
      <c r="I7" s="3293"/>
      <c r="J7" s="351"/>
      <c r="K7" s="352"/>
      <c r="L7" s="347" t="s">
        <v>1407</v>
      </c>
      <c r="M7" s="348">
        <f ca="1">F7</f>
        <v>1670.3</v>
      </c>
    </row>
    <row r="8" spans="1:37" ht="18" customHeight="1">
      <c r="A8" s="349"/>
      <c r="B8" s="3293"/>
      <c r="C8" s="351"/>
      <c r="D8" s="352"/>
      <c r="E8" s="347" t="s">
        <v>1408</v>
      </c>
      <c r="F8" s="348">
        <f ca="1">INDIRECT("'数据-取费表'!ai"&amp;$G$1)</f>
        <v>365</v>
      </c>
      <c r="G8" s="1855"/>
      <c r="H8" s="349"/>
      <c r="I8" s="3293"/>
      <c r="J8" s="351"/>
      <c r="K8" s="352"/>
      <c r="L8" s="347" t="s">
        <v>1408</v>
      </c>
      <c r="M8" s="348">
        <f ca="1">INDIRECT("'数据-取费表'!ai"&amp;$G$1)</f>
        <v>365</v>
      </c>
    </row>
    <row r="9" spans="1:37" ht="18" customHeight="1">
      <c r="A9" s="349"/>
      <c r="B9" s="3294"/>
      <c r="C9" s="351"/>
      <c r="D9" s="352"/>
      <c r="E9" s="347" t="s">
        <v>1409</v>
      </c>
      <c r="F9" s="357">
        <f ca="1">INDIRECT("'数据-取费表'!w"&amp;$G$1)</f>
        <v>0</v>
      </c>
      <c r="G9" s="1855"/>
      <c r="H9" s="349"/>
      <c r="I9" s="3294"/>
      <c r="J9" s="351"/>
      <c r="K9" s="352"/>
      <c r="L9" s="358" t="s">
        <v>1409</v>
      </c>
      <c r="M9" s="359">
        <f ca="1">INDIRECT("'数据-取费表'!ab"&amp;$G$1)</f>
        <v>0.1</v>
      </c>
    </row>
    <row r="10" spans="1:37" ht="18" customHeight="1">
      <c r="A10" s="1294" t="s">
        <v>1039</v>
      </c>
      <c r="B10" s="1827" t="s">
        <v>1410</v>
      </c>
      <c r="C10" s="361">
        <f ca="1">ROUND(IF(F10="押一",F6*F8*F7/12*F11,IF(F10="押二",F6*F8*F7/12*2*F11,IF(F10="押三",F6*F8*F7/12*3*F11,C11*F11)))/10000,0)</f>
        <v>0</v>
      </c>
      <c r="D10" s="1828" t="s">
        <v>3025</v>
      </c>
      <c r="E10" s="358" t="s">
        <v>1412</v>
      </c>
      <c r="F10" s="1369" t="s">
        <v>3332</v>
      </c>
      <c r="G10" s="1855"/>
      <c r="H10" s="1294" t="s">
        <v>1039</v>
      </c>
      <c r="I10" s="1827" t="s">
        <v>1410</v>
      </c>
      <c r="J10" s="346">
        <f ca="1">ROUND(IF(M10="押一",M6*M8*M7/12*M11,IF(M10="押二",M6*M8*M7/12*2*M11,IF(M10="押三",M6*M8*M7/12*3*M11,J11*M11)))/10000,0)</f>
        <v>1</v>
      </c>
      <c r="K10" s="1828" t="s">
        <v>3025</v>
      </c>
      <c r="L10" s="358" t="s">
        <v>1412</v>
      </c>
      <c r="M10" s="3385"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341</v>
      </c>
      <c r="D13" s="1334" t="s">
        <v>1417</v>
      </c>
      <c r="E13" s="1334" t="s">
        <v>1418</v>
      </c>
      <c r="F13" s="1335">
        <f ca="1">INDIRECT("'数据-取费表'!y"&amp;$G$1)</f>
        <v>0.75</v>
      </c>
      <c r="G13" s="1855"/>
      <c r="H13" s="1332">
        <v>2</v>
      </c>
      <c r="I13" s="1333" t="s">
        <v>1416</v>
      </c>
      <c r="J13" s="1293">
        <f ca="1">ROUND(J14*J15,0)</f>
        <v>237</v>
      </c>
      <c r="K13" s="1340" t="s">
        <v>1417</v>
      </c>
      <c r="L13" s="1856"/>
      <c r="M13" s="1857"/>
    </row>
    <row r="14" spans="1:37" ht="18" customHeight="1">
      <c r="A14" s="1204" t="s">
        <v>1034</v>
      </c>
      <c r="B14" s="347" t="s">
        <v>1419</v>
      </c>
      <c r="C14" s="363">
        <f ca="1">INDIRECT("'数据-取费表'!m"&amp;$G$1)+INDIRECT("'数据-取费表'!t"&amp;$G$1)</f>
        <v>301</v>
      </c>
      <c r="D14" s="2949" t="s">
        <v>1420</v>
      </c>
      <c r="E14" s="2944"/>
      <c r="F14" s="364"/>
      <c r="G14" s="1855"/>
      <c r="H14" s="1204" t="s">
        <v>1035</v>
      </c>
      <c r="I14" s="347" t="s">
        <v>1421</v>
      </c>
      <c r="J14" s="23">
        <f ca="1">C29</f>
        <v>455</v>
      </c>
      <c r="K14" s="2961"/>
      <c r="L14" s="982"/>
      <c r="M14" s="983"/>
    </row>
    <row r="15" spans="1:37" s="1862" customFormat="1" ht="18" customHeight="1" thickBot="1">
      <c r="A15" s="1204" t="s">
        <v>1036</v>
      </c>
      <c r="B15" s="347" t="s">
        <v>1422</v>
      </c>
      <c r="C15" s="23">
        <f ca="1">ROUND(C14*F15,0)</f>
        <v>12</v>
      </c>
      <c r="D15" s="365" t="s">
        <v>1423</v>
      </c>
      <c r="E15" s="365" t="s">
        <v>1424</v>
      </c>
      <c r="F15" s="366">
        <f>'数据-取费表'!B33</f>
        <v>0.04</v>
      </c>
      <c r="G15" s="1858"/>
      <c r="H15" s="1342" t="s">
        <v>1039</v>
      </c>
      <c r="I15" s="1343" t="s">
        <v>1418</v>
      </c>
      <c r="J15" s="1352">
        <f ca="1">INDIRECT("'数据-取费表'!ad"&amp;$G$1)</f>
        <v>0.52</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44</v>
      </c>
      <c r="K16" s="1340" t="s">
        <v>1427</v>
      </c>
      <c r="L16" s="2951"/>
      <c r="M16" s="1297"/>
    </row>
    <row r="17" spans="1:37" s="1862" customFormat="1" ht="18" customHeight="1">
      <c r="A17" s="1204" t="s">
        <v>1391</v>
      </c>
      <c r="B17" s="347" t="s">
        <v>1428</v>
      </c>
      <c r="C17" s="23">
        <f ca="1">ROUND(F17*(F43+INDIRECT("'数据-取费表'!S"&amp;$G$1))/10000,0)</f>
        <v>33</v>
      </c>
      <c r="D17" s="347" t="s">
        <v>1429</v>
      </c>
      <c r="E17" s="347" t="s">
        <v>1430</v>
      </c>
      <c r="F17" s="25">
        <f>'数据-取费表'!B35</f>
        <v>200</v>
      </c>
      <c r="G17" s="1858"/>
      <c r="H17" s="1204" t="s">
        <v>1035</v>
      </c>
      <c r="I17" s="347" t="s">
        <v>1431</v>
      </c>
      <c r="J17" s="23">
        <f ca="1">ROUND(IF(项目基本情况!B11="自然人",J5*M17,J18+J19+J20),1)</f>
        <v>32.4</v>
      </c>
      <c r="K17" s="2949" t="s">
        <v>1432</v>
      </c>
      <c r="L17" s="2947"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f ca="1">ROUND(C14*F18,0)</f>
        <v>5</v>
      </c>
      <c r="D18" s="347" t="s">
        <v>1423</v>
      </c>
      <c r="E18" s="347" t="s">
        <v>1424</v>
      </c>
      <c r="F18" s="367">
        <f>'数据-取费表'!B36</f>
        <v>1.4999999999999999E-2</v>
      </c>
      <c r="G18" s="1858"/>
      <c r="H18" s="1204" t="s">
        <v>1034</v>
      </c>
      <c r="I18" s="347" t="s">
        <v>1435</v>
      </c>
      <c r="J18" s="23">
        <f ca="1">ROUND(J5*M18/(1+'数据-取费表'!C42),2)</f>
        <v>24.05</v>
      </c>
      <c r="K18" s="2947"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f ca="1">SUM(C14:C18)</f>
        <v>351</v>
      </c>
      <c r="D19" s="139" t="s">
        <v>1438</v>
      </c>
      <c r="E19" s="2959"/>
      <c r="F19" s="25"/>
      <c r="G19" s="1855"/>
      <c r="H19" s="1204" t="s">
        <v>1036</v>
      </c>
      <c r="I19" s="347" t="s">
        <v>1439</v>
      </c>
      <c r="J19" s="23">
        <f ca="1">IF(K19="按租金收入计税",ROUND(J5*M19,2),ROUND(C29*M19*0.7,2))</f>
        <v>3.82</v>
      </c>
      <c r="K19" s="1832" t="s">
        <v>1440</v>
      </c>
      <c r="L19" s="347" t="s">
        <v>1424</v>
      </c>
      <c r="M19" s="367">
        <f>IF(K19="按租金收入计税",'数据-取费表'!B51,'数据-取费表'!B50)</f>
        <v>1.2E-2</v>
      </c>
    </row>
    <row r="20" spans="1:37" s="1862" customFormat="1" ht="18" customHeight="1">
      <c r="A20" s="1204" t="s">
        <v>1039</v>
      </c>
      <c r="B20" s="347" t="s">
        <v>1441</v>
      </c>
      <c r="C20" s="23">
        <f ca="1">ROUND(C19*F20,0)</f>
        <v>7</v>
      </c>
      <c r="D20" s="369" t="s">
        <v>1442</v>
      </c>
      <c r="E20" s="347" t="s">
        <v>1424</v>
      </c>
      <c r="F20" s="367">
        <f>'数据-取费表'!B37</f>
        <v>0.02</v>
      </c>
      <c r="G20" s="1858"/>
      <c r="H20" s="1204" t="s">
        <v>1390</v>
      </c>
      <c r="I20" s="164" t="s">
        <v>1443</v>
      </c>
      <c r="J20" s="24">
        <f ca="1">ROUND(M20*M21/10000,2)</f>
        <v>4.51</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f ca="1">INDIRECT("'数据-取费表'!r"&amp;$G$1)</f>
        <v>2506.84</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2959"/>
      <c r="F22" s="25"/>
      <c r="G22" s="1855"/>
      <c r="H22" s="1204" t="s">
        <v>1039</v>
      </c>
      <c r="I22" s="347" t="s">
        <v>1451</v>
      </c>
      <c r="J22" s="23">
        <f ca="1">ROUND(J14*M22,1)</f>
        <v>6.8</v>
      </c>
      <c r="K22" s="2947" t="s">
        <v>1452</v>
      </c>
      <c r="L22" s="347" t="s">
        <v>1424</v>
      </c>
      <c r="M22" s="374">
        <f ca="1">INDIRECT("'数据-取费表'!Ak"&amp;$G$1)</f>
        <v>1.4999999999999999E-2</v>
      </c>
    </row>
    <row r="23" spans="1:37" s="1862" customFormat="1" ht="18" customHeight="1">
      <c r="A23" s="1204" t="s">
        <v>1034</v>
      </c>
      <c r="B23" s="347" t="s">
        <v>1453</v>
      </c>
      <c r="C23" s="23">
        <f ca="1">IF('数据-取费表'!B22&lt;=1,ROUND(C19*F24*F23/2,0)+ROUND(C20*F24*F23/2,0),ROUND(C19*(POWER((1+F24),F23/2)-1),0)+ROUND(C20*(POWER((1+F24),F23/2)-1),0))</f>
        <v>8</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3">
        <f ca="1">ROUND(J13*M23,1)</f>
        <v>0.4</v>
      </c>
      <c r="K23" s="2947" t="s">
        <v>1456</v>
      </c>
      <c r="L23" s="347" t="s">
        <v>1424</v>
      </c>
      <c r="M23" s="376">
        <f ca="1">INDIRECT("'数据-取费表'!Al"&amp;$G$1)</f>
        <v>1.5E-3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1036</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8"/>
      <c r="H24" s="1342" t="s">
        <v>1393</v>
      </c>
      <c r="I24" s="1343" t="s">
        <v>1441</v>
      </c>
      <c r="J24" s="1344">
        <f ca="1">ROUND(J5*M24,1)</f>
        <v>4.5</v>
      </c>
      <c r="K24" s="1345" t="s">
        <v>1461</v>
      </c>
      <c r="L24" s="1343" t="s">
        <v>1424</v>
      </c>
      <c r="M24" s="1339">
        <f ca="1">INDIRECT("'数据-取费表'!Am"&amp;$G$1)</f>
        <v>0.01</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2959"/>
      <c r="F25" s="25"/>
      <c r="G25" s="1855"/>
      <c r="H25" s="1332" t="s">
        <v>1031</v>
      </c>
      <c r="I25" s="1347" t="s">
        <v>1465</v>
      </c>
      <c r="J25" s="355">
        <f ca="1">J5-J16</f>
        <v>407</v>
      </c>
      <c r="K25" s="1348" t="s">
        <v>1466</v>
      </c>
      <c r="L25" s="1349"/>
      <c r="M25" s="1350"/>
    </row>
    <row r="26" spans="1:37">
      <c r="A26" s="1204" t="s">
        <v>1034</v>
      </c>
      <c r="B26" s="347" t="s">
        <v>1467</v>
      </c>
      <c r="C26" s="23">
        <f ca="1">ROUND((C19+C20)*F26,0)</f>
        <v>54</v>
      </c>
      <c r="D26" s="369" t="s">
        <v>1468</v>
      </c>
      <c r="E26" s="358" t="s">
        <v>1469</v>
      </c>
      <c r="F26" s="357">
        <f ca="1">INDIRECT("'数据-取费表'!q"&amp;$G$1)</f>
        <v>0.15</v>
      </c>
      <c r="G26" s="1855"/>
      <c r="H26" s="344" t="s">
        <v>1032</v>
      </c>
      <c r="I26" s="345" t="s">
        <v>1470</v>
      </c>
      <c r="J26" s="346">
        <f ca="1">IF(J5&lt;&gt;0,ROUND(J25*(1-((1+M28)/(1+M26))^M27)/(M26-M28),0),0)</f>
        <v>6751</v>
      </c>
      <c r="K26" s="370" t="s">
        <v>1471</v>
      </c>
      <c r="L26" s="347" t="s">
        <v>1472</v>
      </c>
      <c r="M26" s="357">
        <f ca="1">INDIRECT("'数据-取费表'!I"&amp;$G$1)</f>
        <v>0.05</v>
      </c>
    </row>
    <row r="27" spans="1:37" ht="18" customHeight="1">
      <c r="A27" s="1204" t="s">
        <v>1036</v>
      </c>
      <c r="B27" s="347" t="s">
        <v>1473</v>
      </c>
      <c r="C27" s="23">
        <f ca="1">ROUND(F21*F26,4)</f>
        <v>3.0000000000000001E-3</v>
      </c>
      <c r="D27" s="369" t="s">
        <v>1474</v>
      </c>
      <c r="E27" s="365"/>
      <c r="F27" s="366"/>
      <c r="G27" s="1855"/>
      <c r="H27" s="349"/>
      <c r="I27" s="350"/>
      <c r="J27" s="351"/>
      <c r="K27" s="378" t="s">
        <v>1475</v>
      </c>
      <c r="L27" s="347" t="s">
        <v>1476</v>
      </c>
      <c r="M27" s="379">
        <f ca="1">INDIRECT("'数据-取费表'!ag"&amp;$G$1)</f>
        <v>20.96</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0.03</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455</v>
      </c>
      <c r="D29" s="1345"/>
      <c r="E29" s="1343"/>
      <c r="F29" s="1346"/>
      <c r="G29" s="1858"/>
      <c r="H29" s="380" t="s">
        <v>1033</v>
      </c>
      <c r="I29" s="381" t="s">
        <v>1481</v>
      </c>
      <c r="J29" s="382">
        <f ca="1">ROUND(J26/(1+F40)^F41,0)</f>
        <v>3385</v>
      </c>
      <c r="K29" s="383" t="s">
        <v>1482</v>
      </c>
      <c r="L29" s="384"/>
      <c r="M29" s="385">
        <f ca="1">INDIRECT("'数据-取费表'!k"&amp;$G$1)</f>
        <v>1670.3</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19</v>
      </c>
      <c r="D30" s="1340" t="s">
        <v>1427</v>
      </c>
      <c r="E30" s="2951"/>
      <c r="F30" s="1297"/>
      <c r="G30" s="1855"/>
      <c r="H30" s="745"/>
      <c r="I30" s="746"/>
      <c r="J30" s="747"/>
      <c r="K30" s="748"/>
      <c r="L30" s="749"/>
      <c r="M30" s="750"/>
    </row>
    <row r="31" spans="1:37" ht="18" customHeight="1">
      <c r="A31" s="1204" t="s">
        <v>1035</v>
      </c>
      <c r="B31" s="347" t="s">
        <v>1431</v>
      </c>
      <c r="C31" s="23">
        <f ca="1">ROUND(IF(项目基本情况!B11="自然人",C5*F31,C32+C33+C34),1)</f>
        <v>10.9</v>
      </c>
      <c r="D31" s="2949" t="s">
        <v>1432</v>
      </c>
      <c r="E31" s="2947"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f ca="1">IF(项目基本情况!B11="自然人","——",ROUND(C5*F32/(1+'数据-取费表'!C42),2))</f>
        <v>2.61</v>
      </c>
      <c r="D32" s="2947" t="s">
        <v>1436</v>
      </c>
      <c r="E32" s="347" t="s">
        <v>1424</v>
      </c>
      <c r="F32" s="377">
        <f>'数据-取费表'!B41</f>
        <v>5.6000000000000001E-2</v>
      </c>
      <c r="G32" s="1855"/>
      <c r="H32" s="745"/>
      <c r="I32" s="746"/>
      <c r="J32" s="747"/>
      <c r="K32" s="748"/>
      <c r="L32" s="749"/>
      <c r="M32" s="750"/>
    </row>
    <row r="33" spans="1:18" ht="18" customHeight="1">
      <c r="A33" s="1204" t="s">
        <v>1036</v>
      </c>
      <c r="B33" s="347" t="s">
        <v>1439</v>
      </c>
      <c r="C33" s="23">
        <f ca="1">IF(项目基本情况!B11="自然人","——",IF(D33="按租金收入计税",ROUND(C5*F33,2),IF(D33="按房产原值计税",ROUND(C29*F33*0.7,2),INDIRECT("'数据-取费表'!Aj"&amp;$G$1))))</f>
        <v>3.82</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f ca="1">IF(项目基本情况!B11="自然人","——",ROUND(F34*F35/10000,2))</f>
        <v>4.51</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f ca="1">INDIRECT("'数据-取费表'!r"&amp;$G$1)</f>
        <v>2506.84</v>
      </c>
      <c r="G35" s="1855"/>
      <c r="H35" s="745"/>
      <c r="I35" s="1864"/>
      <c r="J35" s="1865"/>
      <c r="K35" s="1866"/>
      <c r="L35" s="1863"/>
      <c r="M35" s="1863"/>
    </row>
    <row r="36" spans="1:18" ht="18" customHeight="1">
      <c r="A36" s="1355" t="s">
        <v>1039</v>
      </c>
      <c r="B36" s="347" t="s">
        <v>1451</v>
      </c>
      <c r="C36" s="23">
        <f ca="1">ROUND(C29*F36,1)</f>
        <v>6.8</v>
      </c>
      <c r="D36" s="2947"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3">
        <f ca="1">ROUND(C13*F37,1)</f>
        <v>0.5</v>
      </c>
      <c r="D37" s="2947" t="s">
        <v>1456</v>
      </c>
      <c r="E37" s="347" t="s">
        <v>1424</v>
      </c>
      <c r="F37" s="376">
        <f ca="1">INDIRECT("'数据-取费表'!Al"&amp;$G$1)</f>
        <v>1.5E-3</v>
      </c>
      <c r="G37" s="1855"/>
      <c r="H37" s="1863"/>
      <c r="I37" s="1864"/>
      <c r="J37" s="1865"/>
      <c r="K37" s="751"/>
      <c r="L37" s="1863"/>
      <c r="M37" s="1863"/>
    </row>
    <row r="38" spans="1:18" ht="18" customHeight="1" thickBot="1">
      <c r="A38" s="1342" t="s">
        <v>1393</v>
      </c>
      <c r="B38" s="1343" t="s">
        <v>1441</v>
      </c>
      <c r="C38" s="1344">
        <f ca="1">ROUND(C5*F38,1)</f>
        <v>0.5</v>
      </c>
      <c r="D38" s="1345" t="s">
        <v>1461</v>
      </c>
      <c r="E38" s="1343" t="s">
        <v>1424</v>
      </c>
      <c r="F38" s="1339">
        <f ca="1">INDIRECT("'数据-取费表'!Am"&amp;$G$1)</f>
        <v>0.01</v>
      </c>
      <c r="G38" s="1855"/>
      <c r="H38" s="1863"/>
      <c r="I38" s="1864"/>
      <c r="J38" s="1865"/>
      <c r="K38" s="1869"/>
      <c r="L38" s="1863"/>
      <c r="M38" s="1863"/>
    </row>
    <row r="39" spans="1:18" ht="24.6" customHeight="1" thickTop="1">
      <c r="A39" s="1332" t="s">
        <v>1031</v>
      </c>
      <c r="B39" s="1347" t="s">
        <v>1465</v>
      </c>
      <c r="C39" s="355">
        <f ca="1">C5-C30</f>
        <v>30</v>
      </c>
      <c r="D39" s="1348" t="s">
        <v>1466</v>
      </c>
      <c r="E39" s="1349"/>
      <c r="F39" s="1350"/>
      <c r="G39" s="1855"/>
      <c r="H39" s="1863"/>
      <c r="I39" s="1864"/>
      <c r="J39" s="1865"/>
      <c r="K39" s="1869"/>
      <c r="L39" s="1863"/>
      <c r="M39" s="1863"/>
    </row>
    <row r="40" spans="1:18" ht="18" customHeight="1">
      <c r="A40" s="344" t="s">
        <v>1032</v>
      </c>
      <c r="B40" s="345" t="s">
        <v>1487</v>
      </c>
      <c r="C40" s="346">
        <f ca="1">ROUND(C39*(1-((1+F42)/(1+F40))^F41)/(F40-F42),0)</f>
        <v>299</v>
      </c>
      <c r="D40" s="370" t="s">
        <v>1471</v>
      </c>
      <c r="E40" s="347" t="s">
        <v>1472</v>
      </c>
      <c r="F40" s="357">
        <f ca="1">INDIRECT("'数据-取费表'!I"&amp;$G$1)</f>
        <v>0.05</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14.15</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f ca="1">ROUND(C40*10000/F43,0)</f>
        <v>1790</v>
      </c>
      <c r="D43" s="383" t="s">
        <v>1490</v>
      </c>
      <c r="E43" s="384" t="s">
        <v>1491</v>
      </c>
      <c r="F43" s="385">
        <f ca="1">INDIRECT("'数据-取费表'!k"&amp;$G$1)</f>
        <v>1670.3</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2822</v>
      </c>
      <c r="D46" s="1876" t="str">
        <f>C2</f>
        <v>万元</v>
      </c>
      <c r="E46" s="1870"/>
      <c r="F46" s="1870"/>
      <c r="I46" s="1877" t="s">
        <v>1523</v>
      </c>
      <c r="J46" s="1878"/>
      <c r="K46" s="1879"/>
      <c r="L46" s="1880" t="str">
        <f ca="1">IF(M47="住宅",0,IF(L48&gt;J51,L60,J60))</f>
        <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3073</v>
      </c>
      <c r="K47" s="1886" t="s">
        <v>1529</v>
      </c>
      <c r="L47" s="1887">
        <f ca="1">INDIRECT("'数据-取费表'!d"&amp;$G$1)</f>
        <v>50</v>
      </c>
      <c r="M47" s="1842" t="str">
        <f>IF(ISNUMBER(FIND("住宅",C1)),"住宅","非住宅")</f>
        <v>非住宅</v>
      </c>
      <c r="O47" s="1888" t="s">
        <v>1040</v>
      </c>
      <c r="P47" s="1889" t="s">
        <v>1530</v>
      </c>
      <c r="Q47" s="1890">
        <f ca="1">C40+J29</f>
        <v>3684</v>
      </c>
      <c r="R47" s="1890" t="s">
        <v>1531</v>
      </c>
    </row>
    <row r="48" spans="1:18" s="1846" customFormat="1" ht="28.5" thickBot="1">
      <c r="A48" s="1363" t="s">
        <v>1135</v>
      </c>
      <c r="B48" s="345" t="s">
        <v>1402</v>
      </c>
      <c r="C48" s="2958">
        <f ca="1">C49+C53+C55</f>
        <v>296</v>
      </c>
      <c r="D48" s="1365"/>
      <c r="E48" s="1366"/>
      <c r="F48" s="1184"/>
      <c r="G48" s="792"/>
      <c r="H48" s="793"/>
      <c r="I48" s="1891" t="s">
        <v>1532</v>
      </c>
      <c r="J48" s="1892" t="s">
        <v>3278</v>
      </c>
      <c r="K48" s="1893" t="s">
        <v>1533</v>
      </c>
      <c r="L48" s="1894">
        <f ca="1">INDIRECT("'数据-取费表'!f"&amp;$G$1)</f>
        <v>35.11</v>
      </c>
      <c r="O48" s="1888" t="s">
        <v>1041</v>
      </c>
      <c r="P48" s="1889" t="s">
        <v>1534</v>
      </c>
      <c r="Q48" s="1890" t="str">
        <f ca="1">J60</f>
        <v>0</v>
      </c>
      <c r="R48" s="1890" t="s">
        <v>1535</v>
      </c>
    </row>
    <row r="49" spans="1:18" s="1846" customFormat="1" ht="13.5" thickBot="1">
      <c r="A49" s="1197" t="s">
        <v>1136</v>
      </c>
      <c r="B49" s="1833" t="s">
        <v>1492</v>
      </c>
      <c r="C49" s="1367">
        <f ca="1">ROUND(F49*F51*F50*(1-F52)/10000,0)</f>
        <v>296</v>
      </c>
      <c r="D49" s="1279" t="s">
        <v>3028</v>
      </c>
      <c r="E49" s="1834" t="s">
        <v>1493</v>
      </c>
      <c r="F49" s="1284">
        <f>市场租金整理!A4</f>
        <v>5.4</v>
      </c>
      <c r="G49" s="1895"/>
      <c r="H49" s="793"/>
      <c r="I49" s="1891" t="s">
        <v>1536</v>
      </c>
      <c r="J49" s="1896"/>
      <c r="K49" s="1893" t="s">
        <v>1537</v>
      </c>
      <c r="L49" s="1897"/>
      <c r="O49" s="1898" t="s">
        <v>1042</v>
      </c>
      <c r="P49" s="1889" t="s">
        <v>1538</v>
      </c>
      <c r="Q49" s="1890">
        <f ca="1">C29</f>
        <v>455</v>
      </c>
      <c r="R49" s="1890" t="s">
        <v>1531</v>
      </c>
    </row>
    <row r="50" spans="1:18" s="1846" customFormat="1" ht="13.5" thickBot="1">
      <c r="A50" s="1198"/>
      <c r="B50" s="1201"/>
      <c r="C50" s="1371"/>
      <c r="D50" s="1175"/>
      <c r="E50" s="1280" t="s">
        <v>1407</v>
      </c>
      <c r="F50" s="1281">
        <f ca="1">F7</f>
        <v>1670.3</v>
      </c>
      <c r="H50" s="793"/>
      <c r="I50" s="1891" t="s">
        <v>1539</v>
      </c>
      <c r="J50" s="1899">
        <f>SUMPRODUCT((I63:I65=J47)*(J62:L62=J48)*(J63:L65))</f>
        <v>50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50</v>
      </c>
      <c r="K51" s="1904" t="s">
        <v>1543</v>
      </c>
      <c r="L51" s="1905">
        <f ca="1">ROUND(-PV(INDIRECT("'数据-取费表'!h"&amp;$G$1),L48,(C39-C13*C76),0),0)</f>
        <v>18</v>
      </c>
      <c r="M51" s="1906"/>
      <c r="O51" s="1898" t="s">
        <v>1044</v>
      </c>
      <c r="P51" s="1889" t="s">
        <v>1544</v>
      </c>
      <c r="Q51" s="1901">
        <f>J52</f>
        <v>0</v>
      </c>
      <c r="R51" s="1890"/>
    </row>
    <row r="52" spans="1:18" s="1846" customFormat="1" ht="13.5" thickBot="1">
      <c r="A52" s="1199"/>
      <c r="B52" s="1201"/>
      <c r="C52" s="1202"/>
      <c r="D52" s="1175"/>
      <c r="E52" s="1203" t="s">
        <v>1409</v>
      </c>
      <c r="F52" s="1278">
        <f>'数据-取费表'!W9</f>
        <v>0.1</v>
      </c>
      <c r="I52" s="1907" t="s">
        <v>1545</v>
      </c>
      <c r="J52" s="1908"/>
      <c r="K52" s="1907" t="s">
        <v>1546</v>
      </c>
      <c r="L52" s="1908"/>
      <c r="O52" s="1898" t="s">
        <v>1045</v>
      </c>
      <c r="P52" s="1889" t="s">
        <v>1547</v>
      </c>
      <c r="Q52" s="1890">
        <f ca="1">J53</f>
        <v>35.11</v>
      </c>
      <c r="R52" s="1890" t="s">
        <v>1548</v>
      </c>
    </row>
    <row r="53" spans="1:18" s="1846" customFormat="1" ht="24.75" thickBot="1">
      <c r="A53" s="1408" t="s">
        <v>1137</v>
      </c>
      <c r="B53" s="1835" t="s">
        <v>1410</v>
      </c>
      <c r="C53" s="361">
        <f ca="1">ROUND(IF(F53="押一",F49*F51*F50/12*F11,IF(F53="押二",F49*F51*F50/12*2*F11,IF(F53="押三",F49*F51*F50/12*3*F11,C54*F11)))/10000,0)</f>
        <v>0</v>
      </c>
      <c r="D53" s="1828" t="s">
        <v>3025</v>
      </c>
      <c r="E53" s="358" t="s">
        <v>1412</v>
      </c>
      <c r="F53" s="1369" t="s">
        <v>3332</v>
      </c>
      <c r="I53" s="1909" t="s">
        <v>1549</v>
      </c>
      <c r="J53" s="1910">
        <f ca="1">IF(M47="住宅",J51,IF(D1="——",MIN(J51,L48),IF(D1="在建（套用方法）",MIN(J51,L48-'数据-取费表'!B24),IF(D1="土地（套用方法）",MIN(J51,L48-'数据-取费表'!B20)))))</f>
        <v>35.11</v>
      </c>
      <c r="K53" s="3290" t="s">
        <v>1550</v>
      </c>
      <c r="L53" s="3291"/>
      <c r="O53" s="1888" t="s">
        <v>1046</v>
      </c>
      <c r="P53" s="1889" t="s">
        <v>1551</v>
      </c>
      <c r="Q53" s="1890">
        <f ca="1">Q47+Q48</f>
        <v>3684</v>
      </c>
      <c r="R53" s="1890" t="s">
        <v>1047</v>
      </c>
    </row>
    <row r="54" spans="1:18" s="1846" customFormat="1" ht="13.5" thickBot="1">
      <c r="A54" s="1409"/>
      <c r="B54" s="1829" t="s">
        <v>1389</v>
      </c>
      <c r="C54" s="1181"/>
      <c r="D54" s="1828"/>
      <c r="E54" s="2954"/>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2954"/>
      <c r="F55" s="1911"/>
      <c r="I55" s="1914" t="s">
        <v>1553</v>
      </c>
      <c r="J55" s="1915" t="e">
        <f ca="1">ROUND(IF(J47="钢混",J57/J50,1-(1-2%)*(J50-J57)/J50),3)</f>
        <v>#VALUE!</v>
      </c>
      <c r="K55" s="1916" t="s">
        <v>1554</v>
      </c>
      <c r="L55" s="1917" t="s">
        <v>1555</v>
      </c>
      <c r="O55" s="1881" t="s">
        <v>1524</v>
      </c>
      <c r="P55" s="1882" t="s">
        <v>1525</v>
      </c>
      <c r="Q55" s="1883" t="s">
        <v>1526</v>
      </c>
      <c r="R55" s="1883" t="s">
        <v>1527</v>
      </c>
    </row>
    <row r="56" spans="1:18" s="1846" customFormat="1" ht="25.5" thickTop="1" thickBot="1">
      <c r="A56" s="1179">
        <v>2</v>
      </c>
      <c r="B56" s="1180" t="s">
        <v>1416</v>
      </c>
      <c r="C56" s="276">
        <f ca="1">C13</f>
        <v>341</v>
      </c>
      <c r="D56" s="1918"/>
      <c r="E56" s="1919"/>
      <c r="F56" s="1911"/>
      <c r="I56" s="1920" t="s">
        <v>1556</v>
      </c>
      <c r="J56" s="1921" t="s">
        <v>3233</v>
      </c>
      <c r="K56" s="1891" t="s">
        <v>1557</v>
      </c>
      <c r="L56" s="1894" t="str">
        <f ca="1">IF(L48&lt;J51,"——",L48-J53)</f>
        <v>——</v>
      </c>
      <c r="O56" s="1888" t="s">
        <v>1040</v>
      </c>
      <c r="P56" s="1889" t="s">
        <v>1530</v>
      </c>
      <c r="Q56" s="1890">
        <f ca="1">C40+J29</f>
        <v>3684</v>
      </c>
      <c r="R56" s="1890" t="s">
        <v>1531</v>
      </c>
    </row>
    <row r="57" spans="1:18" s="1846" customFormat="1" ht="24.75" thickBot="1">
      <c r="A57" s="1922"/>
      <c r="B57" s="1172" t="s">
        <v>1480</v>
      </c>
      <c r="C57" s="282">
        <f ca="1">C29</f>
        <v>455</v>
      </c>
      <c r="D57" s="1923"/>
      <c r="E57" s="1924"/>
      <c r="F57" s="1925"/>
      <c r="I57" s="1926" t="s">
        <v>1558</v>
      </c>
      <c r="J57" s="1927" t="str">
        <f ca="1">IF(OR(M47="住宅",J51&lt;L48,J56="是"),"——",J51-L48)</f>
        <v>——</v>
      </c>
      <c r="K57" s="1891" t="s">
        <v>1559</v>
      </c>
      <c r="L57" s="1894" t="str">
        <f ca="1">IF(L48&lt;J51,"——",IF(L55="比较法",L49,IF(L55="基准地价",L50,L51)))</f>
        <v>——</v>
      </c>
      <c r="O57" s="1888" t="s">
        <v>1041</v>
      </c>
      <c r="P57" s="1889" t="s">
        <v>1560</v>
      </c>
      <c r="Q57" s="1890">
        <f ca="1">L60</f>
        <v>0</v>
      </c>
      <c r="R57" s="1890" t="s">
        <v>1561</v>
      </c>
    </row>
    <row r="58" spans="1:18" s="1846" customFormat="1" ht="24.75" thickBot="1">
      <c r="A58" s="360" t="s">
        <v>1030</v>
      </c>
      <c r="B58" s="1180" t="s">
        <v>1426</v>
      </c>
      <c r="C58" s="361">
        <f ca="1">ROUND(C59+C64+C65+C66,0)</f>
        <v>34</v>
      </c>
      <c r="D58" s="1182" t="s">
        <v>1427</v>
      </c>
      <c r="E58" s="1183"/>
      <c r="F58" s="1184"/>
      <c r="I58" s="1926" t="s">
        <v>1562</v>
      </c>
      <c r="J58" s="1928" t="e">
        <f ca="1">IF(J55&lt;0.4,0.4,J55)</f>
        <v>#VALUE!</v>
      </c>
      <c r="K58" s="1904" t="s">
        <v>1563</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3">
        <f ca="1">ROUND(IF(项目基本情况!B11="自然人",C48*F59,C60+C61+C62),1)</f>
        <v>24.1</v>
      </c>
      <c r="D59" s="1185" t="s">
        <v>1432</v>
      </c>
      <c r="E59" s="1186" t="s">
        <v>1433</v>
      </c>
      <c r="F59" s="368" t="str">
        <f ca="1">IF(项目基本情况!B11="企业","",IF(INDIRECT("'数据-取费表'!c"&amp;$G$1)="住宅",5%,IF(F49*F50*F51/12/(1+'数据-取费表'!C42)&gt;20000,12%,7%)))</f>
        <v/>
      </c>
      <c r="I59" s="1926" t="s">
        <v>1565</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3">
        <f ca="1">IF(项目基本情况!B11="自然人","——",ROUND(C48*F60/(1+'数据-取费表'!C42),2))</f>
        <v>15.79</v>
      </c>
      <c r="D60" s="1186" t="s">
        <v>1436</v>
      </c>
      <c r="E60" s="1172" t="s">
        <v>1424</v>
      </c>
      <c r="F60" s="377">
        <f t="shared" ref="F60:F66" si="0">F32</f>
        <v>5.6000000000000001E-2</v>
      </c>
      <c r="I60" s="1929" t="s">
        <v>1567</v>
      </c>
      <c r="J60" s="1930" t="str">
        <f ca="1">IF(OR(M47="住宅",J51&lt;L48,J56="是"),"0",ROUND(J59/(1+J52)^J53,0))</f>
        <v>0</v>
      </c>
      <c r="K60" s="1931" t="s">
        <v>1568</v>
      </c>
      <c r="L60" s="1930">
        <f ca="1">IF(OR(M47="住宅",L48&lt;J51),0,ROUND(L57*(L58/L59-1),0))</f>
        <v>0</v>
      </c>
      <c r="O60" s="1898" t="s">
        <v>1044</v>
      </c>
      <c r="P60" s="1889" t="s">
        <v>1569</v>
      </c>
      <c r="Q60" s="1890" t="e">
        <f ca="1">L58</f>
        <v>#DIV/0!</v>
      </c>
      <c r="R60" s="1890" t="s">
        <v>1570</v>
      </c>
    </row>
    <row r="61" spans="1:18" s="1846" customFormat="1" ht="13.5" thickBot="1">
      <c r="A61" s="1204" t="s">
        <v>1494</v>
      </c>
      <c r="B61" s="1172" t="s">
        <v>1439</v>
      </c>
      <c r="C61" s="23">
        <f ca="1">IF(项目基本情况!B11="自然人","——",IF(D61="按租金收入计税",ROUND(C48*F61,2),IF(D61="按房产原值计税",ROUND(C57*F61*0.7,2),INDIRECT("'数据-取费表'!Aj"&amp;$G$1))))</f>
        <v>3.82</v>
      </c>
      <c r="D61" s="1832" t="s">
        <v>1440</v>
      </c>
      <c r="E61" s="1172" t="s">
        <v>1424</v>
      </c>
      <c r="F61" s="367">
        <f t="shared" si="0"/>
        <v>1.2E-2</v>
      </c>
      <c r="I61" s="1932"/>
      <c r="J61" s="1932"/>
      <c r="K61" s="1932"/>
      <c r="L61" s="1932"/>
      <c r="O61" s="1898" t="s">
        <v>1045</v>
      </c>
      <c r="P61" s="1889" t="str">
        <f>K59</f>
        <v>建筑物剩余耐用年限下的土地年期修正系数Kn</v>
      </c>
      <c r="Q61" s="1890" t="e">
        <f ca="1">L59</f>
        <v>#DIV/0!</v>
      </c>
      <c r="R61" s="1890" t="s">
        <v>1571</v>
      </c>
    </row>
    <row r="62" spans="1:18" s="1846" customFormat="1" ht="13.5" thickBot="1">
      <c r="A62" s="1204" t="s">
        <v>1497</v>
      </c>
      <c r="B62" s="1171" t="s">
        <v>1443</v>
      </c>
      <c r="C62" s="24">
        <f ca="1">IF(项目基本情况!B11="自然人","——",ROUND(F62*F63/10000,2))</f>
        <v>4.51</v>
      </c>
      <c r="D62" s="1187" t="s">
        <v>1444</v>
      </c>
      <c r="E62" s="1172" t="s">
        <v>1445</v>
      </c>
      <c r="F62" s="371">
        <f t="shared" si="0"/>
        <v>18</v>
      </c>
      <c r="I62" s="1933" t="s">
        <v>1572</v>
      </c>
      <c r="J62" s="1934" t="s">
        <v>1573</v>
      </c>
      <c r="K62" s="1934" t="s">
        <v>1574</v>
      </c>
      <c r="L62" s="1934" t="s">
        <v>1575</v>
      </c>
      <c r="M62" s="1935" t="s">
        <v>1576</v>
      </c>
      <c r="O62" s="1888" t="s">
        <v>1046</v>
      </c>
      <c r="P62" s="1889" t="s">
        <v>1551</v>
      </c>
      <c r="Q62" s="1890">
        <f ca="1">Q56+Q57</f>
        <v>3684</v>
      </c>
      <c r="R62" s="1890" t="s">
        <v>1047</v>
      </c>
    </row>
    <row r="63" spans="1:18" s="1846" customFormat="1" ht="13.5" thickBot="1">
      <c r="A63" s="372"/>
      <c r="B63" s="1178"/>
      <c r="C63" s="28"/>
      <c r="D63" s="1188"/>
      <c r="E63" s="1172" t="s">
        <v>1449</v>
      </c>
      <c r="F63" s="348">
        <f t="shared" ca="1" si="0"/>
        <v>2506.84</v>
      </c>
      <c r="I63" s="1933" t="s">
        <v>1578</v>
      </c>
      <c r="J63" s="1934">
        <v>70</v>
      </c>
      <c r="K63" s="1934">
        <v>50</v>
      </c>
      <c r="L63" s="1934">
        <v>80</v>
      </c>
      <c r="M63" s="1936">
        <v>0.02</v>
      </c>
      <c r="O63" s="1873" t="s">
        <v>1579</v>
      </c>
      <c r="P63" s="1843"/>
      <c r="Q63" s="1843"/>
      <c r="R63" s="1843"/>
    </row>
    <row r="64" spans="1:18" s="1846" customFormat="1" ht="13.5" thickBot="1">
      <c r="A64" s="1204" t="s">
        <v>1039</v>
      </c>
      <c r="B64" s="1172" t="s">
        <v>1451</v>
      </c>
      <c r="C64" s="23">
        <f ca="1">ROUND(C57*F64,1)</f>
        <v>6.8</v>
      </c>
      <c r="D64" s="1186" t="s">
        <v>1484</v>
      </c>
      <c r="E64" s="1172" t="s">
        <v>1424</v>
      </c>
      <c r="F64" s="374">
        <f t="shared" ca="1" si="0"/>
        <v>1.4999999999999999E-2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f ca="1">ROUND(C56*F65,1)</f>
        <v>0.5</v>
      </c>
      <c r="D65" s="1186" t="s">
        <v>1456</v>
      </c>
      <c r="E65" s="1172" t="s">
        <v>1424</v>
      </c>
      <c r="F65" s="376">
        <f t="shared" ca="1" si="0"/>
        <v>1.5E-3</v>
      </c>
      <c r="I65" s="1933" t="s">
        <v>1581</v>
      </c>
      <c r="J65" s="1934">
        <v>40</v>
      </c>
      <c r="K65" s="1934">
        <v>30</v>
      </c>
      <c r="L65" s="1934">
        <v>50</v>
      </c>
      <c r="M65" s="1936">
        <v>0.02</v>
      </c>
      <c r="O65" s="1888" t="s">
        <v>1040</v>
      </c>
      <c r="P65" s="1889" t="s">
        <v>1530</v>
      </c>
      <c r="Q65" s="1890">
        <f ca="1">C40+J29</f>
        <v>3684</v>
      </c>
      <c r="R65" s="1890" t="s">
        <v>1531</v>
      </c>
    </row>
    <row r="66" spans="1:18" s="1846" customFormat="1" ht="16.5" thickBot="1">
      <c r="A66" s="1204" t="s">
        <v>1506</v>
      </c>
      <c r="B66" s="1172" t="s">
        <v>1441</v>
      </c>
      <c r="C66" s="23">
        <f ca="1">ROUND(C48*F66,1)</f>
        <v>3</v>
      </c>
      <c r="D66" s="1186" t="s">
        <v>1461</v>
      </c>
      <c r="E66" s="1172" t="s">
        <v>1424</v>
      </c>
      <c r="F66" s="357">
        <f t="shared" ca="1" si="0"/>
        <v>0.01</v>
      </c>
      <c r="O66" s="1888" t="s">
        <v>1041</v>
      </c>
      <c r="P66" s="1889" t="s">
        <v>1560</v>
      </c>
      <c r="Q66" s="1890">
        <f ca="1">L60</f>
        <v>0</v>
      </c>
      <c r="R66" s="1890" t="s">
        <v>1583</v>
      </c>
    </row>
    <row r="67" spans="1:18" s="1846" customFormat="1" ht="16.5" thickBot="1">
      <c r="A67" s="1179" t="s">
        <v>1031</v>
      </c>
      <c r="B67" s="1189" t="s">
        <v>1465</v>
      </c>
      <c r="C67" s="361">
        <f ca="1">C48-C58</f>
        <v>262</v>
      </c>
      <c r="D67" s="1185" t="s">
        <v>1466</v>
      </c>
      <c r="E67" s="1190"/>
      <c r="F67" s="1191"/>
      <c r="O67" s="1898" t="s">
        <v>1042</v>
      </c>
      <c r="P67" s="1889" t="s">
        <v>1564</v>
      </c>
      <c r="Q67" s="1937">
        <f ca="1">L51</f>
        <v>18</v>
      </c>
      <c r="R67" s="1890" t="s">
        <v>1584</v>
      </c>
    </row>
    <row r="68" spans="1:18" s="1846" customFormat="1" ht="16.5" thickBot="1">
      <c r="A68" s="1169" t="s">
        <v>1032</v>
      </c>
      <c r="B68" s="1170" t="s">
        <v>1487</v>
      </c>
      <c r="C68" s="346">
        <f ca="1">ROUND(C67*(1-((1+F70)/(1+F68))^F69)/(F68-F70),0)</f>
        <v>3121</v>
      </c>
      <c r="D68" s="1187" t="s">
        <v>1471</v>
      </c>
      <c r="E68" s="1172" t="s">
        <v>1472</v>
      </c>
      <c r="F68" s="357">
        <f ca="1">F40</f>
        <v>0.05</v>
      </c>
      <c r="O68" s="1898" t="s">
        <v>1043</v>
      </c>
      <c r="P68" s="1938" t="s">
        <v>1585</v>
      </c>
      <c r="Q68" s="1890">
        <f ca="1">ROUND(Q69-Q70*Q71,0)</f>
        <v>1</v>
      </c>
      <c r="R68" s="1890" t="s">
        <v>1051</v>
      </c>
    </row>
    <row r="69" spans="1:18" s="1846" customFormat="1" ht="13.5" thickBot="1">
      <c r="A69" s="1173"/>
      <c r="B69" s="1174"/>
      <c r="C69" s="351"/>
      <c r="D69" s="1192" t="s">
        <v>1475</v>
      </c>
      <c r="E69" s="1172" t="s">
        <v>1476</v>
      </c>
      <c r="F69" s="379">
        <f ca="1">F41</f>
        <v>14.15</v>
      </c>
      <c r="O69" s="1898" t="s">
        <v>1048</v>
      </c>
      <c r="P69" s="1938" t="s">
        <v>1586</v>
      </c>
      <c r="Q69" s="1890">
        <f ca="1">C39</f>
        <v>30</v>
      </c>
      <c r="R69" s="1890" t="s">
        <v>1531</v>
      </c>
    </row>
    <row r="70" spans="1:18" s="1846" customFormat="1" ht="13.5" thickBot="1">
      <c r="A70" s="1176"/>
      <c r="B70" s="1177"/>
      <c r="C70" s="355"/>
      <c r="D70" s="1188"/>
      <c r="E70" s="1172" t="s">
        <v>1479</v>
      </c>
      <c r="F70" s="1278">
        <f>市场租金整理!B2</f>
        <v>0.03</v>
      </c>
      <c r="O70" s="1898" t="s">
        <v>1049</v>
      </c>
      <c r="P70" s="1938" t="s">
        <v>1587</v>
      </c>
      <c r="Q70" s="1890">
        <f ca="1">C13</f>
        <v>341</v>
      </c>
      <c r="R70" s="1890" t="s">
        <v>1531</v>
      </c>
    </row>
    <row r="71" spans="1:18" s="1846" customFormat="1" ht="13.5" thickBot="1">
      <c r="A71" s="1193" t="s">
        <v>1033</v>
      </c>
      <c r="B71" s="1194" t="s">
        <v>1489</v>
      </c>
      <c r="C71" s="382">
        <f ca="1">ROUND(C68*10000/F71,0)</f>
        <v>18685</v>
      </c>
      <c r="D71" s="1195" t="s">
        <v>1490</v>
      </c>
      <c r="E71" s="1196" t="s">
        <v>1491</v>
      </c>
      <c r="F71" s="385">
        <f ca="1">F43</f>
        <v>1670.3</v>
      </c>
      <c r="O71" s="1898" t="s">
        <v>1050</v>
      </c>
      <c r="P71" s="1938" t="s">
        <v>1588</v>
      </c>
      <c r="Q71" s="1901">
        <f ca="1">C76</f>
        <v>8.5000000000000006E-2</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#DIV/0!</v>
      </c>
      <c r="R74" s="1890" t="s">
        <v>1571</v>
      </c>
    </row>
    <row r="75" spans="1:18" ht="13.5" thickBot="1">
      <c r="A75" s="1846"/>
      <c r="B75" s="386" t="s">
        <v>1508</v>
      </c>
      <c r="C75" s="387">
        <f ca="1">ROUND(C13*C76,0)</f>
        <v>29</v>
      </c>
      <c r="D75" s="1846"/>
      <c r="E75" s="1846"/>
      <c r="F75" s="1846"/>
      <c r="K75" s="1872"/>
      <c r="L75" s="1846"/>
      <c r="O75" s="1888" t="s">
        <v>1046</v>
      </c>
      <c r="P75" s="1889" t="s">
        <v>1551</v>
      </c>
      <c r="Q75" s="1890">
        <f ca="1">Q65+Q66</f>
        <v>3684</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3.3000000000000029E-2</v>
      </c>
    </row>
    <row r="80" spans="1:18">
      <c r="B80" s="386" t="s">
        <v>1513</v>
      </c>
      <c r="C80" s="318">
        <f ca="1">ROUND(C75/C39,3)</f>
        <v>0.96699999999999997</v>
      </c>
    </row>
    <row r="81" spans="2:3">
      <c r="B81" s="314" t="s">
        <v>1514</v>
      </c>
      <c r="C81" s="282"/>
    </row>
    <row r="82" spans="2:3">
      <c r="B82" s="317" t="s">
        <v>1515</v>
      </c>
      <c r="C82" s="319">
        <f ca="1">1-C83</f>
        <v>-0.1399999999999999</v>
      </c>
    </row>
    <row r="83" spans="2:3">
      <c r="B83" s="317" t="s">
        <v>1516</v>
      </c>
      <c r="C83" s="318">
        <f ca="1">ROUND(C13/C40,3)</f>
        <v>1.1399999999999999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1591</v>
      </c>
      <c r="B1" s="782"/>
      <c r="C1" s="1841" t="s">
        <v>3261</v>
      </c>
      <c r="D1" s="1824" t="s">
        <v>70</v>
      </c>
      <c r="E1" s="1825" t="s">
        <v>1388</v>
      </c>
      <c r="F1" s="1286">
        <f ca="1">J53</f>
        <v>35.11</v>
      </c>
      <c r="G1" s="1840">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41142</v>
      </c>
      <c r="C2" s="1849" t="s">
        <v>1518</v>
      </c>
      <c r="D2" s="1849"/>
      <c r="E2" s="1850"/>
      <c r="F2" s="1851"/>
      <c r="G2" s="1852"/>
      <c r="H2" s="1844"/>
      <c r="I2" s="1844"/>
      <c r="J2" s="1844"/>
      <c r="K2" s="1845"/>
      <c r="L2" s="1844"/>
      <c r="M2" s="1844"/>
    </row>
    <row r="3" spans="1:37" ht="18" customHeight="1" thickBot="1">
      <c r="A3" s="1853" t="s">
        <v>1519</v>
      </c>
      <c r="B3" s="1854">
        <f ca="1">IF(ISERROR(B2*10000/F43),0,ROUND(B2*10000/F43,0))</f>
        <v>38560</v>
      </c>
      <c r="C3" s="1849" t="s">
        <v>1520</v>
      </c>
      <c r="D3" s="1849"/>
      <c r="E3" s="1850"/>
      <c r="F3" s="1851"/>
      <c r="G3" s="1852"/>
      <c r="H3" s="744" t="s">
        <v>1590</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1896</v>
      </c>
      <c r="D5" s="1826" t="s">
        <v>1403</v>
      </c>
      <c r="E5" s="1296"/>
      <c r="F5" s="1297"/>
      <c r="G5" s="1855"/>
      <c r="H5" s="344">
        <v>1</v>
      </c>
      <c r="I5" s="345" t="s">
        <v>1402</v>
      </c>
      <c r="J5" s="1295">
        <f ca="1">J6+J10+J12</f>
        <v>0</v>
      </c>
      <c r="K5" s="1826" t="s">
        <v>1403</v>
      </c>
      <c r="L5" s="1296"/>
      <c r="M5" s="1297"/>
    </row>
    <row r="6" spans="1:37" ht="18" customHeight="1">
      <c r="A6" s="1294" t="s">
        <v>1035</v>
      </c>
      <c r="B6" s="3292" t="s">
        <v>1404</v>
      </c>
      <c r="C6" s="1299">
        <f ca="1">ROUND(F6*F8*F7*(1-F9)/10000,0)</f>
        <v>1893</v>
      </c>
      <c r="D6" s="164" t="s">
        <v>3029</v>
      </c>
      <c r="E6" s="347" t="s">
        <v>1406</v>
      </c>
      <c r="F6" s="348">
        <f ca="1">INDIRECT("'数据-取费表'!u"&amp;$G$1)</f>
        <v>5.4</v>
      </c>
      <c r="G6" s="1855"/>
      <c r="H6" s="1294" t="s">
        <v>1035</v>
      </c>
      <c r="I6" s="3292" t="s">
        <v>1404</v>
      </c>
      <c r="J6" s="346">
        <f ca="1">ROUND(M6*M8*M7*(1-M9)/10000,0)</f>
        <v>0</v>
      </c>
      <c r="K6" s="164" t="s">
        <v>3028</v>
      </c>
      <c r="L6" s="347" t="s">
        <v>1406</v>
      </c>
      <c r="M6" s="348">
        <f ca="1">INDIRECT("'数据-取费表'!z"&amp;$G$1)</f>
        <v>0</v>
      </c>
    </row>
    <row r="7" spans="1:37" ht="18" customHeight="1">
      <c r="A7" s="1298"/>
      <c r="B7" s="3293"/>
      <c r="C7" s="1300"/>
      <c r="D7" s="352"/>
      <c r="E7" s="2962" t="s">
        <v>1407</v>
      </c>
      <c r="F7" s="348">
        <f ca="1">IF(INDIRECT("'数据-取费表'!ah"&amp;$G$1)="",INDIRECT("'数据-取费表'!k"&amp;$G$1),INDIRECT("'数据-取费表'!ah"&amp;$G$1))</f>
        <v>10669.729999999998</v>
      </c>
      <c r="G7" s="1855"/>
      <c r="H7" s="349"/>
      <c r="I7" s="3293"/>
      <c r="J7" s="351"/>
      <c r="K7" s="352"/>
      <c r="L7" s="347" t="s">
        <v>1407</v>
      </c>
      <c r="M7" s="348">
        <f ca="1">F7</f>
        <v>10669.729999999998</v>
      </c>
    </row>
    <row r="8" spans="1:37" ht="18" customHeight="1">
      <c r="A8" s="349"/>
      <c r="B8" s="3293"/>
      <c r="C8" s="351"/>
      <c r="D8" s="352"/>
      <c r="E8" s="347" t="s">
        <v>1408</v>
      </c>
      <c r="F8" s="348">
        <f ca="1">INDIRECT("'数据-取费表'!ai"&amp;$G$1)</f>
        <v>365</v>
      </c>
      <c r="G8" s="1855"/>
      <c r="H8" s="349"/>
      <c r="I8" s="3293"/>
      <c r="J8" s="351"/>
      <c r="K8" s="352"/>
      <c r="L8" s="347" t="s">
        <v>1408</v>
      </c>
      <c r="M8" s="348">
        <f ca="1">INDIRECT("'数据-取费表'!ai"&amp;$G$1)</f>
        <v>365</v>
      </c>
    </row>
    <row r="9" spans="1:37" ht="18" customHeight="1">
      <c r="A9" s="349"/>
      <c r="B9" s="3294"/>
      <c r="C9" s="351"/>
      <c r="D9" s="352"/>
      <c r="E9" s="347" t="s">
        <v>1409</v>
      </c>
      <c r="F9" s="357">
        <f ca="1">INDIRECT("'数据-取费表'!w"&amp;$G$1)</f>
        <v>0.1</v>
      </c>
      <c r="G9" s="1855"/>
      <c r="H9" s="349"/>
      <c r="I9" s="3294"/>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ROUND(IF(F10="押一",F6*F8*F7/12*F11,IF(F10="押二",F6*F8*F7/12*2*F11,IF(F10="押三",F6*F8*F7/12*3*F11,C11*F11)))/10000,0)</f>
        <v>3</v>
      </c>
      <c r="D10" s="1828" t="s">
        <v>3025</v>
      </c>
      <c r="E10" s="358" t="s">
        <v>1412</v>
      </c>
      <c r="F10" s="1369" t="s">
        <v>3332</v>
      </c>
      <c r="G10" s="1855"/>
      <c r="H10" s="1294" t="s">
        <v>1039</v>
      </c>
      <c r="I10" s="1827" t="s">
        <v>1410</v>
      </c>
      <c r="J10" s="346">
        <f ca="1">ROUND(IF(M10="押一",M6*M8*M7/12*M11,IF(M10="押二",M6*M8*M7/12*2*M11,IF(M10="押三",M6*M8*M7/12*3*M11,J11*M11)))/10000,0)</f>
        <v>0</v>
      </c>
      <c r="K10" s="1828" t="s">
        <v>3025</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2175</v>
      </c>
      <c r="D13" s="1334" t="s">
        <v>1417</v>
      </c>
      <c r="E13" s="1334" t="s">
        <v>1418</v>
      </c>
      <c r="F13" s="1335">
        <f ca="1">INDIRECT("'数据-取费表'!y"&amp;$G$1)</f>
        <v>0.75</v>
      </c>
      <c r="G13" s="1855"/>
      <c r="H13" s="1332">
        <v>2</v>
      </c>
      <c r="I13" s="1333" t="s">
        <v>1416</v>
      </c>
      <c r="J13" s="1293">
        <f ca="1">ROUND(J14*J15,0)</f>
        <v>0</v>
      </c>
      <c r="K13" s="1340" t="s">
        <v>1417</v>
      </c>
      <c r="L13" s="1856"/>
      <c r="M13" s="1857"/>
    </row>
    <row r="14" spans="1:37" ht="18" customHeight="1">
      <c r="A14" s="1204" t="s">
        <v>1034</v>
      </c>
      <c r="B14" s="347" t="s">
        <v>1419</v>
      </c>
      <c r="C14" s="363">
        <f ca="1">INDIRECT("'数据-取费表'!m"&amp;$G$1)+INDIRECT("'数据-取费表'!t"&amp;$G$1)</f>
        <v>1921</v>
      </c>
      <c r="D14" s="2949" t="s">
        <v>1420</v>
      </c>
      <c r="E14" s="2944"/>
      <c r="F14" s="364"/>
      <c r="G14" s="1855"/>
      <c r="H14" s="1204" t="s">
        <v>1035</v>
      </c>
      <c r="I14" s="347" t="s">
        <v>1421</v>
      </c>
      <c r="J14" s="23">
        <f ca="1">C29</f>
        <v>2900</v>
      </c>
      <c r="K14" s="2961"/>
      <c r="L14" s="982"/>
      <c r="M14" s="983"/>
    </row>
    <row r="15" spans="1:37" s="1862" customFormat="1" ht="18" customHeight="1" thickBot="1">
      <c r="A15" s="1204" t="s">
        <v>1036</v>
      </c>
      <c r="B15" s="347" t="s">
        <v>1422</v>
      </c>
      <c r="C15" s="23">
        <f ca="1">ROUND(C14*F15,0)</f>
        <v>77</v>
      </c>
      <c r="D15" s="365" t="s">
        <v>1423</v>
      </c>
      <c r="E15" s="365" t="s">
        <v>1424</v>
      </c>
      <c r="F15" s="366">
        <f>'数据-取费表'!B33</f>
        <v>0.04</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3">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97</v>
      </c>
      <c r="K16" s="1340" t="s">
        <v>1427</v>
      </c>
      <c r="L16" s="2951"/>
      <c r="M16" s="1297"/>
    </row>
    <row r="17" spans="1:37" s="1862" customFormat="1" ht="18" customHeight="1">
      <c r="A17" s="1204" t="s">
        <v>1391</v>
      </c>
      <c r="B17" s="347" t="s">
        <v>1428</v>
      </c>
      <c r="C17" s="23">
        <f ca="1">ROUND(F17*(F43+INDIRECT("'数据-取费表'!S"&amp;$G$1))/10000,0)</f>
        <v>213</v>
      </c>
      <c r="D17" s="347" t="s">
        <v>1429</v>
      </c>
      <c r="E17" s="347" t="s">
        <v>1430</v>
      </c>
      <c r="F17" s="25">
        <f>'数据-取费表'!B35</f>
        <v>200</v>
      </c>
      <c r="G17" s="1858"/>
      <c r="H17" s="1204" t="s">
        <v>1035</v>
      </c>
      <c r="I17" s="347" t="s">
        <v>1431</v>
      </c>
      <c r="J17" s="23">
        <f ca="1">ROUND(IF(项目基本情况!B11="自然人",J5*M17,J18+J19+J20),1)</f>
        <v>53.2</v>
      </c>
      <c r="K17" s="2949" t="s">
        <v>1432</v>
      </c>
      <c r="L17" s="2947"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3">
        <f ca="1">ROUND(C14*F18,0)</f>
        <v>29</v>
      </c>
      <c r="D18" s="347" t="s">
        <v>1423</v>
      </c>
      <c r="E18" s="347" t="s">
        <v>1424</v>
      </c>
      <c r="F18" s="367">
        <f>'数据-取费表'!B36</f>
        <v>1.4999999999999999E-2</v>
      </c>
      <c r="G18" s="1858"/>
      <c r="H18" s="1204" t="s">
        <v>1034</v>
      </c>
      <c r="I18" s="347" t="s">
        <v>1435</v>
      </c>
      <c r="J18" s="23">
        <f ca="1">ROUND(J5*M18/(1+'数据-取费表'!C42),2)</f>
        <v>0</v>
      </c>
      <c r="K18" s="2947"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3">
        <f ca="1">SUM(C14:C18)</f>
        <v>2240</v>
      </c>
      <c r="D19" s="139" t="s">
        <v>1438</v>
      </c>
      <c r="E19" s="2959"/>
      <c r="F19" s="25"/>
      <c r="G19" s="1855"/>
      <c r="H19" s="1204" t="s">
        <v>1036</v>
      </c>
      <c r="I19" s="347" t="s">
        <v>1439</v>
      </c>
      <c r="J19" s="23">
        <f ca="1">IF(K19="按租金收入计税",ROUND(J5*M19,2),ROUND(C29*M19*0.7,2))</f>
        <v>24.36</v>
      </c>
      <c r="K19" s="1832" t="s">
        <v>1440</v>
      </c>
      <c r="L19" s="347" t="s">
        <v>1424</v>
      </c>
      <c r="M19" s="367">
        <f>IF(K19="按租金收入计税",'数据-取费表'!B51,'数据-取费表'!B50)</f>
        <v>1.2E-2</v>
      </c>
    </row>
    <row r="20" spans="1:37" s="1862" customFormat="1" ht="18" customHeight="1">
      <c r="A20" s="1204" t="s">
        <v>1039</v>
      </c>
      <c r="B20" s="347" t="s">
        <v>1441</v>
      </c>
      <c r="C20" s="23">
        <f ca="1">ROUND(C19*F20,0)</f>
        <v>45</v>
      </c>
      <c r="D20" s="369" t="s">
        <v>1442</v>
      </c>
      <c r="E20" s="347" t="s">
        <v>1424</v>
      </c>
      <c r="F20" s="367">
        <f>'数据-取费表'!B37</f>
        <v>0.02</v>
      </c>
      <c r="G20" s="1858"/>
      <c r="H20" s="1204" t="s">
        <v>1390</v>
      </c>
      <c r="I20" s="164" t="s">
        <v>1443</v>
      </c>
      <c r="J20" s="24">
        <f ca="1">ROUND(M20*M21/10000,2)</f>
        <v>28.82</v>
      </c>
      <c r="K20" s="370" t="s">
        <v>1444</v>
      </c>
      <c r="L20" s="347" t="s">
        <v>1445</v>
      </c>
      <c r="M20" s="371">
        <f>'数据-取费表'!B52</f>
        <v>18</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3" t="s">
        <v>18</v>
      </c>
      <c r="D21" s="369" t="s">
        <v>1447</v>
      </c>
      <c r="E21" s="347" t="s">
        <v>1448</v>
      </c>
      <c r="F21" s="367">
        <f>'数据-取费表'!B38</f>
        <v>0.02</v>
      </c>
      <c r="G21" s="1858"/>
      <c r="H21" s="372"/>
      <c r="I21" s="356"/>
      <c r="J21" s="28"/>
      <c r="K21" s="373"/>
      <c r="L21" s="347" t="s">
        <v>1449</v>
      </c>
      <c r="M21" s="348">
        <f ca="1">INDIRECT("'数据-取费表'!r"&amp;$G$1)</f>
        <v>16013.49</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3"/>
      <c r="D22" s="139" t="str">
        <f>IF(F23&lt;=1,"单利计息。","复利计息。")&amp;"建造成本、管理费用、销售费用产生的利息。"</f>
        <v>单利计息。建造成本、管理费用、销售费用产生的利息。</v>
      </c>
      <c r="E22" s="2959"/>
      <c r="F22" s="25"/>
      <c r="G22" s="1855"/>
      <c r="H22" s="1204" t="s">
        <v>1039</v>
      </c>
      <c r="I22" s="347" t="s">
        <v>1451</v>
      </c>
      <c r="J22" s="23">
        <f ca="1">ROUND(J14*M22,1)</f>
        <v>43.5</v>
      </c>
      <c r="K22" s="2947" t="s">
        <v>1452</v>
      </c>
      <c r="L22" s="347" t="s">
        <v>1424</v>
      </c>
      <c r="M22" s="374">
        <f ca="1">INDIRECT("'数据-取费表'!Ak"&amp;$G$1)</f>
        <v>1.4999999999999999E-2</v>
      </c>
    </row>
    <row r="23" spans="1:37" s="1862" customFormat="1" ht="18" customHeight="1">
      <c r="A23" s="1204" t="s">
        <v>1034</v>
      </c>
      <c r="B23" s="347" t="s">
        <v>1453</v>
      </c>
      <c r="C23" s="23">
        <f ca="1">IF('数据-取费表'!B22&lt;=1,ROUND(C19*F24*F23/2,0)+ROUND(C20*F24*F23/2,0),ROUND(C19*(POWER((1+F24),F23/2)-1),0)+ROUND(C20*(POWER((1+F24),F23/2)-1),0))</f>
        <v>50</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3">
        <f ca="1">ROUND(J13*M23,1)</f>
        <v>0</v>
      </c>
      <c r="K23" s="2947" t="s">
        <v>1456</v>
      </c>
      <c r="L23" s="347" t="s">
        <v>1424</v>
      </c>
      <c r="M23" s="376">
        <f ca="1">INDIRECT("'数据-取费表'!Al"&amp;$G$1)</f>
        <v>1.5E-3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1036</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8"/>
      <c r="H24" s="1342" t="s">
        <v>1393</v>
      </c>
      <c r="I24" s="1343" t="s">
        <v>1441</v>
      </c>
      <c r="J24" s="1344">
        <f ca="1">ROUND(J5*M24,1)</f>
        <v>0</v>
      </c>
      <c r="K24" s="1345" t="s">
        <v>1461</v>
      </c>
      <c r="L24" s="1343" t="s">
        <v>1424</v>
      </c>
      <c r="M24" s="1339">
        <f ca="1">INDIRECT("'数据-取费表'!Am"&amp;$G$1)</f>
        <v>0.01</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3"/>
      <c r="D25" s="139" t="s">
        <v>1464</v>
      </c>
      <c r="E25" s="2959"/>
      <c r="F25" s="25"/>
      <c r="G25" s="1855"/>
      <c r="H25" s="1332" t="s">
        <v>1031</v>
      </c>
      <c r="I25" s="1347" t="s">
        <v>1465</v>
      </c>
      <c r="J25" s="355">
        <f ca="1">J5-J16</f>
        <v>-97</v>
      </c>
      <c r="K25" s="1348" t="s">
        <v>1466</v>
      </c>
      <c r="L25" s="1349"/>
      <c r="M25" s="1350"/>
    </row>
    <row r="26" spans="1:37">
      <c r="A26" s="1204" t="s">
        <v>1034</v>
      </c>
      <c r="B26" s="347" t="s">
        <v>1467</v>
      </c>
      <c r="C26" s="23">
        <f ca="1">ROUND((C19+C20)*F26,0)</f>
        <v>343</v>
      </c>
      <c r="D26" s="369" t="s">
        <v>1468</v>
      </c>
      <c r="E26" s="358" t="s">
        <v>1469</v>
      </c>
      <c r="F26" s="357">
        <f ca="1">INDIRECT("'数据-取费表'!q"&amp;$G$1)</f>
        <v>0.15</v>
      </c>
      <c r="G26" s="1855"/>
      <c r="H26" s="344" t="s">
        <v>1032</v>
      </c>
      <c r="I26" s="345" t="s">
        <v>1470</v>
      </c>
      <c r="J26" s="346">
        <f ca="1">IF(J5&lt;&gt;0,ROUND(J25*(1-((1+M28)/(1+M26))^M27)/(M26-M28),0),0)</f>
        <v>0</v>
      </c>
      <c r="K26" s="370" t="s">
        <v>1471</v>
      </c>
      <c r="L26" s="347" t="s">
        <v>1472</v>
      </c>
      <c r="M26" s="357">
        <f ca="1">INDIRECT("'数据-取费表'!I"&amp;$G$1)</f>
        <v>0.05</v>
      </c>
    </row>
    <row r="27" spans="1:37" ht="18" customHeight="1">
      <c r="A27" s="1204" t="s">
        <v>1036</v>
      </c>
      <c r="B27" s="347" t="s">
        <v>1473</v>
      </c>
      <c r="C27" s="23">
        <f ca="1">ROUND(F21*F26,4)</f>
        <v>3.0000000000000001E-3</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3">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2900</v>
      </c>
      <c r="D29" s="1345"/>
      <c r="E29" s="1343"/>
      <c r="F29" s="1346"/>
      <c r="G29" s="1858"/>
      <c r="H29" s="380" t="s">
        <v>1033</v>
      </c>
      <c r="I29" s="381" t="s">
        <v>1481</v>
      </c>
      <c r="J29" s="382">
        <f ca="1">ROUND(J26/(1+F40)^F41,0)</f>
        <v>0</v>
      </c>
      <c r="K29" s="383" t="s">
        <v>1482</v>
      </c>
      <c r="L29" s="384"/>
      <c r="M29" s="385">
        <f ca="1">INDIRECT("'数据-取费表'!k"&amp;$G$1)</f>
        <v>10669.729999999998</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220</v>
      </c>
      <c r="D30" s="1340" t="s">
        <v>1427</v>
      </c>
      <c r="E30" s="2951"/>
      <c r="F30" s="1297"/>
      <c r="G30" s="1855"/>
      <c r="H30" s="745"/>
      <c r="I30" s="746"/>
      <c r="J30" s="747"/>
      <c r="K30" s="748"/>
      <c r="L30" s="749"/>
      <c r="M30" s="750"/>
    </row>
    <row r="31" spans="1:37" ht="18" customHeight="1">
      <c r="A31" s="1204" t="s">
        <v>1035</v>
      </c>
      <c r="B31" s="347" t="s">
        <v>1431</v>
      </c>
      <c r="C31" s="23">
        <f ca="1">ROUND(IF(项目基本情况!B11="自然人",C5*F31,C32+C33+C34),1)</f>
        <v>154.30000000000001</v>
      </c>
      <c r="D31" s="2949" t="s">
        <v>1432</v>
      </c>
      <c r="E31" s="2947"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3">
        <f ca="1">IF(项目基本情况!B11="自然人","——",ROUND(C5*F32/(1+'数据-取费表'!C42),2))</f>
        <v>101.12</v>
      </c>
      <c r="D32" s="2947" t="s">
        <v>1436</v>
      </c>
      <c r="E32" s="347" t="s">
        <v>1424</v>
      </c>
      <c r="F32" s="377">
        <f>'数据-取费表'!B41</f>
        <v>5.6000000000000001E-2</v>
      </c>
      <c r="G32" s="1855"/>
      <c r="H32" s="745"/>
      <c r="I32" s="746"/>
      <c r="J32" s="747"/>
      <c r="K32" s="748"/>
      <c r="L32" s="749"/>
      <c r="M32" s="750"/>
    </row>
    <row r="33" spans="1:18" ht="18" customHeight="1">
      <c r="A33" s="1204" t="s">
        <v>1036</v>
      </c>
      <c r="B33" s="347" t="s">
        <v>1439</v>
      </c>
      <c r="C33" s="23">
        <f ca="1">IF(项目基本情况!B11="自然人","——",IF(D33="按租金收入计税",ROUND(C5*F33,2),IF(D33="按房产原值计税",ROUND(C29*F33*0.7,2),INDIRECT("'数据-取费表'!Aj"&amp;$G$1))))</f>
        <v>24.36</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4">
        <f ca="1">IF(项目基本情况!B11="自然人","——",ROUND(F34*F35/10000,2))</f>
        <v>28.82</v>
      </c>
      <c r="D34" s="370" t="s">
        <v>1444</v>
      </c>
      <c r="E34" s="347" t="s">
        <v>1445</v>
      </c>
      <c r="F34" s="371">
        <f>'数据-取费表'!B52</f>
        <v>18</v>
      </c>
      <c r="G34" s="1855"/>
      <c r="H34" s="745"/>
      <c r="I34" s="1864"/>
      <c r="J34" s="1865"/>
      <c r="K34" s="1867"/>
      <c r="L34" s="1868"/>
      <c r="M34" s="1868"/>
    </row>
    <row r="35" spans="1:18" ht="18" customHeight="1">
      <c r="A35" s="1356"/>
      <c r="B35" s="1354"/>
      <c r="C35" s="28"/>
      <c r="D35" s="373"/>
      <c r="E35" s="347" t="s">
        <v>1449</v>
      </c>
      <c r="F35" s="348">
        <f ca="1">INDIRECT("'数据-取费表'!r"&amp;$G$1)</f>
        <v>16013.49</v>
      </c>
      <c r="G35" s="1855"/>
      <c r="H35" s="745"/>
      <c r="I35" s="1864"/>
      <c r="J35" s="1865"/>
      <c r="K35" s="1866"/>
      <c r="L35" s="1863"/>
      <c r="M35" s="1863"/>
    </row>
    <row r="36" spans="1:18" ht="18" customHeight="1">
      <c r="A36" s="1355" t="s">
        <v>1039</v>
      </c>
      <c r="B36" s="347" t="s">
        <v>1451</v>
      </c>
      <c r="C36" s="23">
        <f ca="1">ROUND(C29*F36,1)</f>
        <v>43.5</v>
      </c>
      <c r="D36" s="2947"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3">
        <f ca="1">ROUND(C13*F37,1)</f>
        <v>3.3</v>
      </c>
      <c r="D37" s="2947" t="s">
        <v>1456</v>
      </c>
      <c r="E37" s="347" t="s">
        <v>1424</v>
      </c>
      <c r="F37" s="376">
        <f ca="1">INDIRECT("'数据-取费表'!Al"&amp;$G$1)</f>
        <v>1.5E-3</v>
      </c>
      <c r="G37" s="1855"/>
      <c r="H37" s="1863"/>
      <c r="I37" s="1864"/>
      <c r="J37" s="1865"/>
      <c r="K37" s="751"/>
      <c r="L37" s="1863"/>
      <c r="M37" s="1863"/>
    </row>
    <row r="38" spans="1:18" ht="18" customHeight="1" thickBot="1">
      <c r="A38" s="1342" t="s">
        <v>1393</v>
      </c>
      <c r="B38" s="1343" t="s">
        <v>1441</v>
      </c>
      <c r="C38" s="1344">
        <f ca="1">ROUND(C5*F38,1)</f>
        <v>19</v>
      </c>
      <c r="D38" s="1345" t="s">
        <v>1461</v>
      </c>
      <c r="E38" s="1343" t="s">
        <v>1424</v>
      </c>
      <c r="F38" s="1339">
        <f ca="1">INDIRECT("'数据-取费表'!Am"&amp;$G$1)</f>
        <v>0.01</v>
      </c>
      <c r="G38" s="1855"/>
      <c r="H38" s="1863"/>
      <c r="I38" s="1864"/>
      <c r="J38" s="1865"/>
      <c r="K38" s="1869"/>
      <c r="L38" s="1863"/>
      <c r="M38" s="1863"/>
    </row>
    <row r="39" spans="1:18" ht="24.6" customHeight="1" thickTop="1">
      <c r="A39" s="1332" t="s">
        <v>1031</v>
      </c>
      <c r="B39" s="1347" t="s">
        <v>1465</v>
      </c>
      <c r="C39" s="355">
        <f ca="1">C5-C30</f>
        <v>1676</v>
      </c>
      <c r="D39" s="1348" t="s">
        <v>1466</v>
      </c>
      <c r="E39" s="1349"/>
      <c r="F39" s="1350"/>
      <c r="G39" s="1855"/>
      <c r="H39" s="1863"/>
      <c r="I39" s="1864"/>
      <c r="J39" s="1865"/>
      <c r="K39" s="1869"/>
      <c r="L39" s="1863"/>
      <c r="M39" s="1863"/>
    </row>
    <row r="40" spans="1:18" ht="18" customHeight="1">
      <c r="A40" s="344" t="s">
        <v>1032</v>
      </c>
      <c r="B40" s="345" t="s">
        <v>1487</v>
      </c>
      <c r="C40" s="346">
        <f ca="1">ROUND(C39*(1-((1+F42)/(1+F40))^F41)/(F40-F42),0)</f>
        <v>41142</v>
      </c>
      <c r="D40" s="370" t="s">
        <v>1471</v>
      </c>
      <c r="E40" s="347" t="s">
        <v>1472</v>
      </c>
      <c r="F40" s="357">
        <f ca="1">INDIRECT("'数据-取费表'!I"&amp;$G$1)</f>
        <v>0.05</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35.11</v>
      </c>
      <c r="G41" s="1855"/>
      <c r="H41" s="732"/>
      <c r="I41" s="1864"/>
      <c r="J41" s="1865"/>
      <c r="K41" s="751"/>
      <c r="L41" s="732"/>
      <c r="M41" s="732"/>
    </row>
    <row r="42" spans="1:18" ht="18" customHeight="1">
      <c r="A42" s="353"/>
      <c r="B42" s="354"/>
      <c r="C42" s="355"/>
      <c r="D42" s="373"/>
      <c r="E42" s="347" t="s">
        <v>1479</v>
      </c>
      <c r="F42" s="357">
        <f ca="1">INDIRECT("'数据-取费表'!v"&amp;$G$1)</f>
        <v>0.03</v>
      </c>
      <c r="G42" s="1855"/>
      <c r="H42" s="732"/>
      <c r="I42" s="1864"/>
      <c r="J42" s="1865"/>
      <c r="K42" s="751"/>
      <c r="L42" s="732"/>
      <c r="M42" s="732"/>
    </row>
    <row r="43" spans="1:18" ht="18" customHeight="1" thickBot="1">
      <c r="A43" s="380" t="s">
        <v>1033</v>
      </c>
      <c r="B43" s="381" t="s">
        <v>1489</v>
      </c>
      <c r="C43" s="382">
        <f ca="1">ROUND(C40*10000/F43,0)</f>
        <v>38560</v>
      </c>
      <c r="D43" s="383" t="s">
        <v>1490</v>
      </c>
      <c r="E43" s="384" t="s">
        <v>1491</v>
      </c>
      <c r="F43" s="385">
        <f ca="1">INDIRECT("'数据-取费表'!k"&amp;$G$1)</f>
        <v>10669.729999999998</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-42781</v>
      </c>
      <c r="D46" s="1876" t="str">
        <f>C2</f>
        <v>万元</v>
      </c>
      <c r="E46" s="1870"/>
      <c r="F46" s="1870"/>
      <c r="I46" s="1877" t="s">
        <v>1523</v>
      </c>
      <c r="J46" s="1878"/>
      <c r="K46" s="1879"/>
      <c r="L46" s="1880" t="str">
        <f ca="1">IF(M47="住宅",0,IF(L48&gt;J51,L60,J60))</f>
        <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3277</v>
      </c>
      <c r="K47" s="1886" t="s">
        <v>1529</v>
      </c>
      <c r="L47" s="1887">
        <f ca="1">INDIRECT("'数据-取费表'!d"&amp;$G$1)</f>
        <v>50</v>
      </c>
      <c r="M47" s="1842" t="str">
        <f>IF(ISNUMBER(FIND("住宅",C1)),"住宅","非住宅")</f>
        <v>非住宅</v>
      </c>
      <c r="O47" s="1888" t="s">
        <v>1040</v>
      </c>
      <c r="P47" s="1889" t="s">
        <v>1530</v>
      </c>
      <c r="Q47" s="1890">
        <f ca="1">C40+J29</f>
        <v>41142</v>
      </c>
      <c r="R47" s="1890" t="s">
        <v>1531</v>
      </c>
    </row>
    <row r="48" spans="1:18" s="1846" customFormat="1" ht="28.5" thickBot="1">
      <c r="A48" s="1363" t="s">
        <v>1135</v>
      </c>
      <c r="B48" s="345" t="s">
        <v>1402</v>
      </c>
      <c r="C48" s="2958">
        <f ca="1">C49+C53+C55</f>
        <v>0</v>
      </c>
      <c r="D48" s="1365"/>
      <c r="E48" s="1366"/>
      <c r="F48" s="1184"/>
      <c r="G48" s="792"/>
      <c r="H48" s="793"/>
      <c r="I48" s="1891" t="s">
        <v>1532</v>
      </c>
      <c r="J48" s="1892" t="s">
        <v>3278</v>
      </c>
      <c r="K48" s="1893" t="s">
        <v>1533</v>
      </c>
      <c r="L48" s="1894">
        <f ca="1">INDIRECT("'数据-取费表'!f"&amp;$G$1)</f>
        <v>35.11</v>
      </c>
      <c r="O48" s="1888" t="s">
        <v>1041</v>
      </c>
      <c r="P48" s="1889" t="s">
        <v>1534</v>
      </c>
      <c r="Q48" s="1890" t="str">
        <f ca="1">J60</f>
        <v>0</v>
      </c>
      <c r="R48" s="1890" t="s">
        <v>1535</v>
      </c>
    </row>
    <row r="49" spans="1:18" s="1846" customFormat="1" ht="13.5" thickBot="1">
      <c r="A49" s="1197" t="s">
        <v>1136</v>
      </c>
      <c r="B49" s="1833" t="s">
        <v>1492</v>
      </c>
      <c r="C49" s="1367">
        <f ca="1">ROUND(F49*F51*F50*(1-F52)/10000,0)</f>
        <v>0</v>
      </c>
      <c r="D49" s="1279" t="s">
        <v>3028</v>
      </c>
      <c r="E49" s="1834" t="s">
        <v>1493</v>
      </c>
      <c r="F49" s="1284"/>
      <c r="G49" s="1895"/>
      <c r="H49" s="793"/>
      <c r="I49" s="1891" t="s">
        <v>1536</v>
      </c>
      <c r="J49" s="1896"/>
      <c r="K49" s="1893" t="s">
        <v>1537</v>
      </c>
      <c r="L49" s="1897"/>
      <c r="O49" s="1898" t="s">
        <v>1042</v>
      </c>
      <c r="P49" s="1889" t="s">
        <v>1538</v>
      </c>
      <c r="Q49" s="1890">
        <f ca="1">C29</f>
        <v>2900</v>
      </c>
      <c r="R49" s="1890" t="s">
        <v>1531</v>
      </c>
    </row>
    <row r="50" spans="1:18" s="1846" customFormat="1" ht="13.5" thickBot="1">
      <c r="A50" s="1198"/>
      <c r="B50" s="1201"/>
      <c r="C50" s="1371"/>
      <c r="D50" s="1175"/>
      <c r="E50" s="1280" t="s">
        <v>1407</v>
      </c>
      <c r="F50" s="1281">
        <f ca="1">F7</f>
        <v>10669.729999999998</v>
      </c>
      <c r="H50" s="793"/>
      <c r="I50" s="1891" t="s">
        <v>1539</v>
      </c>
      <c r="J50" s="1899">
        <f>SUMPRODUCT((I63:I65=J47)*(J62:L62=J48)*(J63:L65))</f>
        <v>70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70</v>
      </c>
      <c r="K51" s="1904" t="s">
        <v>1543</v>
      </c>
      <c r="L51" s="1905">
        <f ca="1">ROUND(-PV(INDIRECT("'数据-取费表'!h"&amp;$G$1),L48,(C39-C13*C76),0),0)</f>
        <v>26071</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f ca="1">J53</f>
        <v>35.11</v>
      </c>
      <c r="R52" s="1890" t="s">
        <v>1548</v>
      </c>
    </row>
    <row r="53" spans="1:18" s="1846" customFormat="1" ht="24.75" thickBot="1">
      <c r="A53" s="1408" t="s">
        <v>1137</v>
      </c>
      <c r="B53" s="1835" t="s">
        <v>1410</v>
      </c>
      <c r="C53" s="361">
        <f ca="1">ROUND(IF(F53="押一",F49*F51*F50/12*F11,IF(F53="押二",F49*F51*F50/12*2*F11,IF(F53="押三",F49*F51*F50/12*3*F11,C54*F11)))/10000,0)</f>
        <v>0</v>
      </c>
      <c r="D53" s="1828" t="s">
        <v>3025</v>
      </c>
      <c r="E53" s="358" t="s">
        <v>1412</v>
      </c>
      <c r="F53" s="1369"/>
      <c r="I53" s="1909" t="s">
        <v>1549</v>
      </c>
      <c r="J53" s="1910">
        <f ca="1">IF(M47="住宅",J51,IF(D1="——",MIN(J51,L48),IF(D1="在建（套用方法）",MIN(J51,L48-'数据-取费表'!B24),IF(D1="土地（套用方法）",MIN(J51,L48-'数据-取费表'!B20)))))</f>
        <v>35.11</v>
      </c>
      <c r="K53" s="3290" t="s">
        <v>1550</v>
      </c>
      <c r="L53" s="3291"/>
      <c r="O53" s="1888" t="s">
        <v>1046</v>
      </c>
      <c r="P53" s="1889" t="s">
        <v>1551</v>
      </c>
      <c r="Q53" s="1890">
        <f ca="1">Q47+Q48</f>
        <v>41142</v>
      </c>
      <c r="R53" s="1890" t="s">
        <v>1047</v>
      </c>
    </row>
    <row r="54" spans="1:18" s="1846" customFormat="1" ht="13.5" thickBot="1">
      <c r="A54" s="1409"/>
      <c r="B54" s="1829" t="s">
        <v>1389</v>
      </c>
      <c r="C54" s="1181"/>
      <c r="D54" s="1828"/>
      <c r="E54" s="2954"/>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2954"/>
      <c r="F55" s="1911"/>
      <c r="I55" s="1914" t="s">
        <v>1553</v>
      </c>
      <c r="J55" s="1915" t="e">
        <f ca="1">ROUND(IF(J47="钢混",J57/J50,1-(1-2%)*(J50-J57)/J50),3)</f>
        <v>#VALUE!</v>
      </c>
      <c r="K55" s="1916" t="s">
        <v>1554</v>
      </c>
      <c r="L55" s="1917" t="s">
        <v>1555</v>
      </c>
      <c r="O55" s="1881" t="s">
        <v>1524</v>
      </c>
      <c r="P55" s="1882" t="s">
        <v>1525</v>
      </c>
      <c r="Q55" s="1883" t="s">
        <v>1526</v>
      </c>
      <c r="R55" s="1883" t="s">
        <v>1527</v>
      </c>
    </row>
    <row r="56" spans="1:18" s="1846" customFormat="1" ht="25.5" thickTop="1" thickBot="1">
      <c r="A56" s="1179">
        <v>2</v>
      </c>
      <c r="B56" s="1180" t="s">
        <v>1416</v>
      </c>
      <c r="C56" s="276">
        <f ca="1">C13</f>
        <v>2175</v>
      </c>
      <c r="D56" s="1918"/>
      <c r="E56" s="1919"/>
      <c r="F56" s="1911"/>
      <c r="I56" s="1920" t="s">
        <v>1556</v>
      </c>
      <c r="J56" s="1921" t="s">
        <v>3233</v>
      </c>
      <c r="K56" s="1891" t="s">
        <v>1557</v>
      </c>
      <c r="L56" s="1894" t="str">
        <f ca="1">IF(L48&lt;J51,"——",L48-J53)</f>
        <v>——</v>
      </c>
      <c r="O56" s="1888" t="s">
        <v>1040</v>
      </c>
      <c r="P56" s="1889" t="s">
        <v>1530</v>
      </c>
      <c r="Q56" s="1890">
        <f ca="1">C40+J29</f>
        <v>41142</v>
      </c>
      <c r="R56" s="1890" t="s">
        <v>1531</v>
      </c>
    </row>
    <row r="57" spans="1:18" s="1846" customFormat="1" ht="24.75" thickBot="1">
      <c r="A57" s="1922"/>
      <c r="B57" s="1172" t="s">
        <v>1480</v>
      </c>
      <c r="C57" s="282">
        <f ca="1">C29</f>
        <v>2900</v>
      </c>
      <c r="D57" s="1923"/>
      <c r="E57" s="1924"/>
      <c r="F57" s="1925"/>
      <c r="I57" s="1926" t="s">
        <v>1558</v>
      </c>
      <c r="J57" s="1927" t="str">
        <f ca="1">IF(OR(M47="住宅",J51&lt;L48,J56="是"),"——",J51-L48)</f>
        <v>——</v>
      </c>
      <c r="K57" s="1891" t="s">
        <v>1559</v>
      </c>
      <c r="L57" s="1894" t="str">
        <f ca="1">IF(L48&lt;J51,"——",IF(L55="比较法",L49,IF(L55="基准地价",L50,L51)))</f>
        <v>——</v>
      </c>
      <c r="O57" s="1888" t="s">
        <v>1041</v>
      </c>
      <c r="P57" s="1889" t="s">
        <v>1560</v>
      </c>
      <c r="Q57" s="1890">
        <f ca="1">L60</f>
        <v>0</v>
      </c>
      <c r="R57" s="1890" t="s">
        <v>1561</v>
      </c>
    </row>
    <row r="58" spans="1:18" s="1846" customFormat="1" ht="24.75" thickBot="1">
      <c r="A58" s="360" t="s">
        <v>1030</v>
      </c>
      <c r="B58" s="1180" t="s">
        <v>1426</v>
      </c>
      <c r="C58" s="361">
        <f ca="1">ROUND(C59+C64+C65+C66,0)</f>
        <v>100</v>
      </c>
      <c r="D58" s="1182" t="s">
        <v>1427</v>
      </c>
      <c r="E58" s="1183"/>
      <c r="F58" s="1184"/>
      <c r="I58" s="1926" t="s">
        <v>1562</v>
      </c>
      <c r="J58" s="1928" t="e">
        <f ca="1">IF(J55&lt;0.4,0.4,J55)</f>
        <v>#VALUE!</v>
      </c>
      <c r="K58" s="1904" t="s">
        <v>1563</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3">
        <f ca="1">ROUND(IF(项目基本情况!B11="自然人",C48*F59,C60+C61+C62),1)</f>
        <v>53.2</v>
      </c>
      <c r="D59" s="1185" t="s">
        <v>1432</v>
      </c>
      <c r="E59" s="1186" t="s">
        <v>1433</v>
      </c>
      <c r="F59" s="368" t="str">
        <f ca="1">IF(项目基本情况!B11="企业","",IF(INDIRECT("'数据-取费表'!c"&amp;$G$1)="住宅",5%,IF(F49*F50*F51/12/(1+'数据-取费表'!C42)&gt;20000,12%,7%)))</f>
        <v/>
      </c>
      <c r="I59" s="1926" t="s">
        <v>1565</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3">
        <f ca="1">IF(项目基本情况!B11="自然人","——",ROUND(C48*F60/(1+'数据-取费表'!C42),2))</f>
        <v>0</v>
      </c>
      <c r="D60" s="1186" t="s">
        <v>1436</v>
      </c>
      <c r="E60" s="1172" t="s">
        <v>1424</v>
      </c>
      <c r="F60" s="377">
        <f t="shared" ref="F60:F66" si="0">F32</f>
        <v>5.6000000000000001E-2</v>
      </c>
      <c r="I60" s="1929" t="s">
        <v>1567</v>
      </c>
      <c r="J60" s="1930" t="str">
        <f ca="1">IF(OR(M47="住宅",J51&lt;L48,J56="是"),"0",ROUND(J59/(1+J52)^J53,0))</f>
        <v>0</v>
      </c>
      <c r="K60" s="1931" t="s">
        <v>1568</v>
      </c>
      <c r="L60" s="1930">
        <f ca="1">IF(OR(M47="住宅",L48&lt;J51),0,ROUND(L57*(L58/L59-1),0))</f>
        <v>0</v>
      </c>
      <c r="O60" s="1898" t="s">
        <v>1044</v>
      </c>
      <c r="P60" s="1889" t="s">
        <v>1569</v>
      </c>
      <c r="Q60" s="1890" t="e">
        <f ca="1">L58</f>
        <v>#DIV/0!</v>
      </c>
      <c r="R60" s="1890" t="s">
        <v>1570</v>
      </c>
    </row>
    <row r="61" spans="1:18" s="1846" customFormat="1" ht="13.5" thickBot="1">
      <c r="A61" s="1204" t="s">
        <v>1494</v>
      </c>
      <c r="B61" s="1172" t="s">
        <v>1439</v>
      </c>
      <c r="C61" s="23">
        <f ca="1">IF(项目基本情况!B11="自然人","——",IF(D61="按租金收入计税",ROUND(C48*F61,2),IF(D61="按房产原值计税",ROUND(C57*F61*0.7,2),INDIRECT("'数据-取费表'!Aj"&amp;$G$1))))</f>
        <v>24.36</v>
      </c>
      <c r="D61" s="1832" t="s">
        <v>1440</v>
      </c>
      <c r="E61" s="1172" t="s">
        <v>1424</v>
      </c>
      <c r="F61" s="367">
        <f t="shared" si="0"/>
        <v>1.2E-2</v>
      </c>
      <c r="I61" s="1932"/>
      <c r="J61" s="1932"/>
      <c r="K61" s="1932"/>
      <c r="L61" s="1932"/>
      <c r="O61" s="1898" t="s">
        <v>1045</v>
      </c>
      <c r="P61" s="1889" t="str">
        <f>K59</f>
        <v>建筑物剩余耐用年限下的土地年期修正系数Kn</v>
      </c>
      <c r="Q61" s="1890" t="e">
        <f ca="1">L59</f>
        <v>#DIV/0!</v>
      </c>
      <c r="R61" s="1890" t="s">
        <v>1571</v>
      </c>
    </row>
    <row r="62" spans="1:18" s="1846" customFormat="1" ht="13.5" thickBot="1">
      <c r="A62" s="1204" t="s">
        <v>1497</v>
      </c>
      <c r="B62" s="1171" t="s">
        <v>1443</v>
      </c>
      <c r="C62" s="24">
        <f ca="1">IF(项目基本情况!B11="自然人","——",ROUND(F62*F63/10000,2))</f>
        <v>28.82</v>
      </c>
      <c r="D62" s="1187" t="s">
        <v>1444</v>
      </c>
      <c r="E62" s="1172" t="s">
        <v>1445</v>
      </c>
      <c r="F62" s="371">
        <f t="shared" si="0"/>
        <v>18</v>
      </c>
      <c r="I62" s="1933" t="s">
        <v>1572</v>
      </c>
      <c r="J62" s="1934" t="s">
        <v>1573</v>
      </c>
      <c r="K62" s="1934" t="s">
        <v>1574</v>
      </c>
      <c r="L62" s="1934" t="s">
        <v>1575</v>
      </c>
      <c r="M62" s="1935" t="s">
        <v>1576</v>
      </c>
      <c r="O62" s="1888" t="s">
        <v>1046</v>
      </c>
      <c r="P62" s="1889" t="s">
        <v>1551</v>
      </c>
      <c r="Q62" s="1890">
        <f ca="1">Q56+Q57</f>
        <v>41142</v>
      </c>
      <c r="R62" s="1890" t="s">
        <v>1047</v>
      </c>
    </row>
    <row r="63" spans="1:18" s="1846" customFormat="1" ht="13.5" thickBot="1">
      <c r="A63" s="372"/>
      <c r="B63" s="1178"/>
      <c r="C63" s="28"/>
      <c r="D63" s="1188"/>
      <c r="E63" s="1172" t="s">
        <v>1449</v>
      </c>
      <c r="F63" s="348">
        <f t="shared" ca="1" si="0"/>
        <v>16013.49</v>
      </c>
      <c r="I63" s="1933" t="s">
        <v>1578</v>
      </c>
      <c r="J63" s="1934">
        <v>70</v>
      </c>
      <c r="K63" s="1934">
        <v>50</v>
      </c>
      <c r="L63" s="1934">
        <v>80</v>
      </c>
      <c r="M63" s="1936">
        <v>0.02</v>
      </c>
      <c r="O63" s="1873" t="s">
        <v>1579</v>
      </c>
      <c r="P63" s="1843"/>
      <c r="Q63" s="1843"/>
      <c r="R63" s="1843"/>
    </row>
    <row r="64" spans="1:18" s="1846" customFormat="1" ht="13.5" thickBot="1">
      <c r="A64" s="1204" t="s">
        <v>1039</v>
      </c>
      <c r="B64" s="1172" t="s">
        <v>1451</v>
      </c>
      <c r="C64" s="23">
        <f ca="1">ROUND(C57*F64,1)</f>
        <v>43.5</v>
      </c>
      <c r="D64" s="1186" t="s">
        <v>1484</v>
      </c>
      <c r="E64" s="1172" t="s">
        <v>1424</v>
      </c>
      <c r="F64" s="374">
        <f t="shared" ca="1" si="0"/>
        <v>1.4999999999999999E-2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3">
        <f ca="1">ROUND(C56*F65,1)</f>
        <v>3.3</v>
      </c>
      <c r="D65" s="1186" t="s">
        <v>1456</v>
      </c>
      <c r="E65" s="1172" t="s">
        <v>1424</v>
      </c>
      <c r="F65" s="376">
        <f t="shared" ca="1" si="0"/>
        <v>1.5E-3</v>
      </c>
      <c r="I65" s="1933" t="s">
        <v>1581</v>
      </c>
      <c r="J65" s="1934">
        <v>40</v>
      </c>
      <c r="K65" s="1934">
        <v>30</v>
      </c>
      <c r="L65" s="1934">
        <v>50</v>
      </c>
      <c r="M65" s="1936">
        <v>0.02</v>
      </c>
      <c r="O65" s="1888" t="s">
        <v>1040</v>
      </c>
      <c r="P65" s="1889" t="s">
        <v>1530</v>
      </c>
      <c r="Q65" s="1890">
        <f ca="1">C40+J29</f>
        <v>41142</v>
      </c>
      <c r="R65" s="1890" t="s">
        <v>1531</v>
      </c>
    </row>
    <row r="66" spans="1:18" s="1846" customFormat="1" ht="16.5" thickBot="1">
      <c r="A66" s="1204" t="s">
        <v>1506</v>
      </c>
      <c r="B66" s="1172" t="s">
        <v>1441</v>
      </c>
      <c r="C66" s="23">
        <f ca="1">ROUND(C48*F66,1)</f>
        <v>0</v>
      </c>
      <c r="D66" s="1186" t="s">
        <v>1461</v>
      </c>
      <c r="E66" s="1172" t="s">
        <v>1424</v>
      </c>
      <c r="F66" s="357">
        <f t="shared" ca="1" si="0"/>
        <v>0.01</v>
      </c>
      <c r="O66" s="1888" t="s">
        <v>1041</v>
      </c>
      <c r="P66" s="1889" t="s">
        <v>1560</v>
      </c>
      <c r="Q66" s="1890">
        <f ca="1">L60</f>
        <v>0</v>
      </c>
      <c r="R66" s="1890" t="s">
        <v>1583</v>
      </c>
    </row>
    <row r="67" spans="1:18" s="1846" customFormat="1" ht="16.5" thickBot="1">
      <c r="A67" s="1179" t="s">
        <v>1031</v>
      </c>
      <c r="B67" s="1189" t="s">
        <v>1465</v>
      </c>
      <c r="C67" s="361">
        <f ca="1">C48-C58</f>
        <v>-100</v>
      </c>
      <c r="D67" s="1185" t="s">
        <v>1466</v>
      </c>
      <c r="E67" s="1190"/>
      <c r="F67" s="1191"/>
      <c r="O67" s="1898" t="s">
        <v>1042</v>
      </c>
      <c r="P67" s="1889" t="s">
        <v>1564</v>
      </c>
      <c r="Q67" s="1937">
        <f ca="1">L51</f>
        <v>26071</v>
      </c>
      <c r="R67" s="1890" t="s">
        <v>1584</v>
      </c>
    </row>
    <row r="68" spans="1:18" s="1846" customFormat="1" ht="16.5" thickBot="1">
      <c r="A68" s="1169" t="s">
        <v>1032</v>
      </c>
      <c r="B68" s="1170" t="s">
        <v>1487</v>
      </c>
      <c r="C68" s="346">
        <f ca="1">ROUND(C67*(1-((1+F70)/(1+F68))^F69)/(F68-F70),0)</f>
        <v>-1639</v>
      </c>
      <c r="D68" s="1187" t="s">
        <v>1471</v>
      </c>
      <c r="E68" s="1172" t="s">
        <v>1472</v>
      </c>
      <c r="F68" s="357">
        <f ca="1">F40</f>
        <v>0.05</v>
      </c>
      <c r="O68" s="1898" t="s">
        <v>1043</v>
      </c>
      <c r="P68" s="1938" t="s">
        <v>1585</v>
      </c>
      <c r="Q68" s="1890">
        <f ca="1">ROUND(Q69-Q70*Q71,0)</f>
        <v>1491</v>
      </c>
      <c r="R68" s="1890" t="s">
        <v>1051</v>
      </c>
    </row>
    <row r="69" spans="1:18" s="1846" customFormat="1" ht="13.5" thickBot="1">
      <c r="A69" s="1173"/>
      <c r="B69" s="1174"/>
      <c r="C69" s="351"/>
      <c r="D69" s="1192" t="s">
        <v>1475</v>
      </c>
      <c r="E69" s="1172" t="s">
        <v>1476</v>
      </c>
      <c r="F69" s="379">
        <f ca="1">F41</f>
        <v>35.11</v>
      </c>
      <c r="O69" s="1898" t="s">
        <v>1048</v>
      </c>
      <c r="P69" s="1938" t="s">
        <v>1586</v>
      </c>
      <c r="Q69" s="1890">
        <f ca="1">C39</f>
        <v>1676</v>
      </c>
      <c r="R69" s="1890" t="s">
        <v>1531</v>
      </c>
    </row>
    <row r="70" spans="1:18" s="1846" customFormat="1" ht="13.5" thickBot="1">
      <c r="A70" s="1176"/>
      <c r="B70" s="1177"/>
      <c r="C70" s="355"/>
      <c r="D70" s="1188"/>
      <c r="E70" s="1172" t="s">
        <v>1479</v>
      </c>
      <c r="F70" s="1278"/>
      <c r="O70" s="1898" t="s">
        <v>1049</v>
      </c>
      <c r="P70" s="1938" t="s">
        <v>1587</v>
      </c>
      <c r="Q70" s="1890">
        <f ca="1">C13</f>
        <v>2175</v>
      </c>
      <c r="R70" s="1890" t="s">
        <v>1531</v>
      </c>
    </row>
    <row r="71" spans="1:18" s="1846" customFormat="1" ht="13.5" thickBot="1">
      <c r="A71" s="1193" t="s">
        <v>1033</v>
      </c>
      <c r="B71" s="1194" t="s">
        <v>1489</v>
      </c>
      <c r="C71" s="382">
        <f ca="1">ROUND(C68*10000/F71,0)</f>
        <v>-1536</v>
      </c>
      <c r="D71" s="1195" t="s">
        <v>1490</v>
      </c>
      <c r="E71" s="1196" t="s">
        <v>1491</v>
      </c>
      <c r="F71" s="385">
        <f ca="1">F43</f>
        <v>10669.729999999998</v>
      </c>
      <c r="O71" s="1898" t="s">
        <v>1050</v>
      </c>
      <c r="P71" s="1938" t="s">
        <v>1588</v>
      </c>
      <c r="Q71" s="1901">
        <f ca="1">C76</f>
        <v>8.5000000000000006E-2</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7" t="s">
        <v>1589</v>
      </c>
      <c r="C74" s="1940"/>
      <c r="D74" s="1846"/>
      <c r="E74" s="1846"/>
      <c r="F74" s="1846"/>
      <c r="O74" s="1898" t="s">
        <v>1052</v>
      </c>
      <c r="P74" s="1889" t="str">
        <f>K59</f>
        <v>建筑物剩余耐用年限下的土地年期修正系数Kn</v>
      </c>
      <c r="Q74" s="1890" t="e">
        <f ca="1">L59</f>
        <v>#DIV/0!</v>
      </c>
      <c r="R74" s="1890" t="s">
        <v>1571</v>
      </c>
    </row>
    <row r="75" spans="1:18" ht="13.5" thickBot="1">
      <c r="A75" s="1846"/>
      <c r="B75" s="386" t="s">
        <v>1508</v>
      </c>
      <c r="C75" s="387">
        <f ca="1">ROUND(C13*C76,0)</f>
        <v>185</v>
      </c>
      <c r="D75" s="1846"/>
      <c r="E75" s="1846"/>
      <c r="F75" s="1846"/>
      <c r="K75" s="1872"/>
      <c r="L75" s="1846"/>
      <c r="O75" s="1888" t="s">
        <v>1046</v>
      </c>
      <c r="P75" s="1889" t="s">
        <v>1551</v>
      </c>
      <c r="Q75" s="1890">
        <f ca="1">Q65+Q66</f>
        <v>41142</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0.89</v>
      </c>
    </row>
    <row r="80" spans="1:18">
      <c r="B80" s="386" t="s">
        <v>1513</v>
      </c>
      <c r="C80" s="318">
        <f ca="1">ROUND(C75/C39,3)</f>
        <v>0.11</v>
      </c>
    </row>
    <row r="81" spans="2:3">
      <c r="B81" s="314" t="s">
        <v>1514</v>
      </c>
      <c r="C81" s="282"/>
    </row>
    <row r="82" spans="2:3">
      <c r="B82" s="317" t="s">
        <v>1515</v>
      </c>
      <c r="C82" s="319">
        <f ca="1">1-C83</f>
        <v>0.94699999999999995</v>
      </c>
    </row>
    <row r="83" spans="2:3">
      <c r="B83" s="317" t="s">
        <v>1516</v>
      </c>
      <c r="C83" s="318">
        <f ca="1">ROUND(C13/C40,3)</f>
        <v>5.2999999999999999E-2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2525</v>
      </c>
      <c r="B1" s="2671" t="s">
        <v>2699</v>
      </c>
      <c r="C1" s="1624" t="s">
        <v>2527</v>
      </c>
      <c r="D1" s="1625"/>
      <c r="E1" s="1634"/>
      <c r="F1" s="2586"/>
      <c r="G1" s="1635" t="s">
        <v>2640</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2324</v>
      </c>
      <c r="B2" s="1421" t="e">
        <f ca="1">IF(C2="——",ROUND(C43*D3/10000,0),ROUND(C43*D3/10000,0)-D2)</f>
        <v>#DIV/0!</v>
      </c>
      <c r="C2" s="2588"/>
      <c r="D2" s="1127"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25430.71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56" t="s">
        <v>2643</v>
      </c>
      <c r="D4" s="3257"/>
      <c r="E4" s="3258" t="s">
        <v>2644</v>
      </c>
      <c r="F4" s="3259"/>
      <c r="G4" s="3256" t="s">
        <v>2645</v>
      </c>
      <c r="H4" s="3257"/>
      <c r="I4" s="3256" t="s">
        <v>2646</v>
      </c>
      <c r="J4" s="3257"/>
      <c r="K4" s="610" t="s">
        <v>2647</v>
      </c>
      <c r="L4" s="1133"/>
      <c r="M4" s="1134"/>
      <c r="N4" s="1134"/>
      <c r="O4" s="1134"/>
      <c r="P4" s="3344" t="s">
        <v>2648</v>
      </c>
      <c r="Q4" s="3345"/>
      <c r="R4" s="3348" t="s">
        <v>2644</v>
      </c>
      <c r="S4" s="3349"/>
      <c r="T4" s="3348" t="s">
        <v>2645</v>
      </c>
      <c r="U4" s="3349"/>
      <c r="V4" s="3273" t="s">
        <v>2646</v>
      </c>
      <c r="W4" s="3273"/>
      <c r="X4" s="1817"/>
      <c r="Y4" s="3348" t="s">
        <v>2648</v>
      </c>
      <c r="Z4" s="3349"/>
      <c r="AA4" s="3343" t="s">
        <v>2644</v>
      </c>
      <c r="AB4" s="3286" t="s">
        <v>2645</v>
      </c>
      <c r="AC4" s="3343" t="s">
        <v>2646</v>
      </c>
    </row>
    <row r="5" spans="1:29" ht="15">
      <c r="A5" s="404"/>
      <c r="B5" s="405"/>
      <c r="C5" s="3282" t="s">
        <v>2539</v>
      </c>
      <c r="D5" s="3277"/>
      <c r="E5" s="3350" t="s">
        <v>2540</v>
      </c>
      <c r="F5" s="3289"/>
      <c r="G5" s="3282" t="s">
        <v>2541</v>
      </c>
      <c r="H5" s="3277"/>
      <c r="I5" s="3282" t="s">
        <v>2542</v>
      </c>
      <c r="J5" s="3277"/>
      <c r="K5" s="610"/>
      <c r="L5" s="1133"/>
      <c r="M5" s="1134"/>
      <c r="N5" s="1134"/>
      <c r="O5" s="1134"/>
      <c r="P5" s="3346"/>
      <c r="Q5" s="3263"/>
      <c r="R5" s="3268"/>
      <c r="S5" s="3269"/>
      <c r="T5" s="3268"/>
      <c r="U5" s="3269"/>
      <c r="V5" s="3273"/>
      <c r="W5" s="3273"/>
      <c r="X5" s="1817"/>
      <c r="Y5" s="3268"/>
      <c r="Z5" s="3269"/>
      <c r="AA5" s="3286"/>
      <c r="AB5" s="3286"/>
      <c r="AC5" s="3286"/>
    </row>
    <row r="6" spans="1:29" ht="15.75" thickBot="1">
      <c r="A6" s="406"/>
      <c r="B6" s="407"/>
      <c r="C6" s="3274" t="s">
        <v>2543</v>
      </c>
      <c r="D6" s="3275"/>
      <c r="E6" s="3283" t="s">
        <v>2543</v>
      </c>
      <c r="F6" s="3284"/>
      <c r="G6" s="3274" t="s">
        <v>2543</v>
      </c>
      <c r="H6" s="3275"/>
      <c r="I6" s="3274" t="s">
        <v>2543</v>
      </c>
      <c r="J6" s="3275"/>
      <c r="K6" s="610" t="s">
        <v>2544</v>
      </c>
      <c r="L6" s="1133"/>
      <c r="M6" s="1134"/>
      <c r="N6" s="1134"/>
      <c r="O6" s="1134"/>
      <c r="P6" s="3347"/>
      <c r="Q6" s="3265"/>
      <c r="R6" s="3268"/>
      <c r="S6" s="3269"/>
      <c r="T6" s="3270"/>
      <c r="U6" s="3271"/>
      <c r="V6" s="3273"/>
      <c r="W6" s="3273"/>
      <c r="X6" s="1817"/>
      <c r="Y6" s="3270"/>
      <c r="Z6" s="3271"/>
      <c r="AA6" s="3287"/>
      <c r="AB6" s="3287"/>
      <c r="AC6" s="3287"/>
    </row>
    <row r="7" spans="1:29" s="116" customFormat="1" ht="15.75" thickBot="1">
      <c r="A7" s="408" t="s">
        <v>2545</v>
      </c>
      <c r="B7" s="409"/>
      <c r="C7" s="410">
        <f>'数据-取费表'!B2</f>
        <v>43047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80" t="s">
        <v>2546</v>
      </c>
      <c r="Q7" s="3281"/>
      <c r="R7" s="770" t="s">
        <v>17</v>
      </c>
      <c r="S7" s="771">
        <f t="shared" ref="S7:S15" si="0">F7</f>
        <v>0</v>
      </c>
      <c r="T7" s="770" t="s">
        <v>17</v>
      </c>
      <c r="U7" s="771">
        <f t="shared" ref="U7:U15" si="1">H7</f>
        <v>0</v>
      </c>
      <c r="V7" s="770" t="s">
        <v>17</v>
      </c>
      <c r="W7" s="771">
        <f t="shared" ref="W7:W15" si="2">J7</f>
        <v>0</v>
      </c>
      <c r="X7" s="772"/>
      <c r="Y7" s="3280" t="s">
        <v>2546</v>
      </c>
      <c r="Z7" s="3279"/>
      <c r="AA7" s="773" t="e">
        <f>D7/F7</f>
        <v>#DIV/0!</v>
      </c>
      <c r="AB7" s="773" t="e">
        <f>D7/H7</f>
        <v>#DIV/0!</v>
      </c>
      <c r="AC7" s="773" t="e">
        <f>D7/J7</f>
        <v>#DIV/0!</v>
      </c>
    </row>
    <row r="8" spans="1:29" s="116"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80" t="s">
        <v>2549</v>
      </c>
      <c r="Q8" s="3279"/>
      <c r="R8" s="770" t="s">
        <v>17</v>
      </c>
      <c r="S8" s="771">
        <f t="shared" si="0"/>
        <v>0</v>
      </c>
      <c r="T8" s="770" t="s">
        <v>17</v>
      </c>
      <c r="U8" s="771">
        <f t="shared" si="1"/>
        <v>0</v>
      </c>
      <c r="V8" s="770" t="s">
        <v>17</v>
      </c>
      <c r="W8" s="771">
        <f t="shared" si="2"/>
        <v>0</v>
      </c>
      <c r="X8" s="772"/>
      <c r="Y8" s="3280" t="s">
        <v>2549</v>
      </c>
      <c r="Z8" s="3279"/>
      <c r="AA8" s="773" t="e">
        <f t="shared" ref="AA8:AA40" si="3">D8/F8</f>
        <v>#DIV/0!</v>
      </c>
      <c r="AB8" s="773" t="e">
        <f t="shared" ref="AB8:AB40" si="4">D8/H8</f>
        <v>#DIV/0!</v>
      </c>
      <c r="AC8" s="773" t="e">
        <f t="shared" ref="AC8:AC40" si="5">D8/J8</f>
        <v>#DIV/0!</v>
      </c>
    </row>
    <row r="9" spans="1:29" s="116" customFormat="1">
      <c r="A9" s="415" t="s">
        <v>2550</v>
      </c>
      <c r="B9" s="70" t="s">
        <v>2551</v>
      </c>
      <c r="C9" s="416"/>
      <c r="D9" s="134">
        <v>100</v>
      </c>
      <c r="E9" s="419"/>
      <c r="F9" s="134">
        <f>SUMIF(57:57,E9,58:58)-SUMIF(57:57,C9,58:58)+100</f>
        <v>100</v>
      </c>
      <c r="G9" s="417"/>
      <c r="H9" s="134">
        <f>SUMIF(57:57,G9,58:58)-SUMIF(57:57,C9,58:58)+100</f>
        <v>100</v>
      </c>
      <c r="I9" s="417"/>
      <c r="J9" s="134">
        <f>SUMIF(57:57,I9,58:58)-SUMIF(57:57,C9,58:58)+100</f>
        <v>100</v>
      </c>
      <c r="K9" s="611"/>
      <c r="L9" s="1135"/>
      <c r="M9" s="1136"/>
      <c r="N9" s="1136"/>
      <c r="O9" s="1137"/>
      <c r="P9" s="3239" t="s">
        <v>2552</v>
      </c>
      <c r="Q9" s="1799" t="str">
        <f t="shared" ref="Q9:Q15" si="6">B9</f>
        <v>用途</v>
      </c>
      <c r="R9" s="770" t="s">
        <v>17</v>
      </c>
      <c r="S9" s="771">
        <f t="shared" si="0"/>
        <v>100</v>
      </c>
      <c r="T9" s="770" t="s">
        <v>17</v>
      </c>
      <c r="U9" s="771">
        <f t="shared" si="1"/>
        <v>100</v>
      </c>
      <c r="V9" s="770" t="s">
        <v>17</v>
      </c>
      <c r="W9" s="771">
        <f t="shared" si="2"/>
        <v>100</v>
      </c>
      <c r="X9" s="772"/>
      <c r="Y9" s="3096" t="s">
        <v>2553</v>
      </c>
      <c r="Z9" s="54" t="str">
        <f t="shared" ref="Z9:Z15" si="7">Q9</f>
        <v>用途</v>
      </c>
      <c r="AA9" s="773">
        <f t="shared" si="3"/>
        <v>1</v>
      </c>
      <c r="AB9" s="773">
        <f t="shared" si="4"/>
        <v>1</v>
      </c>
      <c r="AC9" s="773">
        <f t="shared" si="5"/>
        <v>1</v>
      </c>
    </row>
    <row r="10" spans="1:29" s="427" customFormat="1" ht="27">
      <c r="A10" s="421"/>
      <c r="B10" s="422" t="s">
        <v>2554</v>
      </c>
      <c r="C10" s="423"/>
      <c r="D10" s="135">
        <v>100</v>
      </c>
      <c r="E10" s="423"/>
      <c r="F10" s="135">
        <f>SUMIF(59:59,E10,60:60)-SUMIF(59:59,C10,60:60)+100</f>
        <v>100</v>
      </c>
      <c r="G10" s="424"/>
      <c r="H10" s="135">
        <f>SUMIF(59:59,G10,60:60)-SUMIF(59:59,C10,60:60)+100</f>
        <v>100</v>
      </c>
      <c r="I10" s="423"/>
      <c r="J10" s="135">
        <f>SUMIF(59:59,I10,60:60)-SUMIF(59:59,C10,60:60)+100</f>
        <v>100</v>
      </c>
      <c r="K10" s="612"/>
      <c r="L10" s="1138"/>
      <c r="M10" s="1139"/>
      <c r="N10" s="1139"/>
      <c r="O10" s="1140"/>
      <c r="P10" s="3239"/>
      <c r="Q10" s="1799" t="str">
        <f t="shared" si="6"/>
        <v>土地使用年限（年）</v>
      </c>
      <c r="R10" s="770" t="s">
        <v>17</v>
      </c>
      <c r="S10" s="771">
        <f t="shared" si="0"/>
        <v>100</v>
      </c>
      <c r="T10" s="770" t="s">
        <v>17</v>
      </c>
      <c r="U10" s="771">
        <f t="shared" si="1"/>
        <v>100</v>
      </c>
      <c r="V10" s="770" t="s">
        <v>17</v>
      </c>
      <c r="W10" s="771">
        <f t="shared" si="2"/>
        <v>100</v>
      </c>
      <c r="X10" s="772"/>
      <c r="Y10" s="3096"/>
      <c r="Z10" s="54" t="str">
        <f t="shared" si="7"/>
        <v>土地使用年限（年）</v>
      </c>
      <c r="AA10" s="773">
        <f t="shared" si="3"/>
        <v>1</v>
      </c>
      <c r="AB10" s="773">
        <f t="shared" si="4"/>
        <v>1</v>
      </c>
      <c r="AC10" s="773">
        <f t="shared" si="5"/>
        <v>1</v>
      </c>
    </row>
    <row r="11" spans="1:29" ht="15">
      <c r="A11" s="428"/>
      <c r="B11" s="422" t="s">
        <v>2555</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41"/>
      <c r="M11" s="1134"/>
      <c r="N11" s="1134"/>
      <c r="O11" s="1142"/>
      <c r="P11" s="3239"/>
      <c r="Q11" s="1799" t="str">
        <f t="shared" si="6"/>
        <v>容积率</v>
      </c>
      <c r="R11" s="770" t="s">
        <v>17</v>
      </c>
      <c r="S11" s="771" t="e">
        <f t="shared" si="0"/>
        <v>#N/A</v>
      </c>
      <c r="T11" s="770" t="s">
        <v>17</v>
      </c>
      <c r="U11" s="771" t="e">
        <f t="shared" si="1"/>
        <v>#N/A</v>
      </c>
      <c r="V11" s="770" t="s">
        <v>17</v>
      </c>
      <c r="W11" s="771" t="e">
        <f t="shared" si="2"/>
        <v>#N/A</v>
      </c>
      <c r="X11" s="772"/>
      <c r="Y11" s="3096"/>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135">
        <f>SUMIF(64:64,E12,65:65)-SUMIF(64:64,C12,65:65)+100</f>
        <v>100</v>
      </c>
      <c r="G12" s="2694"/>
      <c r="H12" s="135">
        <f>SUMIF(64:64,G12,65:65)-SUMIF(64:64,C12,65:65)+100</f>
        <v>100</v>
      </c>
      <c r="I12" s="469"/>
      <c r="J12" s="135">
        <f>SUMIF(64:64,I12,65:65)-SUMIF(64:64,C12,65:65)+100</f>
        <v>100</v>
      </c>
      <c r="K12" s="613"/>
      <c r="L12" s="1135"/>
      <c r="M12" s="1136"/>
      <c r="N12" s="1136"/>
      <c r="O12" s="1137"/>
      <c r="P12" s="3239"/>
      <c r="Q12" s="1799">
        <f t="shared" si="6"/>
        <v>111</v>
      </c>
      <c r="R12" s="770" t="s">
        <v>17</v>
      </c>
      <c r="S12" s="771">
        <f t="shared" si="0"/>
        <v>100</v>
      </c>
      <c r="T12" s="770" t="s">
        <v>17</v>
      </c>
      <c r="U12" s="771">
        <f t="shared" si="1"/>
        <v>100</v>
      </c>
      <c r="V12" s="770" t="s">
        <v>17</v>
      </c>
      <c r="W12" s="771">
        <f t="shared" si="2"/>
        <v>100</v>
      </c>
      <c r="X12" s="772"/>
      <c r="Y12" s="3096"/>
      <c r="Z12" s="54">
        <f t="shared" si="7"/>
        <v>111</v>
      </c>
      <c r="AA12" s="773">
        <f>D12/F12</f>
        <v>1</v>
      </c>
      <c r="AB12" s="773">
        <f>D12/H12</f>
        <v>1</v>
      </c>
      <c r="AC12" s="773">
        <f>D12/J12</f>
        <v>1</v>
      </c>
    </row>
    <row r="13" spans="1:29" ht="15">
      <c r="A13" s="428"/>
      <c r="B13" s="2602">
        <v>111</v>
      </c>
      <c r="C13" s="434"/>
      <c r="D13" s="435">
        <v>100</v>
      </c>
      <c r="E13" s="434"/>
      <c r="F13" s="135">
        <f>SUMIF(66:66,E13,67:67)-SUMIF(66:66,C13,67:67)+100</f>
        <v>100</v>
      </c>
      <c r="G13" s="2694"/>
      <c r="H13" s="435">
        <f>SUMIF(66:66,G13,67:67)-SUMIF(66:66,C13,67:67)+100</f>
        <v>100</v>
      </c>
      <c r="I13" s="469"/>
      <c r="J13" s="435">
        <f>SUMIF(66:66,I13,67:67)-SUMIF(66:66,C13,67:67)+100</f>
        <v>100</v>
      </c>
      <c r="K13" s="613"/>
      <c r="L13" s="1143"/>
      <c r="M13" s="1134"/>
      <c r="N13" s="1134"/>
      <c r="O13" s="1142"/>
      <c r="P13" s="3239"/>
      <c r="Q13" s="1799">
        <f t="shared" si="6"/>
        <v>111</v>
      </c>
      <c r="R13" s="770" t="s">
        <v>17</v>
      </c>
      <c r="S13" s="771">
        <f t="shared" si="0"/>
        <v>100</v>
      </c>
      <c r="T13" s="770" t="s">
        <v>17</v>
      </c>
      <c r="U13" s="771">
        <f t="shared" si="1"/>
        <v>100</v>
      </c>
      <c r="V13" s="770" t="s">
        <v>17</v>
      </c>
      <c r="W13" s="771">
        <f t="shared" si="2"/>
        <v>100</v>
      </c>
      <c r="X13" s="772"/>
      <c r="Y13" s="3096"/>
      <c r="Z13" s="54">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39"/>
      <c r="Q14" s="1799">
        <f t="shared" si="6"/>
        <v>111</v>
      </c>
      <c r="R14" s="770" t="s">
        <v>17</v>
      </c>
      <c r="S14" s="771">
        <f t="shared" si="0"/>
        <v>100</v>
      </c>
      <c r="T14" s="770" t="s">
        <v>17</v>
      </c>
      <c r="U14" s="771">
        <f t="shared" si="1"/>
        <v>100</v>
      </c>
      <c r="V14" s="770" t="s">
        <v>17</v>
      </c>
      <c r="W14" s="771">
        <f t="shared" si="2"/>
        <v>100</v>
      </c>
      <c r="X14" s="772"/>
      <c r="Y14" s="3096"/>
      <c r="Z14" s="54">
        <f t="shared" si="7"/>
        <v>111</v>
      </c>
      <c r="AA14" s="773">
        <f t="shared" si="3"/>
        <v>1</v>
      </c>
      <c r="AB14" s="773">
        <f t="shared" si="4"/>
        <v>1</v>
      </c>
      <c r="AC14" s="773">
        <f t="shared" si="5"/>
        <v>1</v>
      </c>
    </row>
    <row r="15" spans="1:29" ht="57">
      <c r="A15" s="440" t="s">
        <v>2556</v>
      </c>
      <c r="B15" s="68" t="s">
        <v>2700</v>
      </c>
      <c r="C15" s="2695" t="str">
        <f>估价对象房地状况!G3</f>
        <v>估价对象位于三里屯，园区建设成熟度一般，产业集聚程度较差</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46" t="s">
        <v>2557</v>
      </c>
      <c r="Q15" s="1814" t="str">
        <f t="shared" si="6"/>
        <v>产业集聚程度</v>
      </c>
      <c r="R15" s="774" t="s">
        <v>17</v>
      </c>
      <c r="S15" s="775">
        <f t="shared" si="0"/>
        <v>100</v>
      </c>
      <c r="T15" s="774" t="s">
        <v>17</v>
      </c>
      <c r="U15" s="775">
        <f t="shared" si="1"/>
        <v>100</v>
      </c>
      <c r="V15" s="774" t="s">
        <v>17</v>
      </c>
      <c r="W15" s="775">
        <f t="shared" si="2"/>
        <v>100</v>
      </c>
      <c r="X15" s="1817"/>
      <c r="Y15" s="3246" t="s">
        <v>2557</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247"/>
      <c r="Q16" s="1814"/>
      <c r="R16" s="774"/>
      <c r="S16" s="775"/>
      <c r="T16" s="774"/>
      <c r="U16" s="775"/>
      <c r="V16" s="774"/>
      <c r="W16" s="775"/>
      <c r="X16" s="1817"/>
      <c r="Y16" s="3247"/>
      <c r="Z16" s="1818"/>
      <c r="AA16" s="1815">
        <v>1</v>
      </c>
      <c r="AB16" s="1815">
        <v>1</v>
      </c>
      <c r="AC16" s="1815">
        <v>1</v>
      </c>
    </row>
    <row r="17" spans="1:29" ht="128.25">
      <c r="A17" s="428"/>
      <c r="B17" s="451" t="s">
        <v>2096</v>
      </c>
      <c r="C17" s="2609" t="str">
        <f>估价对象房地状况!G4</f>
        <v>估价对象周边有113路、115路、117路等多条公交线路，有地铁团结湖站，路网较密集，停车便捷程度较好，综合评价交通便捷度较好。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7"/>
      <c r="Q17" s="1814" t="str">
        <f>B17</f>
        <v>交通便捷度</v>
      </c>
      <c r="R17" s="774" t="s">
        <v>17</v>
      </c>
      <c r="S17" s="775">
        <f>F17</f>
        <v>100</v>
      </c>
      <c r="T17" s="774" t="s">
        <v>17</v>
      </c>
      <c r="U17" s="775">
        <f>H17</f>
        <v>100</v>
      </c>
      <c r="V17" s="774" t="s">
        <v>17</v>
      </c>
      <c r="W17" s="775">
        <f>J17</f>
        <v>100</v>
      </c>
      <c r="X17" s="1817"/>
      <c r="Y17" s="3247"/>
      <c r="Z17" s="1818" t="str">
        <f>Q17</f>
        <v>交通便捷度</v>
      </c>
      <c r="AA17" s="1815">
        <f t="shared" si="3"/>
        <v>1</v>
      </c>
      <c r="AB17" s="1815">
        <f t="shared" si="4"/>
        <v>1</v>
      </c>
      <c r="AC17" s="1815">
        <f t="shared" si="5"/>
        <v>1</v>
      </c>
    </row>
    <row r="18" spans="1:29" ht="15">
      <c r="A18" s="428"/>
      <c r="B18" s="456"/>
      <c r="C18" s="2610"/>
      <c r="D18" s="450"/>
      <c r="E18" s="2612"/>
      <c r="F18" s="453"/>
      <c r="G18" s="2611"/>
      <c r="H18" s="448"/>
      <c r="I18" s="2612"/>
      <c r="J18" s="448"/>
      <c r="K18" s="615"/>
      <c r="L18" s="1143"/>
      <c r="M18" s="1134"/>
      <c r="N18" s="1134"/>
      <c r="O18" s="1142"/>
      <c r="P18" s="3247"/>
      <c r="Q18" s="1814"/>
      <c r="R18" s="774"/>
      <c r="S18" s="775"/>
      <c r="T18" s="774"/>
      <c r="U18" s="775"/>
      <c r="V18" s="774"/>
      <c r="W18" s="775"/>
      <c r="X18" s="1817"/>
      <c r="Y18" s="3247"/>
      <c r="Z18" s="1818"/>
      <c r="AA18" s="1815">
        <v>1</v>
      </c>
      <c r="AB18" s="1815">
        <v>1</v>
      </c>
      <c r="AC18" s="1815">
        <v>1</v>
      </c>
    </row>
    <row r="19" spans="1:29" ht="199.5">
      <c r="A19" s="428"/>
      <c r="B19" s="451" t="s">
        <v>2685</v>
      </c>
      <c r="C19" s="2609" t="str">
        <f>估价对象房地状况!G5</f>
        <v>估价对象所在区域有银行（中国银行长虹桥支行）、医院（武警北京总队医院）、超市（京客隆三里屯店）、学校（北京市朝阳区白家庄小学）、餐饮（石塘嘴）等公共配套设施，公共配套设施齐备情况较好。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7"/>
      <c r="Q19" s="1814" t="str">
        <f>B19</f>
        <v>公共配套设施</v>
      </c>
      <c r="R19" s="774" t="s">
        <v>17</v>
      </c>
      <c r="S19" s="775">
        <f>F19</f>
        <v>100</v>
      </c>
      <c r="T19" s="774" t="s">
        <v>17</v>
      </c>
      <c r="U19" s="775">
        <f>H19</f>
        <v>100</v>
      </c>
      <c r="V19" s="774" t="s">
        <v>17</v>
      </c>
      <c r="W19" s="775">
        <f>J19</f>
        <v>100</v>
      </c>
      <c r="X19" s="1817"/>
      <c r="Y19" s="3247"/>
      <c r="Z19" s="1818" t="str">
        <f>Q19</f>
        <v>公共配套设施</v>
      </c>
      <c r="AA19" s="1815">
        <f t="shared" si="3"/>
        <v>1</v>
      </c>
      <c r="AB19" s="1815">
        <f t="shared" si="4"/>
        <v>1</v>
      </c>
      <c r="AC19" s="1815">
        <f t="shared" si="5"/>
        <v>1</v>
      </c>
    </row>
    <row r="20" spans="1:29" ht="15">
      <c r="A20" s="428"/>
      <c r="B20" s="456"/>
      <c r="C20" s="447"/>
      <c r="D20" s="448"/>
      <c r="E20" s="2607"/>
      <c r="F20" s="449"/>
      <c r="G20" s="2606"/>
      <c r="H20" s="448"/>
      <c r="I20" s="2607"/>
      <c r="J20" s="448"/>
      <c r="K20" s="615"/>
      <c r="L20" s="1143"/>
      <c r="M20" s="1134"/>
      <c r="N20" s="1134"/>
      <c r="O20" s="1142"/>
      <c r="P20" s="3247"/>
      <c r="Q20" s="1814"/>
      <c r="R20" s="774"/>
      <c r="S20" s="775"/>
      <c r="T20" s="774"/>
      <c r="U20" s="775"/>
      <c r="V20" s="774"/>
      <c r="W20" s="775"/>
      <c r="X20" s="1817"/>
      <c r="Y20" s="3247"/>
      <c r="Z20" s="1818"/>
      <c r="AA20" s="1815">
        <v>1</v>
      </c>
      <c r="AB20" s="1815">
        <v>1</v>
      </c>
      <c r="AC20" s="1815">
        <v>1</v>
      </c>
    </row>
    <row r="21" spans="1:29" ht="42.75">
      <c r="A21" s="428"/>
      <c r="B21" s="1387" t="s">
        <v>2686</v>
      </c>
      <c r="C21" s="2609" t="str">
        <f>估价对象房地状况!G6</f>
        <v>估价对象所在区域基础设施水平达“七通”。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7"/>
      <c r="Q21" s="1814" t="str">
        <f>B21</f>
        <v>基础设施水平</v>
      </c>
      <c r="R21" s="774" t="s">
        <v>17</v>
      </c>
      <c r="S21" s="775">
        <f>F21</f>
        <v>100</v>
      </c>
      <c r="T21" s="774" t="s">
        <v>17</v>
      </c>
      <c r="U21" s="775">
        <f>H21</f>
        <v>100</v>
      </c>
      <c r="V21" s="774" t="s">
        <v>17</v>
      </c>
      <c r="W21" s="775">
        <f>J21</f>
        <v>100</v>
      </c>
      <c r="X21" s="1817"/>
      <c r="Y21" s="3247"/>
      <c r="Z21" s="1818" t="str">
        <f>Q21</f>
        <v>基础设施水平</v>
      </c>
      <c r="AA21" s="1815">
        <f t="shared" ref="AA21" si="8">D21/F21</f>
        <v>1</v>
      </c>
      <c r="AB21" s="1815">
        <f t="shared" ref="AB21" si="9">D21/H21</f>
        <v>1</v>
      </c>
      <c r="AC21" s="1815">
        <f t="shared" ref="AC21" si="10">D21/J21</f>
        <v>1</v>
      </c>
    </row>
    <row r="22" spans="1:29" ht="15">
      <c r="A22" s="428"/>
      <c r="B22" s="1387"/>
      <c r="C22" s="2610"/>
      <c r="D22" s="448"/>
      <c r="E22" s="447"/>
      <c r="F22" s="449"/>
      <c r="G22" s="447"/>
      <c r="H22" s="448"/>
      <c r="I22" s="447"/>
      <c r="J22" s="448"/>
      <c r="K22" s="1386"/>
      <c r="L22" s="1143"/>
      <c r="M22" s="1134"/>
      <c r="N22" s="1134"/>
      <c r="O22" s="1142"/>
      <c r="P22" s="3247"/>
      <c r="Q22" s="1814"/>
      <c r="R22" s="774"/>
      <c r="S22" s="775"/>
      <c r="T22" s="774"/>
      <c r="U22" s="775"/>
      <c r="V22" s="774"/>
      <c r="W22" s="775"/>
      <c r="X22" s="1817"/>
      <c r="Y22" s="3247"/>
      <c r="Z22" s="1818"/>
      <c r="AA22" s="1815">
        <v>1</v>
      </c>
      <c r="AB22" s="1815">
        <v>1</v>
      </c>
      <c r="AC22" s="1815">
        <v>1</v>
      </c>
    </row>
    <row r="23" spans="1:29" ht="85.5">
      <c r="A23" s="428"/>
      <c r="B23" s="451" t="s">
        <v>2687</v>
      </c>
      <c r="C23" s="2609" t="str">
        <f>估价对象房地状况!G7</f>
        <v>该园区内是否有污染型企业，绿化情况较好，卫生条件较好，整体环境状况较好。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7"/>
      <c r="Q23" s="1814" t="str">
        <f>B23</f>
        <v>环境质量</v>
      </c>
      <c r="R23" s="774" t="s">
        <v>17</v>
      </c>
      <c r="S23" s="775">
        <f>F23</f>
        <v>100</v>
      </c>
      <c r="T23" s="774" t="s">
        <v>17</v>
      </c>
      <c r="U23" s="775">
        <f>H23</f>
        <v>100</v>
      </c>
      <c r="V23" s="774" t="s">
        <v>17</v>
      </c>
      <c r="W23" s="775">
        <f>J23</f>
        <v>100</v>
      </c>
      <c r="X23" s="1817"/>
      <c r="Y23" s="3247"/>
      <c r="Z23" s="1818" t="str">
        <f>Q23</f>
        <v>环境质量</v>
      </c>
      <c r="AA23" s="1815">
        <f t="shared" si="3"/>
        <v>1</v>
      </c>
      <c r="AB23" s="1815">
        <f t="shared" si="4"/>
        <v>1</v>
      </c>
      <c r="AC23" s="1815">
        <f t="shared" si="5"/>
        <v>1</v>
      </c>
    </row>
    <row r="24" spans="1:29" ht="15">
      <c r="A24" s="428"/>
      <c r="B24" s="1387"/>
      <c r="C24" s="447"/>
      <c r="D24" s="448"/>
      <c r="E24" s="2607"/>
      <c r="F24" s="449"/>
      <c r="G24" s="2606"/>
      <c r="H24" s="448"/>
      <c r="I24" s="2607"/>
      <c r="J24" s="448"/>
      <c r="K24" s="615"/>
      <c r="L24" s="1143"/>
      <c r="M24" s="1134"/>
      <c r="N24" s="1134"/>
      <c r="O24" s="1142"/>
      <c r="P24" s="3247"/>
      <c r="Q24" s="1814"/>
      <c r="R24" s="774"/>
      <c r="S24" s="775"/>
      <c r="T24" s="774"/>
      <c r="U24" s="775"/>
      <c r="V24" s="774"/>
      <c r="W24" s="775"/>
      <c r="X24" s="1817"/>
      <c r="Y24" s="3247"/>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7"/>
      <c r="Q25" s="1814">
        <f>B25</f>
        <v>111</v>
      </c>
      <c r="R25" s="774" t="s">
        <v>17</v>
      </c>
      <c r="S25" s="775">
        <f>F25</f>
        <v>100</v>
      </c>
      <c r="T25" s="774" t="s">
        <v>17</v>
      </c>
      <c r="U25" s="775">
        <f>H25</f>
        <v>100</v>
      </c>
      <c r="V25" s="774" t="s">
        <v>17</v>
      </c>
      <c r="W25" s="775">
        <f>J25</f>
        <v>100</v>
      </c>
      <c r="X25" s="1817"/>
      <c r="Y25" s="3247"/>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7"/>
      <c r="Q26" s="1814">
        <f t="shared" ref="Q26:Q40" si="11">B26</f>
        <v>111</v>
      </c>
      <c r="R26" s="774" t="s">
        <v>17</v>
      </c>
      <c r="S26" s="775">
        <f>F26</f>
        <v>100</v>
      </c>
      <c r="T26" s="774" t="s">
        <v>17</v>
      </c>
      <c r="U26" s="775">
        <f>H26</f>
        <v>100</v>
      </c>
      <c r="V26" s="774" t="s">
        <v>17</v>
      </c>
      <c r="W26" s="775">
        <f>J26</f>
        <v>100</v>
      </c>
      <c r="X26" s="1817"/>
      <c r="Y26" s="3247"/>
      <c r="Z26" s="1818">
        <f>Q26</f>
        <v>111</v>
      </c>
      <c r="AA26" s="1815">
        <f t="shared" si="3"/>
        <v>1</v>
      </c>
      <c r="AB26" s="1815">
        <f t="shared" si="4"/>
        <v>1</v>
      </c>
      <c r="AC26" s="1815">
        <f t="shared" si="5"/>
        <v>1</v>
      </c>
    </row>
    <row r="27" spans="1:29" s="116"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7"/>
      <c r="Q27" s="1799">
        <f t="shared" si="11"/>
        <v>111</v>
      </c>
      <c r="R27" s="770" t="s">
        <v>17</v>
      </c>
      <c r="S27" s="771">
        <f>F27</f>
        <v>100</v>
      </c>
      <c r="T27" s="770" t="s">
        <v>17</v>
      </c>
      <c r="U27" s="771">
        <f>H27</f>
        <v>100</v>
      </c>
      <c r="V27" s="770" t="s">
        <v>17</v>
      </c>
      <c r="W27" s="771">
        <f>J27</f>
        <v>100</v>
      </c>
      <c r="X27" s="772"/>
      <c r="Y27" s="3247"/>
      <c r="Z27" s="54">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7"/>
      <c r="Q28" s="1814">
        <f t="shared" si="11"/>
        <v>111</v>
      </c>
      <c r="R28" s="774" t="s">
        <v>17</v>
      </c>
      <c r="S28" s="775">
        <f t="shared" ref="S28:S40" si="12">F28</f>
        <v>100</v>
      </c>
      <c r="T28" s="774" t="s">
        <v>17</v>
      </c>
      <c r="U28" s="775">
        <f t="shared" ref="U28:U40" si="13">H28</f>
        <v>100</v>
      </c>
      <c r="V28" s="774" t="s">
        <v>17</v>
      </c>
      <c r="W28" s="775">
        <f t="shared" ref="W28:W40" si="14">J28</f>
        <v>100</v>
      </c>
      <c r="X28" s="1817"/>
      <c r="Y28" s="3247"/>
      <c r="Z28" s="1818">
        <f t="shared" ref="Z28:Z40" si="15">Q28</f>
        <v>111</v>
      </c>
      <c r="AA28" s="1815">
        <f t="shared" si="3"/>
        <v>1</v>
      </c>
      <c r="AB28" s="1815">
        <f t="shared" si="4"/>
        <v>1</v>
      </c>
      <c r="AC28" s="1815">
        <f t="shared" si="5"/>
        <v>1</v>
      </c>
    </row>
    <row r="29" spans="1:29" ht="15">
      <c r="A29" s="466" t="s">
        <v>2560</v>
      </c>
      <c r="B29" s="70" t="s">
        <v>2690</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351" t="s">
        <v>2562</v>
      </c>
      <c r="Q29" s="1814" t="str">
        <f t="shared" si="11"/>
        <v>建筑类型</v>
      </c>
      <c r="R29" s="774" t="s">
        <v>17</v>
      </c>
      <c r="S29" s="775">
        <f t="shared" si="12"/>
        <v>100</v>
      </c>
      <c r="T29" s="774" t="s">
        <v>17</v>
      </c>
      <c r="U29" s="775">
        <f t="shared" si="13"/>
        <v>100</v>
      </c>
      <c r="V29" s="774" t="s">
        <v>17</v>
      </c>
      <c r="W29" s="775">
        <f t="shared" si="14"/>
        <v>100</v>
      </c>
      <c r="X29" s="1817"/>
      <c r="Y29" s="3251" t="s">
        <v>2562</v>
      </c>
      <c r="Z29" s="1818" t="str">
        <f t="shared" si="15"/>
        <v>建筑类型</v>
      </c>
      <c r="AA29" s="1815">
        <f t="shared" si="3"/>
        <v>1</v>
      </c>
      <c r="AB29" s="1815">
        <f t="shared" si="4"/>
        <v>1</v>
      </c>
      <c r="AC29" s="1815">
        <f t="shared" si="5"/>
        <v>1</v>
      </c>
    </row>
    <row r="30" spans="1:29" s="471" customFormat="1" ht="15">
      <c r="A30" s="468"/>
      <c r="B30" s="422" t="s">
        <v>2563</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41"/>
      <c r="M30" s="1144"/>
      <c r="N30" s="1144"/>
      <c r="O30" s="1145"/>
      <c r="P30" s="3251"/>
      <c r="Q30" s="776" t="str">
        <f t="shared" si="11"/>
        <v>项目建筑规模</v>
      </c>
      <c r="R30" s="777" t="s">
        <v>17</v>
      </c>
      <c r="S30" s="778" t="e">
        <f t="shared" si="12"/>
        <v>#N/A</v>
      </c>
      <c r="T30" s="777" t="s">
        <v>17</v>
      </c>
      <c r="U30" s="778" t="e">
        <f t="shared" si="13"/>
        <v>#N/A</v>
      </c>
      <c r="V30" s="777" t="s">
        <v>17</v>
      </c>
      <c r="W30" s="778" t="e">
        <f t="shared" si="14"/>
        <v>#N/A</v>
      </c>
      <c r="X30" s="779"/>
      <c r="Y30" s="3251"/>
      <c r="Z30" s="780" t="str">
        <f t="shared" si="15"/>
        <v>项目建筑规模</v>
      </c>
      <c r="AA30" s="1815" t="e">
        <f t="shared" si="3"/>
        <v>#N/A</v>
      </c>
      <c r="AB30" s="1815" t="e">
        <f t="shared" si="4"/>
        <v>#N/A</v>
      </c>
      <c r="AC30" s="1815"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51"/>
      <c r="Q31" s="1814" t="str">
        <f t="shared" si="11"/>
        <v>建筑结构</v>
      </c>
      <c r="R31" s="774" t="s">
        <v>17</v>
      </c>
      <c r="S31" s="775">
        <f t="shared" si="12"/>
        <v>100</v>
      </c>
      <c r="T31" s="774" t="s">
        <v>17</v>
      </c>
      <c r="U31" s="775">
        <f t="shared" si="13"/>
        <v>100</v>
      </c>
      <c r="V31" s="774" t="s">
        <v>17</v>
      </c>
      <c r="W31" s="775">
        <f t="shared" si="14"/>
        <v>100</v>
      </c>
      <c r="X31" s="1817"/>
      <c r="Y31" s="3251"/>
      <c r="Z31" s="1818" t="str">
        <f t="shared" si="15"/>
        <v>建筑结构</v>
      </c>
      <c r="AA31" s="1815">
        <f t="shared" si="3"/>
        <v>1</v>
      </c>
      <c r="AB31" s="1815">
        <f t="shared" si="4"/>
        <v>1</v>
      </c>
      <c r="AC31" s="1815">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51"/>
      <c r="Q32" s="1814" t="str">
        <f t="shared" si="11"/>
        <v>公共部分装修</v>
      </c>
      <c r="R32" s="774" t="s">
        <v>17</v>
      </c>
      <c r="S32" s="775">
        <f t="shared" si="12"/>
        <v>100</v>
      </c>
      <c r="T32" s="774" t="s">
        <v>17</v>
      </c>
      <c r="U32" s="775">
        <f t="shared" si="13"/>
        <v>100</v>
      </c>
      <c r="V32" s="774" t="s">
        <v>17</v>
      </c>
      <c r="W32" s="775">
        <f t="shared" si="14"/>
        <v>100</v>
      </c>
      <c r="X32" s="1817"/>
      <c r="Y32" s="3251"/>
      <c r="Z32" s="1818" t="str">
        <f t="shared" si="15"/>
        <v>公共部分装修</v>
      </c>
      <c r="AA32" s="1815">
        <f t="shared" si="3"/>
        <v>1</v>
      </c>
      <c r="AB32" s="1815">
        <f t="shared" si="4"/>
        <v>1</v>
      </c>
      <c r="AC32" s="1815">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51"/>
      <c r="Q33" s="1814" t="str">
        <f t="shared" si="11"/>
        <v>成新度</v>
      </c>
      <c r="R33" s="774" t="s">
        <v>17</v>
      </c>
      <c r="S33" s="775" t="e">
        <f t="shared" si="12"/>
        <v>#N/A</v>
      </c>
      <c r="T33" s="774" t="s">
        <v>17</v>
      </c>
      <c r="U33" s="775" t="e">
        <f t="shared" si="13"/>
        <v>#N/A</v>
      </c>
      <c r="V33" s="774" t="s">
        <v>17</v>
      </c>
      <c r="W33" s="775" t="e">
        <f t="shared" si="14"/>
        <v>#N/A</v>
      </c>
      <c r="X33" s="1817"/>
      <c r="Y33" s="3251"/>
      <c r="Z33" s="1818" t="str">
        <f t="shared" si="15"/>
        <v>成新度</v>
      </c>
      <c r="AA33" s="1815" t="e">
        <f t="shared" si="3"/>
        <v>#N/A</v>
      </c>
      <c r="AB33" s="1815" t="e">
        <f t="shared" si="4"/>
        <v>#N/A</v>
      </c>
      <c r="AC33" s="1815" t="e">
        <f t="shared" si="5"/>
        <v>#N/A</v>
      </c>
    </row>
    <row r="34" spans="1:29" s="116" customFormat="1" ht="15">
      <c r="A34" s="473"/>
      <c r="B34" s="422" t="s">
        <v>2692</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51"/>
      <c r="Q34" s="1799" t="str">
        <f t="shared" si="11"/>
        <v>物业管理</v>
      </c>
      <c r="R34" s="770" t="s">
        <v>17</v>
      </c>
      <c r="S34" s="771">
        <f t="shared" si="12"/>
        <v>100</v>
      </c>
      <c r="T34" s="770" t="s">
        <v>17</v>
      </c>
      <c r="U34" s="771">
        <f t="shared" si="13"/>
        <v>100</v>
      </c>
      <c r="V34" s="770" t="s">
        <v>17</v>
      </c>
      <c r="W34" s="771">
        <f t="shared" si="14"/>
        <v>100</v>
      </c>
      <c r="X34" s="772"/>
      <c r="Y34" s="3251"/>
      <c r="Z34" s="54"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51" t="s">
        <v>2562</v>
      </c>
      <c r="Q35" s="1814" t="str">
        <f t="shared" si="11"/>
        <v>市政基础设施</v>
      </c>
      <c r="R35" s="774" t="s">
        <v>17</v>
      </c>
      <c r="S35" s="775">
        <f t="shared" si="12"/>
        <v>100</v>
      </c>
      <c r="T35" s="774" t="s">
        <v>17</v>
      </c>
      <c r="U35" s="775">
        <f t="shared" si="13"/>
        <v>100</v>
      </c>
      <c r="V35" s="774" t="s">
        <v>17</v>
      </c>
      <c r="W35" s="775">
        <f t="shared" si="14"/>
        <v>100</v>
      </c>
      <c r="X35" s="1817"/>
      <c r="Y35" s="3251" t="s">
        <v>2562</v>
      </c>
      <c r="Z35" s="1818" t="str">
        <f t="shared" si="15"/>
        <v>市政基础设施</v>
      </c>
      <c r="AA35" s="1815">
        <f t="shared" si="3"/>
        <v>1</v>
      </c>
      <c r="AB35" s="1815">
        <f t="shared" si="4"/>
        <v>1</v>
      </c>
      <c r="AC35" s="1815">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51"/>
      <c r="Q36" s="1814" t="str">
        <f t="shared" si="11"/>
        <v>内部装修</v>
      </c>
      <c r="R36" s="774" t="s">
        <v>17</v>
      </c>
      <c r="S36" s="775">
        <f t="shared" si="12"/>
        <v>100</v>
      </c>
      <c r="T36" s="774" t="s">
        <v>17</v>
      </c>
      <c r="U36" s="775">
        <f t="shared" si="13"/>
        <v>100</v>
      </c>
      <c r="V36" s="774" t="s">
        <v>17</v>
      </c>
      <c r="W36" s="775">
        <f t="shared" si="14"/>
        <v>100</v>
      </c>
      <c r="X36" s="1817"/>
      <c r="Y36" s="3251"/>
      <c r="Z36" s="1818" t="str">
        <f t="shared" si="15"/>
        <v>内部装修</v>
      </c>
      <c r="AA36" s="1815">
        <f t="shared" si="3"/>
        <v>1</v>
      </c>
      <c r="AB36" s="1815">
        <f t="shared" si="4"/>
        <v>1</v>
      </c>
      <c r="AC36" s="1815">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51"/>
      <c r="Q37" s="1814" t="str">
        <f t="shared" si="11"/>
        <v>内部装修状况</v>
      </c>
      <c r="R37" s="774" t="s">
        <v>17</v>
      </c>
      <c r="S37" s="775">
        <f t="shared" si="12"/>
        <v>100</v>
      </c>
      <c r="T37" s="774" t="s">
        <v>17</v>
      </c>
      <c r="U37" s="775">
        <f t="shared" si="13"/>
        <v>100</v>
      </c>
      <c r="V37" s="774" t="s">
        <v>17</v>
      </c>
      <c r="W37" s="775">
        <f t="shared" si="14"/>
        <v>100</v>
      </c>
      <c r="X37" s="1817"/>
      <c r="Y37" s="3251"/>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51"/>
      <c r="Q38" s="776">
        <f t="shared" si="11"/>
        <v>111</v>
      </c>
      <c r="R38" s="777" t="s">
        <v>17</v>
      </c>
      <c r="S38" s="778">
        <f t="shared" si="12"/>
        <v>100</v>
      </c>
      <c r="T38" s="777" t="s">
        <v>17</v>
      </c>
      <c r="U38" s="778">
        <f t="shared" si="13"/>
        <v>100</v>
      </c>
      <c r="V38" s="777" t="s">
        <v>17</v>
      </c>
      <c r="W38" s="778">
        <f t="shared" si="14"/>
        <v>100</v>
      </c>
      <c r="X38" s="779"/>
      <c r="Y38" s="3251"/>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51"/>
      <c r="Q39" s="1814">
        <f t="shared" si="11"/>
        <v>111</v>
      </c>
      <c r="R39" s="774" t="s">
        <v>17</v>
      </c>
      <c r="S39" s="775">
        <f t="shared" si="12"/>
        <v>100</v>
      </c>
      <c r="T39" s="774" t="s">
        <v>17</v>
      </c>
      <c r="U39" s="775">
        <f t="shared" si="13"/>
        <v>100</v>
      </c>
      <c r="V39" s="774" t="s">
        <v>17</v>
      </c>
      <c r="W39" s="775">
        <f t="shared" si="14"/>
        <v>100</v>
      </c>
      <c r="X39" s="1817"/>
      <c r="Y39" s="3251"/>
      <c r="Z39" s="1818">
        <f t="shared" si="15"/>
        <v>111</v>
      </c>
      <c r="AA39" s="1815">
        <f t="shared" si="3"/>
        <v>1</v>
      </c>
      <c r="AB39" s="1815">
        <f t="shared" si="4"/>
        <v>1</v>
      </c>
      <c r="AC39" s="1815">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2"/>
      <c r="Q40" s="1814">
        <f t="shared" si="11"/>
        <v>111</v>
      </c>
      <c r="R40" s="774" t="s">
        <v>17</v>
      </c>
      <c r="S40" s="775">
        <f t="shared" si="12"/>
        <v>100</v>
      </c>
      <c r="T40" s="774" t="s">
        <v>17</v>
      </c>
      <c r="U40" s="775">
        <f t="shared" si="13"/>
        <v>100</v>
      </c>
      <c r="V40" s="774" t="s">
        <v>17</v>
      </c>
      <c r="W40" s="775">
        <f t="shared" si="14"/>
        <v>100</v>
      </c>
      <c r="X40" s="1817"/>
      <c r="Y40" s="3252"/>
      <c r="Z40" s="1818">
        <f t="shared" si="15"/>
        <v>111</v>
      </c>
      <c r="AA40" s="1815">
        <f t="shared" si="3"/>
        <v>1</v>
      </c>
      <c r="AB40" s="1815">
        <f t="shared" si="4"/>
        <v>1</v>
      </c>
      <c r="AC40" s="1815">
        <f t="shared" si="5"/>
        <v>1</v>
      </c>
    </row>
    <row r="41" spans="1:29" ht="15">
      <c r="A41" s="479" t="s">
        <v>2574</v>
      </c>
      <c r="B41" s="480"/>
      <c r="C41" s="1410" t="s">
        <v>1</v>
      </c>
      <c r="D41" s="1411"/>
      <c r="E41" s="1412"/>
      <c r="F41" s="1413"/>
      <c r="G41" s="1414"/>
      <c r="H41" s="1415"/>
      <c r="I41" s="1412"/>
      <c r="J41" s="1415"/>
      <c r="K41" s="783"/>
      <c r="L41" s="1146"/>
      <c r="M41" s="1147"/>
      <c r="N41" s="1134"/>
      <c r="O41" s="1147"/>
      <c r="P41" s="3239" t="str">
        <f>A41</f>
        <v>成交单价（元/平方米）</v>
      </c>
      <c r="Q41" s="3239"/>
      <c r="R41" s="3240">
        <f>E41</f>
        <v>0</v>
      </c>
      <c r="S41" s="3240"/>
      <c r="T41" s="3240">
        <f>G41</f>
        <v>0</v>
      </c>
      <c r="U41" s="3240"/>
      <c r="V41" s="3240">
        <f>I41</f>
        <v>0</v>
      </c>
      <c r="W41" s="3240"/>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239" t="str">
        <f>A42</f>
        <v>比较价值（元/平方米）</v>
      </c>
      <c r="Q42" s="3239"/>
      <c r="R42" s="3240" t="e">
        <f>IF(F1="售价",ROUND(PRODUCT(R41,AA7:AA40),0),ROUND(PRODUCT(R41,AA7:AA40),1))</f>
        <v>#DIV/0!</v>
      </c>
      <c r="S42" s="3240"/>
      <c r="T42" s="3240" t="e">
        <f>IF(F1="售价",ROUND(PRODUCT(T41,AB7:AB40),0),ROUND(PRODUCT(T41,AB7:AB40),1))</f>
        <v>#DIV/0!</v>
      </c>
      <c r="U42" s="3240"/>
      <c r="V42" s="3240" t="e">
        <f>IF(F1="售价",ROUND(PRODUCT(V41,AC7:AC40),0),ROUND(PRODUCT(V41,AC7:AC40),1))</f>
        <v>#DIV/0!</v>
      </c>
      <c r="W42" s="3240"/>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340" t="str">
        <f>A43</f>
        <v>估价对象XX用房的比较价值（楼面单价，元/平方米）</v>
      </c>
      <c r="Q43" s="3341"/>
      <c r="R43" s="3342" t="e">
        <f>IF(F1="售价",ROUND(AVERAGE(R42:V42),0),ROUND(AVERAGE(R42:V42),1))</f>
        <v>#DIV/0!</v>
      </c>
      <c r="S43" s="3342"/>
      <c r="T43" s="3342"/>
      <c r="U43" s="3342"/>
      <c r="V43" s="3342"/>
      <c r="W43" s="334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6" customFormat="1" ht="15">
      <c r="A53" s="509"/>
      <c r="B53" s="510"/>
      <c r="C53" s="1577">
        <v>100</v>
      </c>
      <c r="D53" s="512"/>
      <c r="E53" s="512"/>
      <c r="F53" s="512"/>
      <c r="G53" s="512"/>
      <c r="H53" s="512"/>
      <c r="I53" s="512"/>
      <c r="J53" s="512"/>
      <c r="K53" s="512"/>
      <c r="L53" s="512"/>
      <c r="M53" s="513"/>
      <c r="N53" s="512"/>
      <c r="O53" s="514"/>
      <c r="P53" s="504"/>
    </row>
    <row r="54" spans="1:17" s="116" customFormat="1" ht="15.75" thickBot="1">
      <c r="A54" s="515" t="s">
        <v>2582</v>
      </c>
      <c r="B54" s="516"/>
      <c r="C54" s="517"/>
      <c r="D54" s="518"/>
      <c r="E54" s="518"/>
      <c r="F54" s="518"/>
      <c r="G54" s="518"/>
      <c r="H54" s="518"/>
      <c r="I54" s="518"/>
      <c r="J54" s="518"/>
      <c r="K54" s="518"/>
      <c r="L54" s="518"/>
      <c r="M54" s="519"/>
      <c r="N54" s="518"/>
      <c r="O54" s="520"/>
      <c r="P54" s="504"/>
      <c r="Q54" s="504"/>
    </row>
    <row r="55" spans="1:17" s="116" customFormat="1" ht="15">
      <c r="A55" s="521" t="s">
        <v>2547</v>
      </c>
      <c r="B55" s="510"/>
      <c r="C55" s="522" t="s">
        <v>2649</v>
      </c>
      <c r="D55" s="523"/>
      <c r="E55" s="523"/>
      <c r="F55" s="523"/>
      <c r="G55" s="523"/>
      <c r="H55" s="523"/>
      <c r="I55" s="523"/>
      <c r="J55" s="523"/>
      <c r="K55" s="523"/>
      <c r="L55" s="524"/>
      <c r="M55" s="525"/>
      <c r="N55" s="1154"/>
      <c r="O55" s="1154"/>
      <c r="P55" s="526"/>
      <c r="Q55" s="504"/>
    </row>
    <row r="56" spans="1:17" s="116"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4"/>
      <c r="Q57" s="504"/>
    </row>
    <row r="58" spans="1:17" ht="15.75" thickBot="1">
      <c r="A58" s="534"/>
      <c r="B58" s="535"/>
      <c r="C58" s="536">
        <v>100</v>
      </c>
      <c r="D58" s="536"/>
      <c r="E58" s="536"/>
      <c r="F58" s="536"/>
      <c r="G58" s="536"/>
      <c r="H58" s="536"/>
      <c r="I58" s="536"/>
      <c r="J58" s="536"/>
      <c r="K58" s="536"/>
      <c r="L58" s="536"/>
      <c r="M58" s="537"/>
      <c r="N58" s="1156"/>
      <c r="O58" s="1156"/>
      <c r="P58" s="44"/>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4"/>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4"/>
      <c r="Q61" s="504"/>
    </row>
    <row r="62" spans="1:17" ht="15">
      <c r="A62" s="534"/>
      <c r="B62" s="548"/>
      <c r="C62" s="549"/>
      <c r="D62" s="549"/>
      <c r="E62" s="549"/>
      <c r="F62" s="549"/>
      <c r="G62" s="549"/>
      <c r="H62" s="549"/>
      <c r="I62" s="549"/>
      <c r="J62" s="549"/>
      <c r="K62" s="550"/>
      <c r="L62" s="551"/>
      <c r="M62" s="552"/>
      <c r="N62" s="1155"/>
      <c r="O62" s="1155"/>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4"/>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4"/>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4"/>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4"/>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4"/>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4"/>
      <c r="Q79" s="504"/>
    </row>
    <row r="80" spans="1:17" s="116" customFormat="1" ht="15.75" thickTop="1">
      <c r="A80" s="579"/>
      <c r="B80" s="538">
        <f>B25</f>
        <v>111</v>
      </c>
      <c r="C80" s="554"/>
      <c r="D80" s="554"/>
      <c r="E80" s="554"/>
      <c r="F80" s="554"/>
      <c r="G80" s="554"/>
      <c r="H80" s="554"/>
      <c r="I80" s="554"/>
      <c r="J80" s="554"/>
      <c r="K80" s="554"/>
      <c r="L80" s="580"/>
      <c r="M80" s="581"/>
      <c r="N80" s="1154"/>
      <c r="O80" s="1154"/>
      <c r="P80" s="44"/>
      <c r="Q80" s="504"/>
    </row>
    <row r="81" spans="1:17" s="116" customFormat="1" ht="15.75" thickBot="1">
      <c r="A81" s="579"/>
      <c r="B81" s="543"/>
      <c r="C81" s="560"/>
      <c r="D81" s="536"/>
      <c r="E81" s="536"/>
      <c r="F81" s="536"/>
      <c r="G81" s="536"/>
      <c r="H81" s="536"/>
      <c r="I81" s="536"/>
      <c r="J81" s="536"/>
      <c r="K81" s="536"/>
      <c r="L81" s="536"/>
      <c r="M81" s="537"/>
      <c r="N81" s="1156"/>
      <c r="O81" s="1156"/>
      <c r="P81" s="44"/>
      <c r="Q81" s="504"/>
    </row>
    <row r="82" spans="1:17" s="116" customFormat="1" ht="15.75" thickTop="1">
      <c r="A82" s="579"/>
      <c r="B82" s="538">
        <f>B26</f>
        <v>111</v>
      </c>
      <c r="C82" s="554"/>
      <c r="D82" s="554"/>
      <c r="E82" s="554"/>
      <c r="F82" s="554"/>
      <c r="G82" s="554"/>
      <c r="H82" s="554"/>
      <c r="I82" s="554"/>
      <c r="J82" s="554"/>
      <c r="K82" s="554"/>
      <c r="L82" s="580"/>
      <c r="M82" s="581"/>
      <c r="N82" s="1154"/>
      <c r="O82" s="1154"/>
      <c r="P82" s="44"/>
      <c r="Q82" s="504"/>
    </row>
    <row r="83" spans="1:17" s="116" customFormat="1" ht="15.75" thickBot="1">
      <c r="A83" s="579"/>
      <c r="B83" s="543"/>
      <c r="C83" s="560"/>
      <c r="D83" s="536"/>
      <c r="E83" s="536"/>
      <c r="F83" s="536"/>
      <c r="G83" s="536"/>
      <c r="H83" s="536"/>
      <c r="I83" s="536"/>
      <c r="J83" s="536"/>
      <c r="K83" s="536"/>
      <c r="L83" s="536"/>
      <c r="M83" s="537"/>
      <c r="N83" s="1156"/>
      <c r="O83" s="1156"/>
      <c r="P83" s="44"/>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4"/>
      <c r="Q86" s="504"/>
    </row>
    <row r="87" spans="1:17" ht="15.75" thickBot="1">
      <c r="A87" s="2638"/>
      <c r="B87" s="569"/>
      <c r="C87" s="570"/>
      <c r="D87" s="570"/>
      <c r="E87" s="570"/>
      <c r="F87" s="570"/>
      <c r="G87" s="591"/>
      <c r="H87" s="591"/>
      <c r="I87" s="591"/>
      <c r="J87" s="591"/>
      <c r="K87" s="591"/>
      <c r="L87" s="591"/>
      <c r="M87" s="592"/>
      <c r="N87" s="1156"/>
      <c r="O87" s="1156"/>
      <c r="P87" s="44"/>
      <c r="Q87" s="504"/>
    </row>
    <row r="88" spans="1:17">
      <c r="A88" s="527" t="s">
        <v>2560</v>
      </c>
      <c r="B88" s="528" t="s">
        <v>2609</v>
      </c>
      <c r="C88" s="530"/>
      <c r="D88" s="530"/>
      <c r="E88" s="530"/>
      <c r="F88" s="530"/>
      <c r="G88" s="530"/>
      <c r="H88" s="530"/>
      <c r="I88" s="530"/>
      <c r="J88" s="530"/>
      <c r="K88" s="531"/>
      <c r="L88" s="532"/>
      <c r="M88" s="533"/>
      <c r="N88" s="1155"/>
      <c r="O88" s="1155"/>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4"/>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4"/>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4"/>
      <c r="Q94" s="504"/>
    </row>
    <row r="95" spans="1:17" ht="15" thickTop="1">
      <c r="A95" s="599"/>
      <c r="B95" s="538" t="s">
        <v>2613</v>
      </c>
      <c r="C95" s="554"/>
      <c r="D95" s="554"/>
      <c r="E95" s="554"/>
      <c r="F95" s="583"/>
      <c r="G95" s="583"/>
      <c r="H95" s="583"/>
      <c r="I95" s="583"/>
      <c r="J95" s="583"/>
      <c r="K95" s="584"/>
      <c r="L95" s="585"/>
      <c r="M95" s="586"/>
      <c r="N95" s="1155"/>
      <c r="O95" s="1155"/>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4"/>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4"/>
      <c r="Q97" s="504"/>
    </row>
    <row r="98" spans="1:17">
      <c r="A98" s="599"/>
      <c r="B98" s="546"/>
      <c r="C98" s="603">
        <v>0.5</v>
      </c>
      <c r="D98" s="603">
        <v>0.6</v>
      </c>
      <c r="E98" s="603">
        <v>0.7</v>
      </c>
      <c r="F98" s="603">
        <v>0.8</v>
      </c>
      <c r="G98" s="603">
        <v>0.9</v>
      </c>
      <c r="H98" s="603">
        <v>1.0001</v>
      </c>
      <c r="I98" s="623"/>
      <c r="J98" s="623"/>
      <c r="K98" s="624"/>
      <c r="L98" s="625"/>
      <c r="M98" s="626"/>
      <c r="N98" s="1155"/>
      <c r="O98" s="1155"/>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4"/>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4"/>
      <c r="Q103" s="504"/>
    </row>
    <row r="104" spans="1:17" ht="15" thickTop="1">
      <c r="A104" s="599"/>
      <c r="B104" s="538" t="s">
        <v>2617</v>
      </c>
      <c r="C104" s="554"/>
      <c r="D104" s="554"/>
      <c r="E104" s="554"/>
      <c r="F104" s="554"/>
      <c r="G104" s="554"/>
      <c r="H104" s="583"/>
      <c r="I104" s="583"/>
      <c r="J104" s="583"/>
      <c r="K104" s="584"/>
      <c r="L104" s="585"/>
      <c r="M104" s="586"/>
      <c r="N104" s="1155"/>
      <c r="O104" s="1155"/>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4"/>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4"/>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4"/>
      <c r="Q110" s="504"/>
    </row>
    <row r="111" spans="1:17" ht="15.75" thickBot="1">
      <c r="A111" s="534"/>
      <c r="B111" s="543"/>
      <c r="C111" s="560"/>
      <c r="D111" s="536"/>
      <c r="E111" s="536"/>
      <c r="F111" s="536"/>
      <c r="G111" s="560"/>
      <c r="H111" s="562"/>
      <c r="I111" s="562"/>
      <c r="J111" s="562"/>
      <c r="K111" s="562"/>
      <c r="L111" s="562"/>
      <c r="M111" s="563"/>
      <c r="N111" s="1156"/>
      <c r="O111" s="1156"/>
      <c r="P111" s="44"/>
      <c r="Q111" s="504"/>
    </row>
    <row r="112" spans="1:17" ht="15" thickTop="1">
      <c r="A112" s="599"/>
      <c r="B112" s="546">
        <f>B40</f>
        <v>111</v>
      </c>
      <c r="C112" s="523"/>
      <c r="D112" s="523"/>
      <c r="E112" s="523"/>
      <c r="F112" s="523"/>
      <c r="G112" s="587"/>
      <c r="H112" s="587"/>
      <c r="I112" s="587"/>
      <c r="J112" s="587"/>
      <c r="K112" s="523"/>
      <c r="L112" s="524"/>
      <c r="M112" s="590"/>
      <c r="N112" s="1155"/>
      <c r="O112" s="1155"/>
      <c r="P112" s="44"/>
      <c r="Q112" s="504"/>
    </row>
    <row r="113" spans="1:17" ht="15.75" thickBot="1">
      <c r="A113" s="2638"/>
      <c r="B113" s="569"/>
      <c r="C113" s="570"/>
      <c r="D113" s="570"/>
      <c r="E113" s="570"/>
      <c r="F113" s="570"/>
      <c r="G113" s="591"/>
      <c r="H113" s="591"/>
      <c r="I113" s="591"/>
      <c r="J113" s="591"/>
      <c r="K113" s="591"/>
      <c r="L113" s="591"/>
      <c r="M113" s="592"/>
      <c r="N113" s="1156"/>
      <c r="O113" s="1156"/>
      <c r="P113" s="44"/>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7" priority="16" stopIfTrue="1" operator="containsText" text="超过">
      <formula>NOT(ISERROR(SEARCH("超过",F46)))</formula>
    </cfRule>
  </conditionalFormatting>
  <conditionalFormatting sqref="H48">
    <cfRule type="containsText" dxfId="86" priority="15" stopIfTrue="1" operator="containsText" text="超过">
      <formula>NOT(ISERROR(SEARCH("超过",H48)))</formula>
    </cfRule>
  </conditionalFormatting>
  <conditionalFormatting sqref="F48">
    <cfRule type="containsText" dxfId="85" priority="14" stopIfTrue="1" operator="containsText" text="超过">
      <formula>NOT(ISERROR(SEARCH("超过",F48)))</formula>
    </cfRule>
  </conditionalFormatting>
  <conditionalFormatting sqref="F47 H47">
    <cfRule type="containsText" dxfId="84" priority="13" stopIfTrue="1" operator="containsText" text="超过">
      <formula>NOT(ISERROR(SEARCH("超过",F47)))</formula>
    </cfRule>
  </conditionalFormatting>
  <conditionalFormatting sqref="E46">
    <cfRule type="expression" dxfId="83" priority="12" stopIfTrue="1">
      <formula>$F$46="超过30%"</formula>
    </cfRule>
  </conditionalFormatting>
  <conditionalFormatting sqref="E47">
    <cfRule type="expression" dxfId="82" priority="11" stopIfTrue="1">
      <formula>$F$47="超过20%"</formula>
    </cfRule>
  </conditionalFormatting>
  <conditionalFormatting sqref="E48">
    <cfRule type="expression" dxfId="81" priority="10" stopIfTrue="1">
      <formula>$F$48="超过30%"</formula>
    </cfRule>
  </conditionalFormatting>
  <conditionalFormatting sqref="G48">
    <cfRule type="expression" dxfId="80" priority="9" stopIfTrue="1">
      <formula>$H$48="超过30%"</formula>
    </cfRule>
  </conditionalFormatting>
  <conditionalFormatting sqref="G46">
    <cfRule type="expression" dxfId="79" priority="8" stopIfTrue="1">
      <formula>$H$46="超过30%"</formula>
    </cfRule>
  </conditionalFormatting>
  <conditionalFormatting sqref="G47">
    <cfRule type="expression" dxfId="78" priority="7" stopIfTrue="1">
      <formula>$H$47="超过20%"</formula>
    </cfRule>
  </conditionalFormatting>
  <conditionalFormatting sqref="J46">
    <cfRule type="containsText" dxfId="77" priority="6" stopIfTrue="1" operator="containsText" text="超过">
      <formula>NOT(ISERROR(SEARCH("超过",J46)))</formula>
    </cfRule>
  </conditionalFormatting>
  <conditionalFormatting sqref="J48">
    <cfRule type="containsText" dxfId="76" priority="5" stopIfTrue="1" operator="containsText" text="超过">
      <formula>NOT(ISERROR(SEARCH("超过",J48)))</formula>
    </cfRule>
  </conditionalFormatting>
  <conditionalFormatting sqref="J47">
    <cfRule type="containsText" dxfId="75" priority="4" stopIfTrue="1" operator="containsText" text="超过">
      <formula>NOT(ISERROR(SEARCH("超过",J47)))</formula>
    </cfRule>
  </conditionalFormatting>
  <conditionalFormatting sqref="I46">
    <cfRule type="expression" dxfId="74" priority="3" stopIfTrue="1">
      <formula>$J$46="超过30%"</formula>
    </cfRule>
  </conditionalFormatting>
  <conditionalFormatting sqref="I47">
    <cfRule type="expression" dxfId="73" priority="2" stopIfTrue="1">
      <formula>$J$47="超过20%"</formula>
    </cfRule>
  </conditionalFormatting>
  <conditionalFormatting sqref="I48">
    <cfRule type="expression" dxfId="7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2704</v>
      </c>
      <c r="B1" s="1623"/>
      <c r="C1" s="1624" t="s">
        <v>2527</v>
      </c>
      <c r="D1" s="1625"/>
      <c r="E1" s="1626"/>
      <c r="F1" s="2586"/>
      <c r="G1" s="1627" t="s">
        <v>2640</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2324</v>
      </c>
      <c r="B2" s="1421" t="e">
        <f ca="1">IF(C2="——",IF(B37="元/平方米",ROUND(C39*D3/10000,0),ROUND(F3*C39/10000,0)),IF(B37="元/平方米",ROUND(C39*D3/10000,0),ROUND(F3*C39/10000,0))-D2)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56" t="s">
        <v>2643</v>
      </c>
      <c r="D4" s="3257"/>
      <c r="E4" s="3258" t="s">
        <v>2644</v>
      </c>
      <c r="F4" s="3259"/>
      <c r="G4" s="3256" t="s">
        <v>2645</v>
      </c>
      <c r="H4" s="3257"/>
      <c r="I4" s="3256" t="s">
        <v>2646</v>
      </c>
      <c r="J4" s="3257"/>
      <c r="K4" s="610" t="s">
        <v>2647</v>
      </c>
      <c r="L4" s="1133"/>
      <c r="M4" s="1134"/>
      <c r="N4" s="1134"/>
      <c r="O4" s="1134"/>
      <c r="P4" s="3344" t="s">
        <v>2648</v>
      </c>
      <c r="Q4" s="3345"/>
      <c r="R4" s="3348" t="s">
        <v>2644</v>
      </c>
      <c r="S4" s="3349"/>
      <c r="T4" s="3348" t="s">
        <v>2645</v>
      </c>
      <c r="U4" s="3349"/>
      <c r="V4" s="3273" t="s">
        <v>2646</v>
      </c>
      <c r="W4" s="3273"/>
      <c r="X4" s="1817"/>
      <c r="Y4" s="3348" t="s">
        <v>2648</v>
      </c>
      <c r="Z4" s="3349"/>
      <c r="AA4" s="3343" t="s">
        <v>2644</v>
      </c>
      <c r="AB4" s="3286" t="s">
        <v>2645</v>
      </c>
      <c r="AC4" s="3343" t="s">
        <v>2646</v>
      </c>
    </row>
    <row r="5" spans="1:29" ht="15">
      <c r="A5" s="404"/>
      <c r="B5" s="405"/>
      <c r="C5" s="3282" t="s">
        <v>2539</v>
      </c>
      <c r="D5" s="3277"/>
      <c r="E5" s="3350" t="s">
        <v>2540</v>
      </c>
      <c r="F5" s="3289"/>
      <c r="G5" s="3282" t="s">
        <v>2541</v>
      </c>
      <c r="H5" s="3277"/>
      <c r="I5" s="3282" t="s">
        <v>2542</v>
      </c>
      <c r="J5" s="3277"/>
      <c r="K5" s="610"/>
      <c r="L5" s="1133"/>
      <c r="M5" s="1134"/>
      <c r="N5" s="1134"/>
      <c r="O5" s="1134"/>
      <c r="P5" s="3346"/>
      <c r="Q5" s="3263"/>
      <c r="R5" s="3268"/>
      <c r="S5" s="3269"/>
      <c r="T5" s="3268"/>
      <c r="U5" s="3269"/>
      <c r="V5" s="3273"/>
      <c r="W5" s="3273"/>
      <c r="X5" s="1817"/>
      <c r="Y5" s="3268"/>
      <c r="Z5" s="3269"/>
      <c r="AA5" s="3286"/>
      <c r="AB5" s="3286"/>
      <c r="AC5" s="3286"/>
    </row>
    <row r="6" spans="1:29" ht="15.75" thickBot="1">
      <c r="A6" s="406"/>
      <c r="B6" s="407"/>
      <c r="C6" s="3274" t="s">
        <v>2543</v>
      </c>
      <c r="D6" s="3275"/>
      <c r="E6" s="3283" t="s">
        <v>2543</v>
      </c>
      <c r="F6" s="3284"/>
      <c r="G6" s="3274" t="s">
        <v>2543</v>
      </c>
      <c r="H6" s="3275"/>
      <c r="I6" s="3274" t="s">
        <v>2543</v>
      </c>
      <c r="J6" s="3275"/>
      <c r="K6" s="610" t="s">
        <v>2544</v>
      </c>
      <c r="L6" s="1133"/>
      <c r="M6" s="1134"/>
      <c r="N6" s="1134"/>
      <c r="O6" s="1134"/>
      <c r="P6" s="3347"/>
      <c r="Q6" s="3265"/>
      <c r="R6" s="3268"/>
      <c r="S6" s="3269"/>
      <c r="T6" s="3270"/>
      <c r="U6" s="3271"/>
      <c r="V6" s="3273"/>
      <c r="W6" s="3273"/>
      <c r="X6" s="1817"/>
      <c r="Y6" s="3270"/>
      <c r="Z6" s="3271"/>
      <c r="AA6" s="3287"/>
      <c r="AB6" s="3287"/>
      <c r="AC6" s="3287"/>
    </row>
    <row r="7" spans="1:29" s="116" customFormat="1" ht="15.75" thickBot="1">
      <c r="A7" s="408" t="s">
        <v>2545</v>
      </c>
      <c r="B7" s="409"/>
      <c r="C7" s="410">
        <f>'数据-取费表'!B2</f>
        <v>43047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80" t="s">
        <v>2546</v>
      </c>
      <c r="Q7" s="3281"/>
      <c r="R7" s="770" t="s">
        <v>17</v>
      </c>
      <c r="S7" s="771">
        <f t="shared" ref="S7:S14" si="0">F7</f>
        <v>0</v>
      </c>
      <c r="T7" s="770" t="s">
        <v>17</v>
      </c>
      <c r="U7" s="771">
        <f t="shared" ref="U7:U14" si="1">H7</f>
        <v>0</v>
      </c>
      <c r="V7" s="770" t="s">
        <v>17</v>
      </c>
      <c r="W7" s="771">
        <f t="shared" ref="W7:W14" si="2">J7</f>
        <v>0</v>
      </c>
      <c r="X7" s="772"/>
      <c r="Y7" s="3280" t="s">
        <v>2546</v>
      </c>
      <c r="Z7" s="3279"/>
      <c r="AA7" s="773" t="e">
        <f>D7/F7</f>
        <v>#DIV/0!</v>
      </c>
      <c r="AB7" s="773" t="e">
        <f>D7/H7</f>
        <v>#DIV/0!</v>
      </c>
      <c r="AC7" s="773" t="e">
        <f>D7/J7</f>
        <v>#DIV/0!</v>
      </c>
    </row>
    <row r="8" spans="1:29" s="116"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80" t="s">
        <v>2549</v>
      </c>
      <c r="Q8" s="3279"/>
      <c r="R8" s="770" t="s">
        <v>17</v>
      </c>
      <c r="S8" s="771">
        <f t="shared" si="0"/>
        <v>0</v>
      </c>
      <c r="T8" s="770" t="s">
        <v>17</v>
      </c>
      <c r="U8" s="771">
        <f t="shared" si="1"/>
        <v>0</v>
      </c>
      <c r="V8" s="770" t="s">
        <v>17</v>
      </c>
      <c r="W8" s="771">
        <f t="shared" si="2"/>
        <v>0</v>
      </c>
      <c r="X8" s="772"/>
      <c r="Y8" s="3280" t="s">
        <v>2549</v>
      </c>
      <c r="Z8" s="3279"/>
      <c r="AA8" s="773" t="e">
        <f t="shared" ref="AA8:AA36" si="3">D8/F8</f>
        <v>#DIV/0!</v>
      </c>
      <c r="AB8" s="773" t="e">
        <f t="shared" ref="AB8:AB36" si="4">D8/H8</f>
        <v>#DIV/0!</v>
      </c>
      <c r="AC8" s="773" t="e">
        <f t="shared" ref="AC8:AC36" si="5">D8/J8</f>
        <v>#DIV/0!</v>
      </c>
    </row>
    <row r="9" spans="1:29" s="116" customFormat="1">
      <c r="A9" s="67" t="s">
        <v>2550</v>
      </c>
      <c r="B9" s="640" t="s">
        <v>2551</v>
      </c>
      <c r="C9" s="416"/>
      <c r="D9" s="134">
        <v>100</v>
      </c>
      <c r="E9" s="419"/>
      <c r="F9" s="134">
        <f>SUMIF(53:53,E9,54:54)-SUMIF(53:53,C9,54:54)+100</f>
        <v>100</v>
      </c>
      <c r="G9" s="417"/>
      <c r="H9" s="134">
        <f>SUMIF(53:53,G9,54:54)-SUMIF(53:53,C9,54:54)+100</f>
        <v>100</v>
      </c>
      <c r="I9" s="417"/>
      <c r="J9" s="134">
        <f>SUMIF(53:53,I9,54:54)-SUMIF(53:53,C9,54:54)+100</f>
        <v>100</v>
      </c>
      <c r="K9" s="611"/>
      <c r="L9" s="1135"/>
      <c r="M9" s="1136"/>
      <c r="N9" s="1136"/>
      <c r="O9" s="1136"/>
      <c r="P9" s="3239" t="s">
        <v>2552</v>
      </c>
      <c r="Q9" s="1799" t="str">
        <f t="shared" ref="Q9:Q14" si="6">B9</f>
        <v>用途</v>
      </c>
      <c r="R9" s="770" t="s">
        <v>17</v>
      </c>
      <c r="S9" s="771">
        <f t="shared" si="0"/>
        <v>100</v>
      </c>
      <c r="T9" s="770" t="s">
        <v>17</v>
      </c>
      <c r="U9" s="771">
        <f t="shared" si="1"/>
        <v>100</v>
      </c>
      <c r="V9" s="770" t="s">
        <v>17</v>
      </c>
      <c r="W9" s="771">
        <f t="shared" si="2"/>
        <v>100</v>
      </c>
      <c r="X9" s="772"/>
      <c r="Y9" s="3096" t="s">
        <v>2553</v>
      </c>
      <c r="Z9" s="54" t="str">
        <f t="shared" ref="Z9:Z14" si="7">Q9</f>
        <v>用途</v>
      </c>
      <c r="AA9" s="773">
        <f t="shared" si="3"/>
        <v>1</v>
      </c>
      <c r="AB9" s="773">
        <f t="shared" si="4"/>
        <v>1</v>
      </c>
      <c r="AC9" s="773">
        <f t="shared" si="5"/>
        <v>1</v>
      </c>
    </row>
    <row r="10" spans="1:29" s="427" customFormat="1" ht="27">
      <c r="A10" s="641"/>
      <c r="B10" s="642" t="s">
        <v>2554</v>
      </c>
      <c r="C10" s="423"/>
      <c r="D10" s="135">
        <v>100</v>
      </c>
      <c r="E10" s="423"/>
      <c r="F10" s="135">
        <f>SUMIF(55:55,E10,56:56)-SUMIF(55:55,C10,56:56)+100</f>
        <v>100</v>
      </c>
      <c r="G10" s="424"/>
      <c r="H10" s="135">
        <f>SUMIF(55:55,G10,56:56)-SUMIF(55:55,C10,56:56)+100</f>
        <v>100</v>
      </c>
      <c r="I10" s="423"/>
      <c r="J10" s="135">
        <f>SUMIF(55:55,I10,56:56)-SUMIF(55:55,C10,56:56)+100</f>
        <v>100</v>
      </c>
      <c r="K10" s="612"/>
      <c r="L10" s="1138"/>
      <c r="M10" s="1139"/>
      <c r="N10" s="1139"/>
      <c r="O10" s="1139"/>
      <c r="P10" s="3239"/>
      <c r="Q10" s="1799" t="str">
        <f t="shared" si="6"/>
        <v>土地使用年限（年）</v>
      </c>
      <c r="R10" s="770" t="s">
        <v>17</v>
      </c>
      <c r="S10" s="771">
        <f t="shared" si="0"/>
        <v>100</v>
      </c>
      <c r="T10" s="770" t="s">
        <v>17</v>
      </c>
      <c r="U10" s="771">
        <f t="shared" si="1"/>
        <v>100</v>
      </c>
      <c r="V10" s="770" t="s">
        <v>17</v>
      </c>
      <c r="W10" s="771">
        <f t="shared" si="2"/>
        <v>100</v>
      </c>
      <c r="X10" s="772"/>
      <c r="Y10" s="3096"/>
      <c r="Z10" s="54"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41"/>
      <c r="M11" s="1134"/>
      <c r="N11" s="1134"/>
      <c r="O11" s="1134"/>
      <c r="P11" s="3239"/>
      <c r="Q11" s="1799">
        <f t="shared" si="6"/>
        <v>111</v>
      </c>
      <c r="R11" s="770" t="s">
        <v>17</v>
      </c>
      <c r="S11" s="771">
        <f t="shared" si="0"/>
        <v>100</v>
      </c>
      <c r="T11" s="770" t="s">
        <v>17</v>
      </c>
      <c r="U11" s="771">
        <f t="shared" si="1"/>
        <v>100</v>
      </c>
      <c r="V11" s="770" t="s">
        <v>17</v>
      </c>
      <c r="W11" s="771">
        <f t="shared" si="2"/>
        <v>100</v>
      </c>
      <c r="X11" s="772"/>
      <c r="Y11" s="3096"/>
      <c r="Z11" s="54">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5"/>
      <c r="M12" s="1136"/>
      <c r="N12" s="1136"/>
      <c r="O12" s="1136"/>
      <c r="P12" s="3239"/>
      <c r="Q12" s="1799">
        <f t="shared" si="6"/>
        <v>111</v>
      </c>
      <c r="R12" s="770" t="s">
        <v>17</v>
      </c>
      <c r="S12" s="771">
        <f t="shared" si="0"/>
        <v>100</v>
      </c>
      <c r="T12" s="770" t="s">
        <v>17</v>
      </c>
      <c r="U12" s="771">
        <f t="shared" si="1"/>
        <v>100</v>
      </c>
      <c r="V12" s="770" t="s">
        <v>17</v>
      </c>
      <c r="W12" s="771">
        <f t="shared" si="2"/>
        <v>100</v>
      </c>
      <c r="X12" s="772"/>
      <c r="Y12" s="3096"/>
      <c r="Z12" s="54">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3"/>
      <c r="M13" s="1134"/>
      <c r="N13" s="1134"/>
      <c r="O13" s="1134"/>
      <c r="P13" s="3239"/>
      <c r="Q13" s="1799">
        <f t="shared" si="6"/>
        <v>111</v>
      </c>
      <c r="R13" s="770" t="s">
        <v>17</v>
      </c>
      <c r="S13" s="771">
        <f t="shared" si="0"/>
        <v>100</v>
      </c>
      <c r="T13" s="770" t="s">
        <v>17</v>
      </c>
      <c r="U13" s="771">
        <f t="shared" si="1"/>
        <v>100</v>
      </c>
      <c r="V13" s="770" t="s">
        <v>17</v>
      </c>
      <c r="W13" s="771">
        <f t="shared" si="2"/>
        <v>100</v>
      </c>
      <c r="X13" s="772"/>
      <c r="Y13" s="3096"/>
      <c r="Z13" s="54">
        <f t="shared" si="7"/>
        <v>111</v>
      </c>
      <c r="AA13" s="773">
        <f t="shared" si="3"/>
        <v>1</v>
      </c>
      <c r="AB13" s="773">
        <f t="shared" si="4"/>
        <v>1</v>
      </c>
      <c r="AC13" s="773">
        <f t="shared" si="5"/>
        <v>1</v>
      </c>
    </row>
    <row r="14" spans="1:29" ht="128.25">
      <c r="A14" s="401" t="s">
        <v>2556</v>
      </c>
      <c r="B14" s="629" t="s">
        <v>2706</v>
      </c>
      <c r="C14" s="2695" t="str">
        <f>IF(B1="工业",估价对象房地状况!G4,估价对象房地状况!C6)</f>
        <v>估价对象周边有113路、115路、117路等多条公交线路，有地铁团结湖站，路网较密集，停车便捷程度较好，综合评价交通便捷度较好。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46" t="s">
        <v>2557</v>
      </c>
      <c r="Q14" s="1814" t="str">
        <f t="shared" si="6"/>
        <v>交通便捷度</v>
      </c>
      <c r="R14" s="774" t="s">
        <v>17</v>
      </c>
      <c r="S14" s="775">
        <f t="shared" si="0"/>
        <v>100</v>
      </c>
      <c r="T14" s="774" t="s">
        <v>17</v>
      </c>
      <c r="U14" s="775">
        <f t="shared" si="1"/>
        <v>100</v>
      </c>
      <c r="V14" s="774" t="s">
        <v>17</v>
      </c>
      <c r="W14" s="775">
        <f t="shared" si="2"/>
        <v>100</v>
      </c>
      <c r="X14" s="1817"/>
      <c r="Y14" s="3246" t="s">
        <v>2557</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247"/>
      <c r="Q15" s="1814"/>
      <c r="R15" s="774"/>
      <c r="S15" s="775"/>
      <c r="T15" s="774"/>
      <c r="U15" s="775"/>
      <c r="V15" s="774"/>
      <c r="W15" s="775"/>
      <c r="X15" s="1817"/>
      <c r="Y15" s="3247"/>
      <c r="Z15" s="1818"/>
      <c r="AA15" s="1815">
        <v>1</v>
      </c>
      <c r="AB15" s="1815">
        <v>1</v>
      </c>
      <c r="AC15" s="1815">
        <v>1</v>
      </c>
    </row>
    <row r="16" spans="1:29" ht="199.5">
      <c r="A16" s="404"/>
      <c r="B16" s="631" t="s">
        <v>2685</v>
      </c>
      <c r="C16" s="2609" t="str">
        <f>IF(B1="工业",估价对象房地状况!G5,估价对象房地状况!C7)</f>
        <v>估价对象所在区域有银行（中国银行长虹桥支行）、医院（武警北京总队医院）、超市（京客隆三里屯店）、学校（北京市朝阳区白家庄小学）、餐饮（石塘嘴）等公共配套设施，公共配套设施齐备情况较好。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7"/>
      <c r="Q16" s="1814" t="str">
        <f>B16</f>
        <v>公共配套设施</v>
      </c>
      <c r="R16" s="774" t="s">
        <v>17</v>
      </c>
      <c r="S16" s="775">
        <f>F16</f>
        <v>100</v>
      </c>
      <c r="T16" s="774" t="s">
        <v>17</v>
      </c>
      <c r="U16" s="775">
        <f>H16</f>
        <v>100</v>
      </c>
      <c r="V16" s="774" t="s">
        <v>17</v>
      </c>
      <c r="W16" s="775">
        <f>J16</f>
        <v>100</v>
      </c>
      <c r="X16" s="1817"/>
      <c r="Y16" s="3247"/>
      <c r="Z16" s="1818" t="str">
        <f>Q16</f>
        <v>公共配套设施</v>
      </c>
      <c r="AA16" s="1815">
        <f t="shared" si="3"/>
        <v>1</v>
      </c>
      <c r="AB16" s="1815">
        <f t="shared" si="4"/>
        <v>1</v>
      </c>
      <c r="AC16" s="1815">
        <f t="shared" si="5"/>
        <v>1</v>
      </c>
    </row>
    <row r="17" spans="1:29" ht="15">
      <c r="A17" s="404"/>
      <c r="B17" s="632"/>
      <c r="C17" s="2610"/>
      <c r="D17" s="448"/>
      <c r="E17" s="447"/>
      <c r="F17" s="449"/>
      <c r="G17" s="447"/>
      <c r="H17" s="448"/>
      <c r="I17" s="447"/>
      <c r="J17" s="448"/>
      <c r="K17" s="615"/>
      <c r="L17" s="1143"/>
      <c r="M17" s="1134"/>
      <c r="N17" s="1134"/>
      <c r="O17" s="1134"/>
      <c r="P17" s="3247"/>
      <c r="Q17" s="1814"/>
      <c r="R17" s="774"/>
      <c r="S17" s="775"/>
      <c r="T17" s="774"/>
      <c r="U17" s="775"/>
      <c r="V17" s="774"/>
      <c r="W17" s="775"/>
      <c r="X17" s="1817"/>
      <c r="Y17" s="3247"/>
      <c r="Z17" s="1818"/>
      <c r="AA17" s="1815">
        <v>1</v>
      </c>
      <c r="AB17" s="1815">
        <v>1</v>
      </c>
      <c r="AC17" s="1815">
        <v>1</v>
      </c>
    </row>
    <row r="18" spans="1:29" ht="42.75">
      <c r="A18" s="404"/>
      <c r="B18" s="633" t="s">
        <v>2686</v>
      </c>
      <c r="C18" s="2609"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7"/>
      <c r="Q18" s="1814" t="str">
        <f>B18</f>
        <v>基础设施水平</v>
      </c>
      <c r="R18" s="774" t="s">
        <v>17</v>
      </c>
      <c r="S18" s="775">
        <f>F18</f>
        <v>100</v>
      </c>
      <c r="T18" s="774" t="s">
        <v>17</v>
      </c>
      <c r="U18" s="775">
        <f>H18</f>
        <v>100</v>
      </c>
      <c r="V18" s="774" t="s">
        <v>17</v>
      </c>
      <c r="W18" s="775">
        <f>J18</f>
        <v>100</v>
      </c>
      <c r="X18" s="1817"/>
      <c r="Y18" s="3247"/>
      <c r="Z18" s="1818" t="str">
        <f>Q18</f>
        <v>基础设施水平</v>
      </c>
      <c r="AA18" s="1815">
        <f t="shared" ref="AA18" si="8">D18/F18</f>
        <v>1</v>
      </c>
      <c r="AB18" s="1815">
        <f t="shared" ref="AB18" si="9">D18/H18</f>
        <v>1</v>
      </c>
      <c r="AC18" s="1815">
        <f t="shared" ref="AC18" si="10">D18/J18</f>
        <v>1</v>
      </c>
    </row>
    <row r="19" spans="1:29" ht="15">
      <c r="A19" s="404"/>
      <c r="B19" s="633"/>
      <c r="C19" s="2610"/>
      <c r="D19" s="450"/>
      <c r="E19" s="2610"/>
      <c r="F19" s="453"/>
      <c r="G19" s="2610"/>
      <c r="H19" s="448"/>
      <c r="I19" s="447"/>
      <c r="J19" s="448"/>
      <c r="K19" s="1386"/>
      <c r="L19" s="1143"/>
      <c r="M19" s="1134"/>
      <c r="N19" s="1134"/>
      <c r="O19" s="1134"/>
      <c r="P19" s="3247"/>
      <c r="Q19" s="1814"/>
      <c r="R19" s="774"/>
      <c r="S19" s="775"/>
      <c r="T19" s="774"/>
      <c r="U19" s="775"/>
      <c r="V19" s="774"/>
      <c r="W19" s="775"/>
      <c r="X19" s="1817"/>
      <c r="Y19" s="3247"/>
      <c r="Z19" s="1818"/>
      <c r="AA19" s="1815">
        <v>1</v>
      </c>
      <c r="AB19" s="1815">
        <v>1</v>
      </c>
      <c r="AC19" s="1815">
        <v>1</v>
      </c>
    </row>
    <row r="20" spans="1:29" ht="142.5">
      <c r="A20" s="404"/>
      <c r="B20" s="631" t="s">
        <v>2707</v>
      </c>
      <c r="C20" s="2609" t="str">
        <f>IF(B1="工业",估价对象房地状况!G7,估价对象房地状况!C9)</f>
        <v>估价对象所在区域有团结湖公园，自然情况较好；有农业展览馆、北京联合大学机电学院等人文设施，人文情况较好；综合评价自然及人文环境较好。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7"/>
      <c r="Q20" s="1814" t="str">
        <f>B20</f>
        <v>自然及人文环境</v>
      </c>
      <c r="R20" s="774" t="s">
        <v>17</v>
      </c>
      <c r="S20" s="775">
        <f>F20</f>
        <v>100</v>
      </c>
      <c r="T20" s="774" t="s">
        <v>17</v>
      </c>
      <c r="U20" s="775">
        <f>H20</f>
        <v>100</v>
      </c>
      <c r="V20" s="774" t="s">
        <v>17</v>
      </c>
      <c r="W20" s="775">
        <f>J20</f>
        <v>100</v>
      </c>
      <c r="X20" s="1817"/>
      <c r="Y20" s="3247"/>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247"/>
      <c r="Q21" s="1814"/>
      <c r="R21" s="774"/>
      <c r="S21" s="775"/>
      <c r="T21" s="774"/>
      <c r="U21" s="775"/>
      <c r="V21" s="774"/>
      <c r="W21" s="775"/>
      <c r="X21" s="1817"/>
      <c r="Y21" s="3247"/>
      <c r="Z21" s="1818"/>
      <c r="AA21" s="1815">
        <v>1</v>
      </c>
      <c r="AB21" s="1815">
        <v>1</v>
      </c>
      <c r="AC21" s="1815">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7"/>
      <c r="Q22" s="1814" t="str">
        <f>B22</f>
        <v>楼层</v>
      </c>
      <c r="R22" s="774" t="s">
        <v>17</v>
      </c>
      <c r="S22" s="775">
        <f>F22</f>
        <v>100</v>
      </c>
      <c r="T22" s="774" t="s">
        <v>17</v>
      </c>
      <c r="U22" s="775">
        <f>H22</f>
        <v>100</v>
      </c>
      <c r="V22" s="774" t="s">
        <v>17</v>
      </c>
      <c r="W22" s="775">
        <f>J22</f>
        <v>100</v>
      </c>
      <c r="X22" s="1817"/>
      <c r="Y22" s="3247"/>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7"/>
      <c r="Q23" s="1814">
        <f>B23</f>
        <v>111</v>
      </c>
      <c r="R23" s="774" t="s">
        <v>17</v>
      </c>
      <c r="S23" s="775">
        <f>F23</f>
        <v>100</v>
      </c>
      <c r="T23" s="774" t="s">
        <v>17</v>
      </c>
      <c r="U23" s="775">
        <f>H23</f>
        <v>100</v>
      </c>
      <c r="V23" s="774" t="s">
        <v>17</v>
      </c>
      <c r="W23" s="775">
        <f>J23</f>
        <v>100</v>
      </c>
      <c r="X23" s="1817"/>
      <c r="Y23" s="3247"/>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7"/>
      <c r="Q24" s="1814">
        <f t="shared" ref="Q24:Q36" si="11">B24</f>
        <v>111</v>
      </c>
      <c r="R24" s="774" t="s">
        <v>17</v>
      </c>
      <c r="S24" s="775">
        <f>F24</f>
        <v>100</v>
      </c>
      <c r="T24" s="774" t="s">
        <v>17</v>
      </c>
      <c r="U24" s="775">
        <f>H24</f>
        <v>100</v>
      </c>
      <c r="V24" s="774" t="s">
        <v>17</v>
      </c>
      <c r="W24" s="775">
        <f>J24</f>
        <v>100</v>
      </c>
      <c r="X24" s="1817"/>
      <c r="Y24" s="3247"/>
      <c r="Z24" s="1818">
        <f>Q24</f>
        <v>111</v>
      </c>
      <c r="AA24" s="1815">
        <f t="shared" si="3"/>
        <v>1</v>
      </c>
      <c r="AB24" s="1815">
        <f t="shared" si="4"/>
        <v>1</v>
      </c>
      <c r="AC24" s="1815">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7"/>
      <c r="Q25" s="1799">
        <f t="shared" si="11"/>
        <v>111</v>
      </c>
      <c r="R25" s="770" t="s">
        <v>17</v>
      </c>
      <c r="S25" s="771">
        <f>F25</f>
        <v>100</v>
      </c>
      <c r="T25" s="770" t="s">
        <v>17</v>
      </c>
      <c r="U25" s="771">
        <f>H25</f>
        <v>100</v>
      </c>
      <c r="V25" s="770" t="s">
        <v>17</v>
      </c>
      <c r="W25" s="771">
        <f>J25</f>
        <v>100</v>
      </c>
      <c r="X25" s="772"/>
      <c r="Y25" s="3247"/>
      <c r="Z25" s="54">
        <f>Q25</f>
        <v>111</v>
      </c>
      <c r="AA25" s="1815">
        <f>D25/F25</f>
        <v>1</v>
      </c>
      <c r="AB25" s="1815">
        <f>D25/H25</f>
        <v>1</v>
      </c>
      <c r="AC25" s="1815">
        <f>D25/J25</f>
        <v>1</v>
      </c>
    </row>
    <row r="26" spans="1:29" ht="15">
      <c r="A26" s="652" t="s">
        <v>2560</v>
      </c>
      <c r="B26" s="69" t="s">
        <v>2709</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51" t="s">
        <v>2562</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251" t="s">
        <v>2562</v>
      </c>
      <c r="Z26" s="1818" t="str">
        <f t="shared" ref="Z26:Z36" si="15">Q26</f>
        <v>配套类型</v>
      </c>
      <c r="AA26" s="1815">
        <f t="shared" si="3"/>
        <v>1</v>
      </c>
      <c r="AB26" s="1815">
        <f t="shared" si="4"/>
        <v>1</v>
      </c>
      <c r="AC26" s="1815">
        <f t="shared" si="5"/>
        <v>1</v>
      </c>
    </row>
    <row r="27" spans="1:29" s="471" customFormat="1" ht="15">
      <c r="A27" s="653"/>
      <c r="B27" s="654" t="s">
        <v>2710</v>
      </c>
      <c r="C27" s="655"/>
      <c r="D27" s="135">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51"/>
      <c r="Q27" s="776" t="str">
        <f t="shared" si="11"/>
        <v>项目停车位配比</v>
      </c>
      <c r="R27" s="777" t="s">
        <v>17</v>
      </c>
      <c r="S27" s="778">
        <f t="shared" si="12"/>
        <v>100</v>
      </c>
      <c r="T27" s="777" t="s">
        <v>17</v>
      </c>
      <c r="U27" s="778">
        <f t="shared" si="13"/>
        <v>100</v>
      </c>
      <c r="V27" s="777" t="s">
        <v>17</v>
      </c>
      <c r="W27" s="778">
        <f t="shared" si="14"/>
        <v>100</v>
      </c>
      <c r="X27" s="779"/>
      <c r="Y27" s="3251"/>
      <c r="Z27" s="780" t="str">
        <f t="shared" si="15"/>
        <v>项目停车位配比</v>
      </c>
      <c r="AA27" s="1815">
        <f t="shared" si="3"/>
        <v>1</v>
      </c>
      <c r="AB27" s="1815">
        <f t="shared" si="4"/>
        <v>1</v>
      </c>
      <c r="AC27" s="1815">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51"/>
      <c r="Q28" s="1814" t="str">
        <f t="shared" si="11"/>
        <v>公共部分装修</v>
      </c>
      <c r="R28" s="774" t="s">
        <v>17</v>
      </c>
      <c r="S28" s="775">
        <f t="shared" si="12"/>
        <v>100</v>
      </c>
      <c r="T28" s="774" t="s">
        <v>17</v>
      </c>
      <c r="U28" s="775">
        <f t="shared" si="13"/>
        <v>100</v>
      </c>
      <c r="V28" s="774" t="s">
        <v>17</v>
      </c>
      <c r="W28" s="775">
        <f t="shared" si="14"/>
        <v>100</v>
      </c>
      <c r="X28" s="1817"/>
      <c r="Y28" s="3251"/>
      <c r="Z28" s="1818" t="str">
        <f t="shared" si="15"/>
        <v>公共部分装修</v>
      </c>
      <c r="AA28" s="1815">
        <f t="shared" si="3"/>
        <v>1</v>
      </c>
      <c r="AB28" s="1815">
        <f t="shared" si="4"/>
        <v>1</v>
      </c>
      <c r="AC28" s="1815">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51"/>
      <c r="Q29" s="1814" t="str">
        <f t="shared" si="11"/>
        <v>成新率</v>
      </c>
      <c r="R29" s="774" t="s">
        <v>17</v>
      </c>
      <c r="S29" s="775" t="e">
        <f t="shared" si="12"/>
        <v>#N/A</v>
      </c>
      <c r="T29" s="774" t="s">
        <v>17</v>
      </c>
      <c r="U29" s="775" t="e">
        <f t="shared" si="13"/>
        <v>#N/A</v>
      </c>
      <c r="V29" s="774" t="s">
        <v>17</v>
      </c>
      <c r="W29" s="775" t="e">
        <f t="shared" si="14"/>
        <v>#N/A</v>
      </c>
      <c r="X29" s="1817"/>
      <c r="Y29" s="3251"/>
      <c r="Z29" s="1818" t="str">
        <f t="shared" si="15"/>
        <v>成新率</v>
      </c>
      <c r="AA29" s="1815" t="e">
        <f t="shared" si="3"/>
        <v>#N/A</v>
      </c>
      <c r="AB29" s="1815" t="e">
        <f t="shared" si="4"/>
        <v>#N/A</v>
      </c>
      <c r="AC29" s="1815"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51"/>
      <c r="Q30" s="1814" t="str">
        <f t="shared" si="11"/>
        <v>物业等级</v>
      </c>
      <c r="R30" s="774" t="s">
        <v>17</v>
      </c>
      <c r="S30" s="775">
        <f t="shared" si="12"/>
        <v>100</v>
      </c>
      <c r="T30" s="774" t="s">
        <v>17</v>
      </c>
      <c r="U30" s="775">
        <f t="shared" si="13"/>
        <v>100</v>
      </c>
      <c r="V30" s="774" t="s">
        <v>17</v>
      </c>
      <c r="W30" s="775">
        <f t="shared" si="14"/>
        <v>100</v>
      </c>
      <c r="X30" s="1817"/>
      <c r="Y30" s="3251"/>
      <c r="Z30" s="1818" t="str">
        <f t="shared" si="15"/>
        <v>物业等级</v>
      </c>
      <c r="AA30" s="1815">
        <f t="shared" si="3"/>
        <v>1</v>
      </c>
      <c r="AB30" s="1815">
        <f t="shared" si="4"/>
        <v>1</v>
      </c>
      <c r="AC30" s="1815">
        <f t="shared" si="5"/>
        <v>1</v>
      </c>
    </row>
    <row r="31" spans="1:29" s="116" customFormat="1" ht="15">
      <c r="A31" s="658"/>
      <c r="B31" s="654" t="s">
        <v>2714</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51"/>
      <c r="Q31" s="1799" t="str">
        <f t="shared" si="11"/>
        <v>停车位面积</v>
      </c>
      <c r="R31" s="770" t="s">
        <v>17</v>
      </c>
      <c r="S31" s="771" t="e">
        <f t="shared" si="12"/>
        <v>#N/A</v>
      </c>
      <c r="T31" s="770" t="s">
        <v>17</v>
      </c>
      <c r="U31" s="771" t="e">
        <f t="shared" si="13"/>
        <v>#N/A</v>
      </c>
      <c r="V31" s="770" t="s">
        <v>17</v>
      </c>
      <c r="W31" s="771" t="e">
        <f t="shared" si="14"/>
        <v>#N/A</v>
      </c>
      <c r="X31" s="772"/>
      <c r="Y31" s="3251"/>
      <c r="Z31" s="54"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51" t="s">
        <v>2562</v>
      </c>
      <c r="Q32" s="1814" t="str">
        <f t="shared" si="11"/>
        <v>车位类型</v>
      </c>
      <c r="R32" s="774" t="s">
        <v>17</v>
      </c>
      <c r="S32" s="775">
        <f t="shared" si="12"/>
        <v>100</v>
      </c>
      <c r="T32" s="774" t="s">
        <v>17</v>
      </c>
      <c r="U32" s="775">
        <f t="shared" si="13"/>
        <v>100</v>
      </c>
      <c r="V32" s="774" t="s">
        <v>17</v>
      </c>
      <c r="W32" s="775">
        <f t="shared" si="14"/>
        <v>100</v>
      </c>
      <c r="X32" s="1817"/>
      <c r="Y32" s="3251" t="s">
        <v>2562</v>
      </c>
      <c r="Z32" s="1818" t="str">
        <f t="shared" si="15"/>
        <v>车位类型</v>
      </c>
      <c r="AA32" s="1815">
        <f t="shared" si="3"/>
        <v>1</v>
      </c>
      <c r="AB32" s="1815">
        <f t="shared" si="4"/>
        <v>1</v>
      </c>
      <c r="AC32" s="1815">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51"/>
      <c r="Q33" s="1814" t="str">
        <f t="shared" si="11"/>
        <v>是否直接入户</v>
      </c>
      <c r="R33" s="774" t="s">
        <v>17</v>
      </c>
      <c r="S33" s="775">
        <f t="shared" si="12"/>
        <v>100</v>
      </c>
      <c r="T33" s="774" t="s">
        <v>17</v>
      </c>
      <c r="U33" s="775">
        <f t="shared" si="13"/>
        <v>100</v>
      </c>
      <c r="V33" s="774" t="s">
        <v>17</v>
      </c>
      <c r="W33" s="775">
        <f t="shared" si="14"/>
        <v>100</v>
      </c>
      <c r="X33" s="1817"/>
      <c r="Y33" s="3251"/>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51"/>
      <c r="Q34" s="1814">
        <f t="shared" si="11"/>
        <v>111</v>
      </c>
      <c r="R34" s="774" t="s">
        <v>17</v>
      </c>
      <c r="S34" s="775">
        <f t="shared" si="12"/>
        <v>100</v>
      </c>
      <c r="T34" s="774" t="s">
        <v>17</v>
      </c>
      <c r="U34" s="775">
        <f t="shared" si="13"/>
        <v>100</v>
      </c>
      <c r="V34" s="774" t="s">
        <v>17</v>
      </c>
      <c r="W34" s="775">
        <f t="shared" si="14"/>
        <v>100</v>
      </c>
      <c r="X34" s="1817"/>
      <c r="Y34" s="3251"/>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51"/>
      <c r="Q35" s="776">
        <f t="shared" si="11"/>
        <v>111</v>
      </c>
      <c r="R35" s="777" t="s">
        <v>17</v>
      </c>
      <c r="S35" s="778">
        <f t="shared" si="12"/>
        <v>100</v>
      </c>
      <c r="T35" s="777" t="s">
        <v>17</v>
      </c>
      <c r="U35" s="778">
        <f t="shared" si="13"/>
        <v>100</v>
      </c>
      <c r="V35" s="777" t="s">
        <v>17</v>
      </c>
      <c r="W35" s="778">
        <f t="shared" si="14"/>
        <v>100</v>
      </c>
      <c r="X35" s="779"/>
      <c r="Y35" s="3251"/>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51"/>
      <c r="Q36" s="1814">
        <f t="shared" si="11"/>
        <v>111</v>
      </c>
      <c r="R36" s="774" t="s">
        <v>17</v>
      </c>
      <c r="S36" s="775">
        <f t="shared" si="12"/>
        <v>100</v>
      </c>
      <c r="T36" s="774" t="s">
        <v>17</v>
      </c>
      <c r="U36" s="775">
        <f t="shared" si="13"/>
        <v>100</v>
      </c>
      <c r="V36" s="774" t="s">
        <v>17</v>
      </c>
      <c r="W36" s="775">
        <f t="shared" si="14"/>
        <v>100</v>
      </c>
      <c r="X36" s="1817"/>
      <c r="Y36" s="3251"/>
      <c r="Z36" s="1818">
        <f t="shared" si="15"/>
        <v>111</v>
      </c>
      <c r="AA36" s="1815">
        <f t="shared" si="3"/>
        <v>1</v>
      </c>
      <c r="AB36" s="1815">
        <f t="shared" si="4"/>
        <v>1</v>
      </c>
      <c r="AC36" s="1815">
        <f t="shared" si="5"/>
        <v>1</v>
      </c>
    </row>
    <row r="37" spans="1:29" ht="15">
      <c r="A37" s="479" t="s">
        <v>2717</v>
      </c>
      <c r="B37" s="2697" t="s">
        <v>2718</v>
      </c>
      <c r="C37" s="1410" t="s">
        <v>1</v>
      </c>
      <c r="D37" s="1411"/>
      <c r="E37" s="1412"/>
      <c r="F37" s="1413"/>
      <c r="G37" s="1414"/>
      <c r="H37" s="1415"/>
      <c r="I37" s="1412"/>
      <c r="J37" s="1415"/>
      <c r="K37" s="619"/>
      <c r="L37" s="1146"/>
      <c r="M37" s="1147"/>
      <c r="N37" s="1134"/>
      <c r="O37" s="1147"/>
      <c r="P37" s="3239" t="str">
        <f>A37</f>
        <v>成交单价</v>
      </c>
      <c r="Q37" s="3239"/>
      <c r="R37" s="3240">
        <f>E37</f>
        <v>0</v>
      </c>
      <c r="S37" s="3240"/>
      <c r="T37" s="3240">
        <f>G37</f>
        <v>0</v>
      </c>
      <c r="U37" s="3240"/>
      <c r="V37" s="3240">
        <f>I37</f>
        <v>0</v>
      </c>
      <c r="W37" s="3240"/>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9" t="str">
        <f>A38</f>
        <v>比较价值（元/平方米）</v>
      </c>
      <c r="Q38" s="3239"/>
      <c r="R38" s="3240" t="e">
        <f>IF(F1="售价",ROUND(PRODUCT(R37,AA7:AA36),0),ROUND(PRODUCT(R37,AA7:AA36),1))</f>
        <v>#DIV/0!</v>
      </c>
      <c r="S38" s="3240"/>
      <c r="T38" s="3240" t="e">
        <f>IF(F1="售价",ROUND(PRODUCT(T37,AB7:AB36),0),ROUND(PRODUCT(T37,AB7:AB36),1))</f>
        <v>#DIV/0!</v>
      </c>
      <c r="U38" s="3240"/>
      <c r="V38" s="3240" t="e">
        <f>IF(F1="售价",ROUND(PRODUCT(V37,AC7:AC36),0),ROUND(PRODUCT(V37,AC7:AC36),1))</f>
        <v>#DIV/0!</v>
      </c>
      <c r="W38" s="3240"/>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340" t="str">
        <f>A39</f>
        <v>估价对象XX用房的比较价值（楼面单价，元/平方米）</v>
      </c>
      <c r="Q39" s="3341"/>
      <c r="R39" s="3342" t="e">
        <f>IF(F1="售价",ROUND(AVERAGE(R38:V38),0),ROUND(AVERAGE(R38:V38),1))</f>
        <v>#DIV/0!</v>
      </c>
      <c r="S39" s="3342"/>
      <c r="T39" s="3342"/>
      <c r="U39" s="3342"/>
      <c r="V39" s="3342"/>
      <c r="W39" s="334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6"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6"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6"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6"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6"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6"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6"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6"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2704</v>
      </c>
      <c r="B1" s="1623"/>
      <c r="C1" s="1624" t="s">
        <v>2527</v>
      </c>
      <c r="D1" s="1625"/>
      <c r="E1" s="1634"/>
      <c r="F1" s="2586"/>
      <c r="G1" s="1635" t="s">
        <v>2640</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2324</v>
      </c>
      <c r="B2" s="1421" t="e">
        <f ca="1">IF(C2="——",ROUND(C37*D3/10000,0),ROUND(C37*D3/10000,0)-D2)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56" t="s">
        <v>2643</v>
      </c>
      <c r="D4" s="3257"/>
      <c r="E4" s="3258" t="s">
        <v>2644</v>
      </c>
      <c r="F4" s="3259"/>
      <c r="G4" s="3256" t="s">
        <v>2645</v>
      </c>
      <c r="H4" s="3257"/>
      <c r="I4" s="3256" t="s">
        <v>2646</v>
      </c>
      <c r="J4" s="3257"/>
      <c r="K4" s="610" t="s">
        <v>2647</v>
      </c>
      <c r="L4" s="1133"/>
      <c r="M4" s="1134"/>
      <c r="N4" s="1134"/>
      <c r="O4" s="1134"/>
      <c r="P4" s="3344" t="s">
        <v>2648</v>
      </c>
      <c r="Q4" s="3345"/>
      <c r="R4" s="3348" t="s">
        <v>2644</v>
      </c>
      <c r="S4" s="3349"/>
      <c r="T4" s="3348" t="s">
        <v>2645</v>
      </c>
      <c r="U4" s="3349"/>
      <c r="V4" s="3273" t="s">
        <v>2646</v>
      </c>
      <c r="W4" s="3273"/>
      <c r="X4" s="1817"/>
      <c r="Y4" s="3348" t="s">
        <v>2648</v>
      </c>
      <c r="Z4" s="3349"/>
      <c r="AA4" s="3343" t="s">
        <v>2644</v>
      </c>
      <c r="AB4" s="3286" t="s">
        <v>2645</v>
      </c>
      <c r="AC4" s="3343" t="s">
        <v>2646</v>
      </c>
    </row>
    <row r="5" spans="1:29" ht="15">
      <c r="A5" s="404"/>
      <c r="B5" s="405"/>
      <c r="C5" s="3282" t="s">
        <v>2539</v>
      </c>
      <c r="D5" s="3277"/>
      <c r="E5" s="3350" t="s">
        <v>2540</v>
      </c>
      <c r="F5" s="3289"/>
      <c r="G5" s="3282" t="s">
        <v>2541</v>
      </c>
      <c r="H5" s="3277"/>
      <c r="I5" s="3282" t="s">
        <v>2542</v>
      </c>
      <c r="J5" s="3277"/>
      <c r="K5" s="610"/>
      <c r="L5" s="1133"/>
      <c r="M5" s="1134"/>
      <c r="N5" s="1134"/>
      <c r="O5" s="1134"/>
      <c r="P5" s="3346"/>
      <c r="Q5" s="3263"/>
      <c r="R5" s="3268"/>
      <c r="S5" s="3269"/>
      <c r="T5" s="3268"/>
      <c r="U5" s="3269"/>
      <c r="V5" s="3273"/>
      <c r="W5" s="3273"/>
      <c r="X5" s="1817"/>
      <c r="Y5" s="3268"/>
      <c r="Z5" s="3269"/>
      <c r="AA5" s="3286"/>
      <c r="AB5" s="3286"/>
      <c r="AC5" s="3286"/>
    </row>
    <row r="6" spans="1:29" ht="15.75" thickBot="1">
      <c r="A6" s="406"/>
      <c r="B6" s="407"/>
      <c r="C6" s="3274" t="s">
        <v>2543</v>
      </c>
      <c r="D6" s="3275"/>
      <c r="E6" s="3283" t="s">
        <v>2543</v>
      </c>
      <c r="F6" s="3284"/>
      <c r="G6" s="3274" t="s">
        <v>2543</v>
      </c>
      <c r="H6" s="3275"/>
      <c r="I6" s="3274" t="s">
        <v>2543</v>
      </c>
      <c r="J6" s="3275"/>
      <c r="K6" s="610" t="s">
        <v>2544</v>
      </c>
      <c r="L6" s="1133"/>
      <c r="M6" s="1134"/>
      <c r="N6" s="1134"/>
      <c r="O6" s="1134"/>
      <c r="P6" s="3347"/>
      <c r="Q6" s="3265"/>
      <c r="R6" s="3268"/>
      <c r="S6" s="3269"/>
      <c r="T6" s="3270"/>
      <c r="U6" s="3271"/>
      <c r="V6" s="3273"/>
      <c r="W6" s="3273"/>
      <c r="X6" s="1817"/>
      <c r="Y6" s="3270"/>
      <c r="Z6" s="3271"/>
      <c r="AA6" s="3287"/>
      <c r="AB6" s="3287"/>
      <c r="AC6" s="3287"/>
    </row>
    <row r="7" spans="1:29" s="116" customFormat="1" ht="15.75" thickBot="1">
      <c r="A7" s="408" t="s">
        <v>2545</v>
      </c>
      <c r="B7" s="409"/>
      <c r="C7" s="410">
        <f>'数据-取费表'!B2</f>
        <v>43047</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80" t="s">
        <v>2546</v>
      </c>
      <c r="Q7" s="3281"/>
      <c r="R7" s="770" t="s">
        <v>17</v>
      </c>
      <c r="S7" s="771">
        <f t="shared" ref="S7:S14" si="0">F7</f>
        <v>0</v>
      </c>
      <c r="T7" s="770" t="s">
        <v>17</v>
      </c>
      <c r="U7" s="771">
        <f t="shared" ref="U7:U14" si="1">H7</f>
        <v>0</v>
      </c>
      <c r="V7" s="770" t="s">
        <v>17</v>
      </c>
      <c r="W7" s="771">
        <f t="shared" ref="W7:W14" si="2">J7</f>
        <v>0</v>
      </c>
      <c r="X7" s="772"/>
      <c r="Y7" s="3280" t="s">
        <v>2546</v>
      </c>
      <c r="Z7" s="3279"/>
      <c r="AA7" s="773" t="e">
        <f>D7/F7</f>
        <v>#DIV/0!</v>
      </c>
      <c r="AB7" s="773" t="e">
        <f>D7/H7</f>
        <v>#DIV/0!</v>
      </c>
      <c r="AC7" s="773" t="e">
        <f>D7/J7</f>
        <v>#DIV/0!</v>
      </c>
    </row>
    <row r="8" spans="1:29" s="116"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80" t="s">
        <v>2549</v>
      </c>
      <c r="Q8" s="3279"/>
      <c r="R8" s="770" t="s">
        <v>17</v>
      </c>
      <c r="S8" s="771">
        <f t="shared" si="0"/>
        <v>0</v>
      </c>
      <c r="T8" s="770" t="s">
        <v>17</v>
      </c>
      <c r="U8" s="771">
        <f t="shared" si="1"/>
        <v>0</v>
      </c>
      <c r="V8" s="770" t="s">
        <v>17</v>
      </c>
      <c r="W8" s="771">
        <f t="shared" si="2"/>
        <v>0</v>
      </c>
      <c r="X8" s="772"/>
      <c r="Y8" s="3280" t="s">
        <v>2549</v>
      </c>
      <c r="Z8" s="3279"/>
      <c r="AA8" s="773" t="e">
        <f t="shared" ref="AA8:AA34" si="3">D8/F8</f>
        <v>#DIV/0!</v>
      </c>
      <c r="AB8" s="773" t="e">
        <f t="shared" ref="AB8:AB34" si="4">D8/H8</f>
        <v>#DIV/0!</v>
      </c>
      <c r="AC8" s="773" t="e">
        <f t="shared" ref="AC8:AC34" si="5">D8/J8</f>
        <v>#DIV/0!</v>
      </c>
    </row>
    <row r="9" spans="1:29" s="116" customFormat="1">
      <c r="A9" s="415" t="s">
        <v>2550</v>
      </c>
      <c r="B9" s="70" t="s">
        <v>2551</v>
      </c>
      <c r="C9" s="416"/>
      <c r="D9" s="134">
        <v>100</v>
      </c>
      <c r="E9" s="419"/>
      <c r="F9" s="418">
        <f>SUMIF(51:51,E9,52:52)-SUMIF(51:51,C9,52:52)+100</f>
        <v>100</v>
      </c>
      <c r="G9" s="419"/>
      <c r="H9" s="134">
        <f>SUMIF(51:51,G9,52:52)-SUMIF(51:51,C9,52:52)+100</f>
        <v>100</v>
      </c>
      <c r="I9" s="419"/>
      <c r="J9" s="134">
        <f>SUMIF(51:51,I9,52:52)-SUMIF(51:51,C9,52:52)+100</f>
        <v>100</v>
      </c>
      <c r="K9" s="611"/>
      <c r="L9" s="1135"/>
      <c r="M9" s="1136"/>
      <c r="N9" s="1136"/>
      <c r="O9" s="1137"/>
      <c r="P9" s="3239" t="s">
        <v>2552</v>
      </c>
      <c r="Q9" s="1799" t="str">
        <f t="shared" ref="Q9:Q14" si="6">B9</f>
        <v>用途</v>
      </c>
      <c r="R9" s="770" t="s">
        <v>17</v>
      </c>
      <c r="S9" s="771">
        <f t="shared" si="0"/>
        <v>100</v>
      </c>
      <c r="T9" s="770" t="s">
        <v>17</v>
      </c>
      <c r="U9" s="771">
        <f t="shared" si="1"/>
        <v>100</v>
      </c>
      <c r="V9" s="770" t="s">
        <v>17</v>
      </c>
      <c r="W9" s="771">
        <f t="shared" si="2"/>
        <v>100</v>
      </c>
      <c r="X9" s="772"/>
      <c r="Y9" s="3096" t="s">
        <v>2553</v>
      </c>
      <c r="Z9" s="54" t="str">
        <f t="shared" ref="Z9:Z14" si="7">Q9</f>
        <v>用途</v>
      </c>
      <c r="AA9" s="773">
        <f t="shared" si="3"/>
        <v>1</v>
      </c>
      <c r="AB9" s="773">
        <f t="shared" si="4"/>
        <v>1</v>
      </c>
      <c r="AC9" s="773">
        <f t="shared" si="5"/>
        <v>1</v>
      </c>
    </row>
    <row r="10" spans="1:29" s="427" customFormat="1" ht="27">
      <c r="A10" s="421"/>
      <c r="B10" s="422" t="s">
        <v>2554</v>
      </c>
      <c r="C10" s="423"/>
      <c r="D10" s="135">
        <v>100</v>
      </c>
      <c r="E10" s="423"/>
      <c r="F10" s="425">
        <f>SUMIF(53:53,E10,54:54)-SUMIF(53:53,C10,54:54)+100</f>
        <v>100</v>
      </c>
      <c r="G10" s="423"/>
      <c r="H10" s="135">
        <f>SUMIF(53:53,G10,54:54)-SUMIF(53:53,C10,54:54)+100</f>
        <v>100</v>
      </c>
      <c r="I10" s="423"/>
      <c r="J10" s="135">
        <f>SUMIF(53:53,I10,54:54)-SUMIF(53:53,C10,54:54)+100</f>
        <v>100</v>
      </c>
      <c r="K10" s="612"/>
      <c r="L10" s="1138"/>
      <c r="M10" s="1139"/>
      <c r="N10" s="1139"/>
      <c r="O10" s="1140"/>
      <c r="P10" s="3239"/>
      <c r="Q10" s="1799" t="str">
        <f t="shared" si="6"/>
        <v>土地使用年限（年）</v>
      </c>
      <c r="R10" s="770" t="s">
        <v>17</v>
      </c>
      <c r="S10" s="771">
        <f t="shared" si="0"/>
        <v>100</v>
      </c>
      <c r="T10" s="770" t="s">
        <v>17</v>
      </c>
      <c r="U10" s="771">
        <f t="shared" si="1"/>
        <v>100</v>
      </c>
      <c r="V10" s="770" t="s">
        <v>17</v>
      </c>
      <c r="W10" s="771">
        <f t="shared" si="2"/>
        <v>100</v>
      </c>
      <c r="X10" s="772"/>
      <c r="Y10" s="3096"/>
      <c r="Z10" s="54" t="str">
        <f t="shared" si="7"/>
        <v>土地使用年限（年）</v>
      </c>
      <c r="AA10" s="773">
        <f t="shared" si="3"/>
        <v>1</v>
      </c>
      <c r="AB10" s="773">
        <f t="shared" si="4"/>
        <v>1</v>
      </c>
      <c r="AC10" s="773">
        <f t="shared" si="5"/>
        <v>1</v>
      </c>
    </row>
    <row r="11" spans="1:29" ht="15">
      <c r="A11" s="428"/>
      <c r="B11" s="2602">
        <v>111</v>
      </c>
      <c r="C11" s="432"/>
      <c r="D11" s="135">
        <v>100</v>
      </c>
      <c r="E11" s="469"/>
      <c r="F11" s="425">
        <f>SUMIF(55:55,E11,56:56)-SUMIF(55:55,C11,56:56)+100</f>
        <v>100</v>
      </c>
      <c r="G11" s="469"/>
      <c r="H11" s="135">
        <f>SUMIF(55:55,G11,56:56)-SUMIF(55:55,C11,56:56)+100</f>
        <v>100</v>
      </c>
      <c r="I11" s="469"/>
      <c r="J11" s="135">
        <f>SUMIF(55:55,I11,56:56)-SUMIF(55:55,C11,56:56)+100</f>
        <v>100</v>
      </c>
      <c r="K11" s="613"/>
      <c r="L11" s="1141"/>
      <c r="M11" s="1134"/>
      <c r="N11" s="1134"/>
      <c r="O11" s="1142"/>
      <c r="P11" s="3239"/>
      <c r="Q11" s="1799">
        <f t="shared" si="6"/>
        <v>111</v>
      </c>
      <c r="R11" s="770" t="s">
        <v>17</v>
      </c>
      <c r="S11" s="771">
        <f t="shared" si="0"/>
        <v>100</v>
      </c>
      <c r="T11" s="770" t="s">
        <v>17</v>
      </c>
      <c r="U11" s="771">
        <f t="shared" si="1"/>
        <v>100</v>
      </c>
      <c r="V11" s="770" t="s">
        <v>17</v>
      </c>
      <c r="W11" s="771">
        <f t="shared" si="2"/>
        <v>100</v>
      </c>
      <c r="X11" s="772"/>
      <c r="Y11" s="3096"/>
      <c r="Z11" s="54">
        <f t="shared" si="7"/>
        <v>111</v>
      </c>
      <c r="AA11" s="773">
        <f t="shared" si="3"/>
        <v>1</v>
      </c>
      <c r="AB11" s="773">
        <f t="shared" si="4"/>
        <v>1</v>
      </c>
      <c r="AC11" s="773">
        <f t="shared" si="5"/>
        <v>1</v>
      </c>
    </row>
    <row r="12" spans="1:29" s="116" customFormat="1" ht="15">
      <c r="A12" s="431"/>
      <c r="B12" s="2602">
        <v>111</v>
      </c>
      <c r="C12" s="432"/>
      <c r="D12" s="433">
        <v>100</v>
      </c>
      <c r="E12" s="469"/>
      <c r="F12" s="425">
        <f>SUMIF(57:57,E12,58:58)-SUMIF(57:57,C12,58:58)+100</f>
        <v>100</v>
      </c>
      <c r="G12" s="469"/>
      <c r="H12" s="135">
        <f>SUMIF(57:57,G12,58:58)-SUMIF(57:57,C12,58:58)+100</f>
        <v>100</v>
      </c>
      <c r="I12" s="469"/>
      <c r="J12" s="135">
        <f>SUMIF(57:57,I12,58:58)-SUMIF(57:57,C12,58:58)+100</f>
        <v>100</v>
      </c>
      <c r="K12" s="613"/>
      <c r="L12" s="1135"/>
      <c r="M12" s="1136"/>
      <c r="N12" s="1136"/>
      <c r="O12" s="1137"/>
      <c r="P12" s="3239"/>
      <c r="Q12" s="1799">
        <f t="shared" si="6"/>
        <v>111</v>
      </c>
      <c r="R12" s="770" t="s">
        <v>17</v>
      </c>
      <c r="S12" s="771">
        <f t="shared" si="0"/>
        <v>100</v>
      </c>
      <c r="T12" s="770" t="s">
        <v>17</v>
      </c>
      <c r="U12" s="771">
        <f t="shared" si="1"/>
        <v>100</v>
      </c>
      <c r="V12" s="770" t="s">
        <v>17</v>
      </c>
      <c r="W12" s="771">
        <f t="shared" si="2"/>
        <v>100</v>
      </c>
      <c r="X12" s="772"/>
      <c r="Y12" s="3096"/>
      <c r="Z12" s="54">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39"/>
      <c r="Q13" s="1799">
        <f t="shared" si="6"/>
        <v>111</v>
      </c>
      <c r="R13" s="770" t="s">
        <v>17</v>
      </c>
      <c r="S13" s="771">
        <f t="shared" si="0"/>
        <v>100</v>
      </c>
      <c r="T13" s="770" t="s">
        <v>17</v>
      </c>
      <c r="U13" s="771">
        <f t="shared" si="1"/>
        <v>100</v>
      </c>
      <c r="V13" s="770" t="s">
        <v>17</v>
      </c>
      <c r="W13" s="771">
        <f t="shared" si="2"/>
        <v>100</v>
      </c>
      <c r="X13" s="772"/>
      <c r="Y13" s="3096"/>
      <c r="Z13" s="54">
        <f t="shared" si="7"/>
        <v>111</v>
      </c>
      <c r="AA13" s="773">
        <f t="shared" si="3"/>
        <v>1</v>
      </c>
      <c r="AB13" s="773">
        <f t="shared" si="4"/>
        <v>1</v>
      </c>
      <c r="AC13" s="773">
        <f t="shared" si="5"/>
        <v>1</v>
      </c>
    </row>
    <row r="14" spans="1:29" ht="128.25">
      <c r="A14" s="440" t="s">
        <v>2556</v>
      </c>
      <c r="B14" s="68" t="s">
        <v>2706</v>
      </c>
      <c r="C14" s="2695" t="str">
        <f>IF(B1="工业",估价对象房地状况!G4,估价对象房地状况!C6)</f>
        <v>估价对象周边有113路、115路、117路等多条公交线路，有地铁团结湖站，路网较密集，停车便捷程度较好，综合评价交通便捷度较好。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46" t="s">
        <v>2557</v>
      </c>
      <c r="Q14" s="1814" t="str">
        <f t="shared" si="6"/>
        <v>交通便捷度</v>
      </c>
      <c r="R14" s="774" t="s">
        <v>17</v>
      </c>
      <c r="S14" s="775">
        <f t="shared" si="0"/>
        <v>100</v>
      </c>
      <c r="T14" s="774" t="s">
        <v>17</v>
      </c>
      <c r="U14" s="775">
        <f t="shared" si="1"/>
        <v>100</v>
      </c>
      <c r="V14" s="774" t="s">
        <v>17</v>
      </c>
      <c r="W14" s="775">
        <f t="shared" si="2"/>
        <v>100</v>
      </c>
      <c r="X14" s="1817"/>
      <c r="Y14" s="3246" t="s">
        <v>2557</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247"/>
      <c r="Q15" s="1814"/>
      <c r="R15" s="774"/>
      <c r="S15" s="775"/>
      <c r="T15" s="774"/>
      <c r="U15" s="775"/>
      <c r="V15" s="774"/>
      <c r="W15" s="775"/>
      <c r="X15" s="1817"/>
      <c r="Y15" s="3247"/>
      <c r="Z15" s="1818"/>
      <c r="AA15" s="1815">
        <v>1</v>
      </c>
      <c r="AB15" s="1815">
        <v>1</v>
      </c>
      <c r="AC15" s="1815">
        <v>1</v>
      </c>
    </row>
    <row r="16" spans="1:29" ht="199.5">
      <c r="A16" s="428"/>
      <c r="B16" s="451" t="s">
        <v>2685</v>
      </c>
      <c r="C16" s="2609" t="str">
        <f>IF(B1="工业",估价对象房地状况!G5,估价对象房地状况!C7)</f>
        <v>估价对象所在区域有银行（中国银行长虹桥支行）、医院（武警北京总队医院）、超市（京客隆三里屯店）、学校（北京市朝阳区白家庄小学）、餐饮（石塘嘴）等公共配套设施，公共配套设施齐备情况较好。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7"/>
      <c r="Q16" s="1814" t="str">
        <f>B16</f>
        <v>公共配套设施</v>
      </c>
      <c r="R16" s="774" t="s">
        <v>17</v>
      </c>
      <c r="S16" s="775">
        <f>F16</f>
        <v>100</v>
      </c>
      <c r="T16" s="774" t="s">
        <v>17</v>
      </c>
      <c r="U16" s="775">
        <f>H16</f>
        <v>100</v>
      </c>
      <c r="V16" s="774" t="s">
        <v>17</v>
      </c>
      <c r="W16" s="775">
        <f>J16</f>
        <v>100</v>
      </c>
      <c r="X16" s="1817"/>
      <c r="Y16" s="3247"/>
      <c r="Z16" s="1818" t="str">
        <f>Q16</f>
        <v>公共配套设施</v>
      </c>
      <c r="AA16" s="1815">
        <f t="shared" si="3"/>
        <v>1</v>
      </c>
      <c r="AB16" s="1815">
        <f t="shared" si="4"/>
        <v>1</v>
      </c>
      <c r="AC16" s="1815">
        <f t="shared" si="5"/>
        <v>1</v>
      </c>
    </row>
    <row r="17" spans="1:29" ht="15">
      <c r="A17" s="428"/>
      <c r="B17" s="456"/>
      <c r="C17" s="2610"/>
      <c r="D17" s="448"/>
      <c r="E17" s="447"/>
      <c r="F17" s="449"/>
      <c r="G17" s="447"/>
      <c r="H17" s="448"/>
      <c r="I17" s="447"/>
      <c r="J17" s="448"/>
      <c r="K17" s="615"/>
      <c r="L17" s="1143"/>
      <c r="M17" s="1134"/>
      <c r="N17" s="1134"/>
      <c r="O17" s="1142"/>
      <c r="P17" s="3247"/>
      <c r="Q17" s="1814"/>
      <c r="R17" s="774"/>
      <c r="S17" s="775"/>
      <c r="T17" s="774"/>
      <c r="U17" s="775"/>
      <c r="V17" s="774"/>
      <c r="W17" s="775"/>
      <c r="X17" s="1817"/>
      <c r="Y17" s="3247"/>
      <c r="Z17" s="1818"/>
      <c r="AA17" s="1815">
        <v>1</v>
      </c>
      <c r="AB17" s="1815">
        <v>1</v>
      </c>
      <c r="AC17" s="1815">
        <v>1</v>
      </c>
    </row>
    <row r="18" spans="1:29" ht="42.75">
      <c r="A18" s="428"/>
      <c r="B18" s="1387" t="s">
        <v>2686</v>
      </c>
      <c r="C18" s="2609"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7"/>
      <c r="Q18" s="1814" t="str">
        <f>B18</f>
        <v>基础设施水平</v>
      </c>
      <c r="R18" s="774" t="s">
        <v>17</v>
      </c>
      <c r="S18" s="775">
        <f>F18</f>
        <v>100</v>
      </c>
      <c r="T18" s="774" t="s">
        <v>17</v>
      </c>
      <c r="U18" s="775">
        <f>H18</f>
        <v>100</v>
      </c>
      <c r="V18" s="774" t="s">
        <v>17</v>
      </c>
      <c r="W18" s="775">
        <f>J18</f>
        <v>100</v>
      </c>
      <c r="X18" s="1817"/>
      <c r="Y18" s="3247"/>
      <c r="Z18" s="1818" t="str">
        <f>Q18</f>
        <v>基础设施水平</v>
      </c>
      <c r="AA18" s="1815">
        <f t="shared" ref="AA18" si="8">D18/F18</f>
        <v>1</v>
      </c>
      <c r="AB18" s="1815">
        <f t="shared" ref="AB18" si="9">D18/H18</f>
        <v>1</v>
      </c>
      <c r="AC18" s="1815">
        <f t="shared" ref="AC18" si="10">D18/J18</f>
        <v>1</v>
      </c>
    </row>
    <row r="19" spans="1:29" ht="15">
      <c r="A19" s="428"/>
      <c r="B19" s="1387"/>
      <c r="C19" s="2610"/>
      <c r="D19" s="450"/>
      <c r="E19" s="2610"/>
      <c r="F19" s="453"/>
      <c r="G19" s="2610"/>
      <c r="H19" s="448"/>
      <c r="I19" s="447"/>
      <c r="J19" s="448"/>
      <c r="K19" s="1386"/>
      <c r="L19" s="1143"/>
      <c r="M19" s="1134"/>
      <c r="N19" s="1134"/>
      <c r="O19" s="1142"/>
      <c r="P19" s="3247"/>
      <c r="Q19" s="1814"/>
      <c r="R19" s="774"/>
      <c r="S19" s="775"/>
      <c r="T19" s="774"/>
      <c r="U19" s="775"/>
      <c r="V19" s="774"/>
      <c r="W19" s="775"/>
      <c r="X19" s="1817"/>
      <c r="Y19" s="3247"/>
      <c r="Z19" s="1818"/>
      <c r="AA19" s="1815">
        <v>1</v>
      </c>
      <c r="AB19" s="1815">
        <v>1</v>
      </c>
      <c r="AC19" s="1815">
        <v>1</v>
      </c>
    </row>
    <row r="20" spans="1:29" ht="142.5">
      <c r="A20" s="428"/>
      <c r="B20" s="451" t="s">
        <v>2707</v>
      </c>
      <c r="C20" s="2609" t="str">
        <f>IF(B1="工业",估价对象房地状况!G7,估价对象房地状况!C9)</f>
        <v>估价对象所在区域有团结湖公园，自然情况较好；有农业展览馆、北京联合大学机电学院等人文设施，人文情况较好；综合评价自然及人文环境较好。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7"/>
      <c r="Q20" s="1814" t="str">
        <f>B20</f>
        <v>自然及人文环境</v>
      </c>
      <c r="R20" s="774" t="s">
        <v>17</v>
      </c>
      <c r="S20" s="775">
        <f>F20</f>
        <v>100</v>
      </c>
      <c r="T20" s="774" t="s">
        <v>17</v>
      </c>
      <c r="U20" s="775">
        <f>H20</f>
        <v>100</v>
      </c>
      <c r="V20" s="774" t="s">
        <v>17</v>
      </c>
      <c r="W20" s="775">
        <f>J20</f>
        <v>100</v>
      </c>
      <c r="X20" s="1817"/>
      <c r="Y20" s="3247"/>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247"/>
      <c r="Q21" s="1814"/>
      <c r="R21" s="774"/>
      <c r="S21" s="775"/>
      <c r="T21" s="774"/>
      <c r="U21" s="775"/>
      <c r="V21" s="774"/>
      <c r="W21" s="775"/>
      <c r="X21" s="1817"/>
      <c r="Y21" s="3247"/>
      <c r="Z21" s="1818"/>
      <c r="AA21" s="1815">
        <v>1</v>
      </c>
      <c r="AB21" s="1815">
        <v>1</v>
      </c>
      <c r="AC21" s="1815">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7"/>
      <c r="Q22" s="1814" t="str">
        <f>B22</f>
        <v>楼层</v>
      </c>
      <c r="R22" s="774" t="s">
        <v>17</v>
      </c>
      <c r="S22" s="775">
        <f>F22</f>
        <v>100</v>
      </c>
      <c r="T22" s="774" t="s">
        <v>17</v>
      </c>
      <c r="U22" s="775">
        <f>H22</f>
        <v>100</v>
      </c>
      <c r="V22" s="774" t="s">
        <v>17</v>
      </c>
      <c r="W22" s="775">
        <f>J22</f>
        <v>100</v>
      </c>
      <c r="X22" s="1817"/>
      <c r="Y22" s="3247"/>
      <c r="Z22" s="1818" t="str">
        <f>Q22</f>
        <v>楼层</v>
      </c>
      <c r="AA22" s="1815">
        <f t="shared" si="3"/>
        <v>1</v>
      </c>
      <c r="AB22" s="1815">
        <f t="shared" si="4"/>
        <v>1</v>
      </c>
      <c r="AC22" s="1815">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7"/>
      <c r="Q23" s="1814">
        <f>B23</f>
        <v>111</v>
      </c>
      <c r="R23" s="774" t="s">
        <v>17</v>
      </c>
      <c r="S23" s="775">
        <f>F23</f>
        <v>100</v>
      </c>
      <c r="T23" s="774" t="s">
        <v>17</v>
      </c>
      <c r="U23" s="775">
        <f>H23</f>
        <v>100</v>
      </c>
      <c r="V23" s="774" t="s">
        <v>17</v>
      </c>
      <c r="W23" s="775">
        <f>J23</f>
        <v>100</v>
      </c>
      <c r="X23" s="1817"/>
      <c r="Y23" s="3247"/>
      <c r="Z23" s="1818">
        <f>Q23</f>
        <v>111</v>
      </c>
      <c r="AA23" s="1815">
        <f t="shared" si="3"/>
        <v>1</v>
      </c>
      <c r="AB23" s="1815">
        <f t="shared" si="4"/>
        <v>1</v>
      </c>
      <c r="AC23" s="1815">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7"/>
      <c r="Q24" s="1814">
        <f t="shared" ref="Q24:Q34" si="11">B24</f>
        <v>111</v>
      </c>
      <c r="R24" s="774" t="s">
        <v>17</v>
      </c>
      <c r="S24" s="775">
        <f>F24</f>
        <v>100</v>
      </c>
      <c r="T24" s="774" t="s">
        <v>17</v>
      </c>
      <c r="U24" s="775">
        <f>H24</f>
        <v>100</v>
      </c>
      <c r="V24" s="774" t="s">
        <v>17</v>
      </c>
      <c r="W24" s="775">
        <f>J24</f>
        <v>100</v>
      </c>
      <c r="X24" s="1817"/>
      <c r="Y24" s="3247"/>
      <c r="Z24" s="1818">
        <f>Q24</f>
        <v>111</v>
      </c>
      <c r="AA24" s="1815">
        <f t="shared" si="3"/>
        <v>1</v>
      </c>
      <c r="AB24" s="1815">
        <f t="shared" si="4"/>
        <v>1</v>
      </c>
      <c r="AC24" s="1815">
        <f t="shared" si="5"/>
        <v>1</v>
      </c>
    </row>
    <row r="25" spans="1:29" s="116"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47"/>
      <c r="Q25" s="1799">
        <f t="shared" si="11"/>
        <v>111</v>
      </c>
      <c r="R25" s="770" t="s">
        <v>17</v>
      </c>
      <c r="S25" s="771">
        <f>F25</f>
        <v>100</v>
      </c>
      <c r="T25" s="770" t="s">
        <v>17</v>
      </c>
      <c r="U25" s="771">
        <f>H25</f>
        <v>100</v>
      </c>
      <c r="V25" s="770" t="s">
        <v>17</v>
      </c>
      <c r="W25" s="771">
        <f>J25</f>
        <v>100</v>
      </c>
      <c r="X25" s="772"/>
      <c r="Y25" s="3247"/>
      <c r="Z25" s="54">
        <f>Q25</f>
        <v>111</v>
      </c>
      <c r="AA25" s="1815">
        <f>D25/F25</f>
        <v>1</v>
      </c>
      <c r="AB25" s="1815">
        <f>D25/H25</f>
        <v>1</v>
      </c>
      <c r="AC25" s="1815">
        <f>D25/J25</f>
        <v>1</v>
      </c>
    </row>
    <row r="26" spans="1:29" ht="15">
      <c r="A26" s="466" t="s">
        <v>2560</v>
      </c>
      <c r="B26" s="70" t="s">
        <v>2711</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351" t="s">
        <v>2562</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251" t="s">
        <v>2562</v>
      </c>
      <c r="Z26" s="1818" t="str">
        <f t="shared" ref="Z26:Z34" si="15">Q26</f>
        <v>公共部分装修</v>
      </c>
      <c r="AA26" s="1815">
        <f t="shared" si="3"/>
        <v>1</v>
      </c>
      <c r="AB26" s="1815">
        <f t="shared" si="4"/>
        <v>1</v>
      </c>
      <c r="AC26" s="1815">
        <f t="shared" si="5"/>
        <v>1</v>
      </c>
    </row>
    <row r="27" spans="1:29" s="471" customFormat="1" ht="15">
      <c r="A27" s="468"/>
      <c r="B27" s="422" t="s">
        <v>2712</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51"/>
      <c r="Q27" s="776" t="str">
        <f t="shared" si="11"/>
        <v>成新率</v>
      </c>
      <c r="R27" s="777" t="s">
        <v>17</v>
      </c>
      <c r="S27" s="778" t="e">
        <f t="shared" si="12"/>
        <v>#N/A</v>
      </c>
      <c r="T27" s="777" t="s">
        <v>17</v>
      </c>
      <c r="U27" s="778" t="e">
        <f t="shared" si="13"/>
        <v>#N/A</v>
      </c>
      <c r="V27" s="777" t="s">
        <v>17</v>
      </c>
      <c r="W27" s="778" t="e">
        <f t="shared" si="14"/>
        <v>#N/A</v>
      </c>
      <c r="X27" s="779"/>
      <c r="Y27" s="3251"/>
      <c r="Z27" s="780" t="str">
        <f t="shared" si="15"/>
        <v>成新率</v>
      </c>
      <c r="AA27" s="1815" t="e">
        <f t="shared" si="3"/>
        <v>#N/A</v>
      </c>
      <c r="AB27" s="1815" t="e">
        <f t="shared" si="4"/>
        <v>#N/A</v>
      </c>
      <c r="AC27" s="1815"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51"/>
      <c r="Q28" s="1814" t="str">
        <f t="shared" si="11"/>
        <v>物业等级</v>
      </c>
      <c r="R28" s="774" t="s">
        <v>17</v>
      </c>
      <c r="S28" s="775">
        <f t="shared" si="12"/>
        <v>100</v>
      </c>
      <c r="T28" s="774" t="s">
        <v>17</v>
      </c>
      <c r="U28" s="775">
        <f t="shared" si="13"/>
        <v>100</v>
      </c>
      <c r="V28" s="774" t="s">
        <v>17</v>
      </c>
      <c r="W28" s="775">
        <f t="shared" si="14"/>
        <v>100</v>
      </c>
      <c r="X28" s="1817"/>
      <c r="Y28" s="3251"/>
      <c r="Z28" s="1818" t="str">
        <f t="shared" si="15"/>
        <v>物业等级</v>
      </c>
      <c r="AA28" s="1815">
        <f t="shared" si="3"/>
        <v>1</v>
      </c>
      <c r="AB28" s="1815">
        <f t="shared" si="4"/>
        <v>1</v>
      </c>
      <c r="AC28" s="1815">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51"/>
      <c r="Q29" s="1814" t="str">
        <f t="shared" si="11"/>
        <v>有无电梯</v>
      </c>
      <c r="R29" s="774" t="s">
        <v>17</v>
      </c>
      <c r="S29" s="775">
        <f t="shared" si="12"/>
        <v>100</v>
      </c>
      <c r="T29" s="774" t="s">
        <v>17</v>
      </c>
      <c r="U29" s="775">
        <f t="shared" si="13"/>
        <v>100</v>
      </c>
      <c r="V29" s="774" t="s">
        <v>17</v>
      </c>
      <c r="W29" s="775">
        <f t="shared" si="14"/>
        <v>100</v>
      </c>
      <c r="X29" s="1817"/>
      <c r="Y29" s="3251"/>
      <c r="Z29" s="1818" t="str">
        <f t="shared" si="15"/>
        <v>有无电梯</v>
      </c>
      <c r="AA29" s="1815">
        <f t="shared" si="3"/>
        <v>1</v>
      </c>
      <c r="AB29" s="1815">
        <f t="shared" si="4"/>
        <v>1</v>
      </c>
      <c r="AC29" s="1815">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51"/>
      <c r="Q30" s="1814" t="str">
        <f t="shared" si="11"/>
        <v>建筑面积</v>
      </c>
      <c r="R30" s="774" t="s">
        <v>17</v>
      </c>
      <c r="S30" s="775" t="e">
        <f t="shared" si="12"/>
        <v>#N/A</v>
      </c>
      <c r="T30" s="774" t="s">
        <v>17</v>
      </c>
      <c r="U30" s="775" t="e">
        <f t="shared" si="13"/>
        <v>#N/A</v>
      </c>
      <c r="V30" s="774" t="s">
        <v>17</v>
      </c>
      <c r="W30" s="775" t="e">
        <f t="shared" si="14"/>
        <v>#N/A</v>
      </c>
      <c r="X30" s="1817"/>
      <c r="Y30" s="3251"/>
      <c r="Z30" s="1818" t="str">
        <f t="shared" si="15"/>
        <v>建筑面积</v>
      </c>
      <c r="AA30" s="1815" t="e">
        <f t="shared" si="3"/>
        <v>#N/A</v>
      </c>
      <c r="AB30" s="1815" t="e">
        <f t="shared" si="4"/>
        <v>#N/A</v>
      </c>
      <c r="AC30" s="1815" t="e">
        <f t="shared" si="5"/>
        <v>#N/A</v>
      </c>
    </row>
    <row r="31" spans="1:29" s="116" customFormat="1" ht="15">
      <c r="A31" s="473"/>
      <c r="B31" s="422" t="s">
        <v>2736</v>
      </c>
      <c r="C31" s="657"/>
      <c r="D31" s="135">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51"/>
      <c r="Q31" s="1799" t="str">
        <f t="shared" si="11"/>
        <v>是否封闭</v>
      </c>
      <c r="R31" s="770" t="s">
        <v>17</v>
      </c>
      <c r="S31" s="771">
        <f t="shared" si="12"/>
        <v>100</v>
      </c>
      <c r="T31" s="770" t="s">
        <v>17</v>
      </c>
      <c r="U31" s="771">
        <f t="shared" si="13"/>
        <v>100</v>
      </c>
      <c r="V31" s="770" t="s">
        <v>17</v>
      </c>
      <c r="W31" s="771">
        <f t="shared" si="14"/>
        <v>100</v>
      </c>
      <c r="X31" s="772"/>
      <c r="Y31" s="3251"/>
      <c r="Z31" s="54"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51" t="s">
        <v>2562</v>
      </c>
      <c r="Q32" s="1814">
        <f t="shared" si="11"/>
        <v>111</v>
      </c>
      <c r="R32" s="774" t="s">
        <v>17</v>
      </c>
      <c r="S32" s="775">
        <f t="shared" si="12"/>
        <v>100</v>
      </c>
      <c r="T32" s="774" t="s">
        <v>17</v>
      </c>
      <c r="U32" s="775">
        <f t="shared" si="13"/>
        <v>100</v>
      </c>
      <c r="V32" s="774" t="s">
        <v>17</v>
      </c>
      <c r="W32" s="775">
        <f t="shared" si="14"/>
        <v>100</v>
      </c>
      <c r="X32" s="1817"/>
      <c r="Y32" s="3251" t="s">
        <v>2562</v>
      </c>
      <c r="Z32" s="1818">
        <f t="shared" si="15"/>
        <v>111</v>
      </c>
      <c r="AA32" s="1815">
        <f t="shared" si="3"/>
        <v>1</v>
      </c>
      <c r="AB32" s="1815">
        <f t="shared" si="4"/>
        <v>1</v>
      </c>
      <c r="AC32" s="1815">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51"/>
      <c r="Q33" s="1814">
        <f t="shared" si="11"/>
        <v>111</v>
      </c>
      <c r="R33" s="774" t="s">
        <v>17</v>
      </c>
      <c r="S33" s="775">
        <f t="shared" si="12"/>
        <v>100</v>
      </c>
      <c r="T33" s="774" t="s">
        <v>17</v>
      </c>
      <c r="U33" s="775">
        <f t="shared" si="13"/>
        <v>100</v>
      </c>
      <c r="V33" s="774" t="s">
        <v>17</v>
      </c>
      <c r="W33" s="775">
        <f t="shared" si="14"/>
        <v>100</v>
      </c>
      <c r="X33" s="1817"/>
      <c r="Y33" s="3251"/>
      <c r="Z33" s="1818">
        <f t="shared" si="15"/>
        <v>111</v>
      </c>
      <c r="AA33" s="1815">
        <f t="shared" si="3"/>
        <v>1</v>
      </c>
      <c r="AB33" s="1815">
        <f t="shared" si="4"/>
        <v>1</v>
      </c>
      <c r="AC33" s="1815">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51"/>
      <c r="Q34" s="1814">
        <f t="shared" si="11"/>
        <v>111</v>
      </c>
      <c r="R34" s="774" t="s">
        <v>17</v>
      </c>
      <c r="S34" s="775">
        <f t="shared" si="12"/>
        <v>100</v>
      </c>
      <c r="T34" s="774" t="s">
        <v>17</v>
      </c>
      <c r="U34" s="775">
        <f t="shared" si="13"/>
        <v>100</v>
      </c>
      <c r="V34" s="774" t="s">
        <v>17</v>
      </c>
      <c r="W34" s="775">
        <f t="shared" si="14"/>
        <v>100</v>
      </c>
      <c r="X34" s="1817"/>
      <c r="Y34" s="3251"/>
      <c r="Z34" s="1818">
        <f t="shared" si="15"/>
        <v>111</v>
      </c>
      <c r="AA34" s="1815">
        <f t="shared" si="3"/>
        <v>1</v>
      </c>
      <c r="AB34" s="1815">
        <f t="shared" si="4"/>
        <v>1</v>
      </c>
      <c r="AC34" s="1815">
        <f t="shared" si="5"/>
        <v>1</v>
      </c>
    </row>
    <row r="35" spans="1:29" ht="15">
      <c r="A35" s="479" t="s">
        <v>2574</v>
      </c>
      <c r="B35" s="480"/>
      <c r="C35" s="1410" t="s">
        <v>1</v>
      </c>
      <c r="D35" s="1411"/>
      <c r="E35" s="1412"/>
      <c r="F35" s="1413"/>
      <c r="G35" s="1414"/>
      <c r="H35" s="1415"/>
      <c r="I35" s="1412"/>
      <c r="J35" s="1415"/>
      <c r="K35" s="783"/>
      <c r="L35" s="1146"/>
      <c r="M35" s="1147"/>
      <c r="N35" s="1134"/>
      <c r="O35" s="1147"/>
      <c r="P35" s="3239" t="str">
        <f>A35</f>
        <v>成交单价（元/平方米）</v>
      </c>
      <c r="Q35" s="3239"/>
      <c r="R35" s="3240">
        <f>E35</f>
        <v>0</v>
      </c>
      <c r="S35" s="3240"/>
      <c r="T35" s="3240">
        <f>G35</f>
        <v>0</v>
      </c>
      <c r="U35" s="3240"/>
      <c r="V35" s="3240">
        <f>I35</f>
        <v>0</v>
      </c>
      <c r="W35" s="3240"/>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239" t="str">
        <f>A36</f>
        <v>比较价值（元/平方米）</v>
      </c>
      <c r="Q36" s="3239"/>
      <c r="R36" s="3240" t="e">
        <f>IF(F1="售价",ROUND(PRODUCT(R35,AA7:AA34),0),ROUND(PRODUCT(R35,AA7:AA34),1))</f>
        <v>#DIV/0!</v>
      </c>
      <c r="S36" s="3240"/>
      <c r="T36" s="3240" t="e">
        <f>IF(F1="售价",ROUND(PRODUCT(T35,AB7:AB34),0),ROUND(PRODUCT(T35,AB7:AB34),1))</f>
        <v>#DIV/0!</v>
      </c>
      <c r="U36" s="3240"/>
      <c r="V36" s="3240" t="e">
        <f>IF(F1="售价",ROUND(PRODUCT(V35,AC7:AC34),0),ROUND(PRODUCT(V35,AC7:AC34),1))</f>
        <v>#DIV/0!</v>
      </c>
      <c r="W36" s="3240"/>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340" t="str">
        <f>A37</f>
        <v>估价对象XX用房的比较价值（楼面单价，元/平方米）</v>
      </c>
      <c r="Q37" s="3341"/>
      <c r="R37" s="3342" t="e">
        <f>IF(F1="售价",ROUND(AVERAGE(R36:V36),0),ROUND(AVERAGE(R36:V36),1))</f>
        <v>#DIV/0!</v>
      </c>
      <c r="S37" s="3342"/>
      <c r="T37" s="3342"/>
      <c r="U37" s="3342"/>
      <c r="V37" s="3342"/>
      <c r="W37" s="334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6" customFormat="1" ht="15">
      <c r="A47" s="509"/>
      <c r="B47" s="510"/>
      <c r="C47" s="1577">
        <v>100</v>
      </c>
      <c r="D47" s="512"/>
      <c r="E47" s="512"/>
      <c r="F47" s="512"/>
      <c r="G47" s="512"/>
      <c r="H47" s="512"/>
      <c r="I47" s="512"/>
      <c r="J47" s="512"/>
      <c r="K47" s="512"/>
      <c r="L47" s="512"/>
      <c r="M47" s="513"/>
      <c r="N47" s="512"/>
      <c r="O47" s="514"/>
      <c r="P47" s="504"/>
    </row>
    <row r="48" spans="1:29" s="116" customFormat="1" ht="15.75" thickBot="1">
      <c r="A48" s="515" t="s">
        <v>2582</v>
      </c>
      <c r="B48" s="516"/>
      <c r="C48" s="517"/>
      <c r="D48" s="518"/>
      <c r="E48" s="518"/>
      <c r="F48" s="518"/>
      <c r="G48" s="518"/>
      <c r="H48" s="518"/>
      <c r="I48" s="518"/>
      <c r="J48" s="518"/>
      <c r="K48" s="518"/>
      <c r="L48" s="518"/>
      <c r="M48" s="519"/>
      <c r="N48" s="518"/>
      <c r="O48" s="520"/>
      <c r="P48" s="504"/>
      <c r="Q48" s="504"/>
    </row>
    <row r="49" spans="1:17" s="116" customFormat="1" ht="15">
      <c r="A49" s="521" t="s">
        <v>2547</v>
      </c>
      <c r="B49" s="510"/>
      <c r="C49" s="522" t="s">
        <v>2649</v>
      </c>
      <c r="D49" s="523"/>
      <c r="E49" s="523"/>
      <c r="F49" s="523"/>
      <c r="G49" s="523"/>
      <c r="H49" s="523"/>
      <c r="I49" s="523"/>
      <c r="J49" s="523"/>
      <c r="K49" s="523"/>
      <c r="L49" s="524"/>
      <c r="M49" s="525"/>
      <c r="N49" s="1154"/>
      <c r="O49" s="1154"/>
      <c r="P49" s="526"/>
      <c r="Q49" s="504"/>
    </row>
    <row r="50" spans="1:17" s="116"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4"/>
      <c r="Q51" s="504"/>
    </row>
    <row r="52" spans="1:17" ht="15.75" thickBot="1">
      <c r="A52" s="534"/>
      <c r="B52" s="535"/>
      <c r="C52" s="536">
        <v>100</v>
      </c>
      <c r="D52" s="536"/>
      <c r="E52" s="536"/>
      <c r="F52" s="536"/>
      <c r="G52" s="536"/>
      <c r="H52" s="536"/>
      <c r="I52" s="536"/>
      <c r="J52" s="536"/>
      <c r="K52" s="536"/>
      <c r="L52" s="536"/>
      <c r="M52" s="537"/>
      <c r="N52" s="1156"/>
      <c r="O52" s="1156"/>
      <c r="P52" s="44"/>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4"/>
      <c r="Q54" s="504"/>
    </row>
    <row r="55" spans="1:17" ht="15.75" thickTop="1">
      <c r="A55" s="534"/>
      <c r="B55" s="660">
        <f>B11</f>
        <v>111</v>
      </c>
      <c r="C55" s="549"/>
      <c r="D55" s="549"/>
      <c r="E55" s="549"/>
      <c r="F55" s="549"/>
      <c r="G55" s="549"/>
      <c r="H55" s="549"/>
      <c r="I55" s="549"/>
      <c r="J55" s="549"/>
      <c r="K55" s="550"/>
      <c r="L55" s="551"/>
      <c r="M55" s="552"/>
      <c r="N55" s="1155"/>
      <c r="O55" s="1155"/>
      <c r="P55" s="44"/>
      <c r="Q55" s="504"/>
    </row>
    <row r="56" spans="1:17" ht="15.75" thickBot="1">
      <c r="A56" s="534"/>
      <c r="B56" s="535"/>
      <c r="C56" s="560"/>
      <c r="D56" s="536"/>
      <c r="E56" s="536"/>
      <c r="F56" s="536"/>
      <c r="G56" s="536"/>
      <c r="H56" s="536"/>
      <c r="I56" s="536"/>
      <c r="J56" s="536"/>
      <c r="K56" s="536"/>
      <c r="L56" s="536"/>
      <c r="M56" s="537"/>
      <c r="N56" s="1156"/>
      <c r="O56" s="1156"/>
      <c r="P56" s="44"/>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4"/>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4"/>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4"/>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4"/>
      <c r="Q68" s="504"/>
    </row>
    <row r="69" spans="1:17" ht="15.75" thickTop="1">
      <c r="A69" s="534"/>
      <c r="B69" s="538" t="s">
        <v>2726</v>
      </c>
      <c r="C69" s="554"/>
      <c r="D69" s="554"/>
      <c r="E69" s="554"/>
      <c r="F69" s="554"/>
      <c r="G69" s="554"/>
      <c r="H69" s="583"/>
      <c r="I69" s="583"/>
      <c r="J69" s="583"/>
      <c r="K69" s="584"/>
      <c r="L69" s="585"/>
      <c r="M69" s="586"/>
      <c r="N69" s="1155"/>
      <c r="O69" s="1155"/>
      <c r="P69" s="44"/>
      <c r="Q69" s="504"/>
    </row>
    <row r="70" spans="1:17" ht="15.75" thickBot="1">
      <c r="A70" s="534"/>
      <c r="B70" s="543"/>
      <c r="C70" s="544">
        <v>100</v>
      </c>
      <c r="D70" s="544">
        <f>C70-$K22</f>
        <v>100</v>
      </c>
      <c r="E70" s="544"/>
      <c r="F70" s="544"/>
      <c r="G70" s="544"/>
      <c r="H70" s="544"/>
      <c r="I70" s="544"/>
      <c r="J70" s="544"/>
      <c r="K70" s="544"/>
      <c r="L70" s="544"/>
      <c r="M70" s="545"/>
      <c r="N70" s="1156"/>
      <c r="O70" s="1156"/>
      <c r="P70" s="44"/>
      <c r="Q70" s="504"/>
    </row>
    <row r="71" spans="1:17" s="116" customFormat="1" ht="15.75" thickTop="1">
      <c r="A71" s="579"/>
      <c r="B71" s="538">
        <f>B23</f>
        <v>111</v>
      </c>
      <c r="C71" s="549"/>
      <c r="D71" s="549"/>
      <c r="E71" s="549"/>
      <c r="F71" s="549"/>
      <c r="G71" s="554"/>
      <c r="H71" s="554"/>
      <c r="I71" s="554"/>
      <c r="J71" s="554"/>
      <c r="K71" s="554"/>
      <c r="L71" s="580"/>
      <c r="M71" s="581"/>
      <c r="N71" s="1154"/>
      <c r="O71" s="1154"/>
      <c r="P71" s="44"/>
      <c r="Q71" s="504"/>
    </row>
    <row r="72" spans="1:17" s="116" customFormat="1" ht="15.75" thickBot="1">
      <c r="A72" s="579"/>
      <c r="B72" s="543"/>
      <c r="C72" s="560"/>
      <c r="D72" s="536"/>
      <c r="E72" s="536"/>
      <c r="F72" s="536"/>
      <c r="G72" s="536"/>
      <c r="H72" s="536"/>
      <c r="I72" s="536"/>
      <c r="J72" s="536"/>
      <c r="K72" s="536"/>
      <c r="L72" s="536"/>
      <c r="M72" s="537"/>
      <c r="N72" s="1156"/>
      <c r="O72" s="1156"/>
      <c r="P72" s="44"/>
      <c r="Q72" s="504"/>
    </row>
    <row r="73" spans="1:17" s="116" customFormat="1" ht="15.75" thickTop="1">
      <c r="A73" s="579"/>
      <c r="B73" s="538">
        <f>B24</f>
        <v>111</v>
      </c>
      <c r="C73" s="549"/>
      <c r="D73" s="549"/>
      <c r="E73" s="549"/>
      <c r="F73" s="549"/>
      <c r="G73" s="554"/>
      <c r="H73" s="554"/>
      <c r="I73" s="554"/>
      <c r="J73" s="554"/>
      <c r="K73" s="554"/>
      <c r="L73" s="554"/>
      <c r="M73" s="581"/>
      <c r="N73" s="1154"/>
      <c r="O73" s="1154"/>
      <c r="P73" s="44"/>
      <c r="Q73" s="504"/>
    </row>
    <row r="74" spans="1:17" s="116" customFormat="1" ht="15.75" thickBot="1">
      <c r="A74" s="579"/>
      <c r="B74" s="543"/>
      <c r="C74" s="560"/>
      <c r="D74" s="536"/>
      <c r="E74" s="536"/>
      <c r="F74" s="536"/>
      <c r="G74" s="536"/>
      <c r="H74" s="536"/>
      <c r="I74" s="536"/>
      <c r="J74" s="536"/>
      <c r="K74" s="536"/>
      <c r="L74" s="536"/>
      <c r="M74" s="537"/>
      <c r="N74" s="1156"/>
      <c r="O74" s="1156"/>
      <c r="P74" s="44"/>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4"/>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4"/>
      <c r="Q79" s="504"/>
    </row>
    <row r="80" spans="1:17" ht="15">
      <c r="A80" s="534"/>
      <c r="B80" s="546"/>
      <c r="C80" s="603">
        <v>0.5</v>
      </c>
      <c r="D80" s="603">
        <v>0.6</v>
      </c>
      <c r="E80" s="603">
        <v>0.7</v>
      </c>
      <c r="F80" s="603">
        <v>0.8</v>
      </c>
      <c r="G80" s="603">
        <v>0.9</v>
      </c>
      <c r="H80" s="603">
        <v>1.0001</v>
      </c>
      <c r="I80" s="660"/>
      <c r="J80" s="660"/>
      <c r="K80" s="668"/>
      <c r="L80" s="669"/>
      <c r="M80" s="670"/>
      <c r="N80" s="1154"/>
      <c r="O80" s="1154"/>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4"/>
      <c r="Q83" s="504"/>
    </row>
    <row r="84" spans="1:17" ht="15" thickTop="1">
      <c r="A84" s="599"/>
      <c r="B84" s="538" t="s">
        <v>2738</v>
      </c>
      <c r="C84" s="554"/>
      <c r="D84" s="554"/>
      <c r="E84" s="554"/>
      <c r="F84" s="554"/>
      <c r="G84" s="554"/>
      <c r="H84" s="554"/>
      <c r="I84" s="583"/>
      <c r="J84" s="583"/>
      <c r="K84" s="584"/>
      <c r="L84" s="585"/>
      <c r="M84" s="586"/>
      <c r="N84" s="1155"/>
      <c r="O84" s="1155"/>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4"/>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4"/>
      <c r="Q86" s="504"/>
    </row>
    <row r="87" spans="1:17">
      <c r="A87" s="599"/>
      <c r="B87" s="546"/>
      <c r="C87" s="595"/>
      <c r="D87" s="595"/>
      <c r="E87" s="595"/>
      <c r="F87" s="595"/>
      <c r="G87" s="595"/>
      <c r="H87" s="595"/>
      <c r="I87" s="595"/>
      <c r="J87" s="596"/>
      <c r="K87" s="596"/>
      <c r="L87" s="597"/>
      <c r="M87" s="598"/>
      <c r="N87" s="1155"/>
      <c r="O87" s="1155"/>
      <c r="P87" s="44"/>
      <c r="Q87" s="504"/>
    </row>
    <row r="88" spans="1:17" ht="15.75" thickBot="1">
      <c r="A88" s="534"/>
      <c r="B88" s="543"/>
      <c r="C88" s="560"/>
      <c r="D88" s="536"/>
      <c r="E88" s="536"/>
      <c r="F88" s="536"/>
      <c r="G88" s="536"/>
      <c r="H88" s="536"/>
      <c r="I88" s="536"/>
      <c r="J88" s="536"/>
      <c r="K88" s="536"/>
      <c r="L88" s="536"/>
      <c r="M88" s="536"/>
      <c r="N88" s="1156"/>
      <c r="O88" s="1156"/>
      <c r="P88" s="44"/>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4"/>
      <c r="Q91" s="504"/>
    </row>
    <row r="92" spans="1:17" ht="15.75" thickBot="1">
      <c r="A92" s="534"/>
      <c r="B92" s="543"/>
      <c r="C92" s="560"/>
      <c r="D92" s="536"/>
      <c r="E92" s="536"/>
      <c r="F92" s="536"/>
      <c r="G92" s="560"/>
      <c r="H92" s="562"/>
      <c r="I92" s="562"/>
      <c r="J92" s="562"/>
      <c r="K92" s="562"/>
      <c r="L92" s="562"/>
      <c r="M92" s="563"/>
      <c r="N92" s="1156"/>
      <c r="O92" s="1156"/>
      <c r="P92" s="44"/>
      <c r="Q92" s="504"/>
    </row>
    <row r="93" spans="1:17" ht="15" thickTop="1">
      <c r="A93" s="599"/>
      <c r="B93" s="538">
        <f>B33</f>
        <v>111</v>
      </c>
      <c r="C93" s="549"/>
      <c r="D93" s="549"/>
      <c r="E93" s="549"/>
      <c r="F93" s="549"/>
      <c r="G93" s="554"/>
      <c r="H93" s="555"/>
      <c r="I93" s="555"/>
      <c r="J93" s="555"/>
      <c r="K93" s="555"/>
      <c r="L93" s="556"/>
      <c r="M93" s="557"/>
      <c r="N93" s="1155"/>
      <c r="O93" s="1155"/>
      <c r="P93" s="44"/>
      <c r="Q93" s="504"/>
    </row>
    <row r="94" spans="1:17" ht="15.75" thickBot="1">
      <c r="A94" s="534"/>
      <c r="B94" s="543"/>
      <c r="C94" s="560"/>
      <c r="D94" s="536"/>
      <c r="E94" s="536"/>
      <c r="F94" s="536"/>
      <c r="G94" s="560"/>
      <c r="H94" s="562"/>
      <c r="I94" s="562"/>
      <c r="J94" s="562"/>
      <c r="K94" s="562"/>
      <c r="L94" s="562"/>
      <c r="M94" s="563"/>
      <c r="N94" s="1156"/>
      <c r="O94" s="1156"/>
      <c r="P94" s="44"/>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4"/>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7" priority="14" stopIfTrue="1" operator="containsText" text="超过">
      <formula>NOT(ISERROR(SEARCH("超过",F40)))</formula>
    </cfRule>
  </conditionalFormatting>
  <conditionalFormatting sqref="J42">
    <cfRule type="containsText" dxfId="56" priority="13" stopIfTrue="1" operator="containsText" text="超过">
      <formula>NOT(ISERROR(SEARCH("超过",J42)))</formula>
    </cfRule>
  </conditionalFormatting>
  <conditionalFormatting sqref="H42">
    <cfRule type="containsText" dxfId="55" priority="12" stopIfTrue="1" operator="containsText" text="超过">
      <formula>NOT(ISERROR(SEARCH("超过",H42)))</formula>
    </cfRule>
  </conditionalFormatting>
  <conditionalFormatting sqref="F42">
    <cfRule type="containsText" dxfId="54" priority="11" stopIfTrue="1" operator="containsText" text="超过">
      <formula>NOT(ISERROR(SEARCH("超过",F42)))</formula>
    </cfRule>
  </conditionalFormatting>
  <conditionalFormatting sqref="F41 H41 J41">
    <cfRule type="containsText" dxfId="53" priority="10" stopIfTrue="1" operator="containsText" text="超过">
      <formula>NOT(ISERROR(SEARCH("超过",F41)))</formula>
    </cfRule>
  </conditionalFormatting>
  <conditionalFormatting sqref="E40">
    <cfRule type="expression" dxfId="52" priority="9" stopIfTrue="1">
      <formula>$F$40="超过30%"</formula>
    </cfRule>
  </conditionalFormatting>
  <conditionalFormatting sqref="G42">
    <cfRule type="expression" dxfId="51" priority="8" stopIfTrue="1">
      <formula>$H$54+$H$42="超过30%"</formula>
    </cfRule>
  </conditionalFormatting>
  <conditionalFormatting sqref="E41">
    <cfRule type="expression" dxfId="50" priority="7" stopIfTrue="1">
      <formula>$F$41="超过20%"</formula>
    </cfRule>
  </conditionalFormatting>
  <conditionalFormatting sqref="E42">
    <cfRule type="expression" dxfId="49" priority="6" stopIfTrue="1">
      <formula>$F$42="超过30%"</formula>
    </cfRule>
  </conditionalFormatting>
  <conditionalFormatting sqref="G40">
    <cfRule type="expression" dxfId="48" priority="5" stopIfTrue="1">
      <formula>$H$52+$H$40="超过30%"</formula>
    </cfRule>
  </conditionalFormatting>
  <conditionalFormatting sqref="G41">
    <cfRule type="expression" dxfId="47" priority="4" stopIfTrue="1">
      <formula>$H$53+$H$41="超过20%"</formula>
    </cfRule>
  </conditionalFormatting>
  <conditionalFormatting sqref="I40">
    <cfRule type="expression" dxfId="46" priority="3" stopIfTrue="1">
      <formula>$J$40="超过30%"</formula>
    </cfRule>
  </conditionalFormatting>
  <conditionalFormatting sqref="I41">
    <cfRule type="expression" dxfId="45" priority="2" stopIfTrue="1">
      <formula>$J$41="超过20%"</formula>
    </cfRule>
  </conditionalFormatting>
  <conditionalFormatting sqref="I42">
    <cfRule type="expression" dxfId="4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56" t="s">
        <v>2643</v>
      </c>
      <c r="D4" s="3257"/>
      <c r="E4" s="3258" t="s">
        <v>2644</v>
      </c>
      <c r="F4" s="3259"/>
      <c r="G4" s="3256" t="s">
        <v>2645</v>
      </c>
      <c r="H4" s="3257"/>
      <c r="I4" s="3256" t="s">
        <v>2646</v>
      </c>
      <c r="J4" s="3257"/>
      <c r="K4" s="610" t="s">
        <v>2647</v>
      </c>
      <c r="L4" s="1133"/>
      <c r="M4" s="1134"/>
      <c r="N4" s="1134"/>
      <c r="O4" s="1134"/>
      <c r="P4" s="3344" t="s">
        <v>2648</v>
      </c>
      <c r="Q4" s="3345"/>
      <c r="R4" s="3348" t="s">
        <v>2644</v>
      </c>
      <c r="S4" s="3349"/>
      <c r="T4" s="3348" t="s">
        <v>2645</v>
      </c>
      <c r="U4" s="3349"/>
      <c r="V4" s="3273" t="s">
        <v>2646</v>
      </c>
      <c r="W4" s="3273"/>
      <c r="X4" s="1817"/>
      <c r="Y4" s="3348" t="s">
        <v>2648</v>
      </c>
      <c r="Z4" s="3349"/>
      <c r="AA4" s="3343" t="s">
        <v>2644</v>
      </c>
      <c r="AB4" s="3286" t="s">
        <v>2645</v>
      </c>
      <c r="AC4" s="3343" t="s">
        <v>2646</v>
      </c>
    </row>
    <row r="5" spans="1:30" ht="15">
      <c r="A5" s="404"/>
      <c r="B5" s="405"/>
      <c r="C5" s="3282" t="s">
        <v>2539</v>
      </c>
      <c r="D5" s="3277"/>
      <c r="E5" s="3350" t="s">
        <v>2540</v>
      </c>
      <c r="F5" s="3289"/>
      <c r="G5" s="3282" t="s">
        <v>2541</v>
      </c>
      <c r="H5" s="3277"/>
      <c r="I5" s="3282" t="s">
        <v>2542</v>
      </c>
      <c r="J5" s="3277"/>
      <c r="K5" s="610"/>
      <c r="L5" s="1133"/>
      <c r="M5" s="1134"/>
      <c r="N5" s="1134"/>
      <c r="O5" s="1134"/>
      <c r="P5" s="3346"/>
      <c r="Q5" s="3263"/>
      <c r="R5" s="3268"/>
      <c r="S5" s="3269"/>
      <c r="T5" s="3268"/>
      <c r="U5" s="3269"/>
      <c r="V5" s="3273"/>
      <c r="W5" s="3273"/>
      <c r="X5" s="1817"/>
      <c r="Y5" s="3268"/>
      <c r="Z5" s="3269"/>
      <c r="AA5" s="3286"/>
      <c r="AB5" s="3286"/>
      <c r="AC5" s="3286"/>
    </row>
    <row r="6" spans="1:30" ht="15.75" thickBot="1">
      <c r="A6" s="406"/>
      <c r="B6" s="407"/>
      <c r="C6" s="3274" t="s">
        <v>2543</v>
      </c>
      <c r="D6" s="3275"/>
      <c r="E6" s="3283" t="s">
        <v>2543</v>
      </c>
      <c r="F6" s="3284"/>
      <c r="G6" s="3274" t="s">
        <v>2543</v>
      </c>
      <c r="H6" s="3275"/>
      <c r="I6" s="3274" t="s">
        <v>2543</v>
      </c>
      <c r="J6" s="3275"/>
      <c r="K6" s="610" t="s">
        <v>2544</v>
      </c>
      <c r="L6" s="1133"/>
      <c r="M6" s="1134"/>
      <c r="N6" s="1134"/>
      <c r="O6" s="1134"/>
      <c r="P6" s="3347"/>
      <c r="Q6" s="3265"/>
      <c r="R6" s="3268"/>
      <c r="S6" s="3269"/>
      <c r="T6" s="3270"/>
      <c r="U6" s="3271"/>
      <c r="V6" s="3273"/>
      <c r="W6" s="3273"/>
      <c r="X6" s="1817"/>
      <c r="Y6" s="3270"/>
      <c r="Z6" s="3271"/>
      <c r="AA6" s="3287"/>
      <c r="AB6" s="3287"/>
      <c r="AC6" s="3287"/>
    </row>
    <row r="7" spans="1:30" s="116" customFormat="1" ht="15.75" thickBot="1">
      <c r="A7" s="408" t="s">
        <v>2545</v>
      </c>
      <c r="B7" s="409"/>
      <c r="C7" s="410">
        <f>'数据-取费表'!B2</f>
        <v>43047</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80" t="s">
        <v>2546</v>
      </c>
      <c r="Q7" s="3281"/>
      <c r="R7" s="770" t="s">
        <v>17</v>
      </c>
      <c r="S7" s="771">
        <f t="shared" ref="S7:S15" si="0">F7</f>
        <v>0</v>
      </c>
      <c r="T7" s="770" t="s">
        <v>17</v>
      </c>
      <c r="U7" s="771">
        <f t="shared" ref="U7:U15" si="1">H7</f>
        <v>0</v>
      </c>
      <c r="V7" s="770" t="s">
        <v>17</v>
      </c>
      <c r="W7" s="771">
        <f t="shared" ref="W7:W15" si="2">J7</f>
        <v>0</v>
      </c>
      <c r="X7" s="772"/>
      <c r="Y7" s="3280" t="s">
        <v>2546</v>
      </c>
      <c r="Z7" s="3279"/>
      <c r="AA7" s="773" t="e">
        <f>D7/F7</f>
        <v>#DIV/0!</v>
      </c>
      <c r="AB7" s="773" t="e">
        <f>D7/H7</f>
        <v>#DIV/0!</v>
      </c>
      <c r="AC7" s="773" t="e">
        <f>D7/J7</f>
        <v>#DIV/0!</v>
      </c>
    </row>
    <row r="8" spans="1:30" s="116"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80" t="s">
        <v>2549</v>
      </c>
      <c r="Q8" s="3279"/>
      <c r="R8" s="770" t="s">
        <v>17</v>
      </c>
      <c r="S8" s="771">
        <f t="shared" si="0"/>
        <v>0</v>
      </c>
      <c r="T8" s="770" t="s">
        <v>17</v>
      </c>
      <c r="U8" s="771">
        <f t="shared" si="1"/>
        <v>0</v>
      </c>
      <c r="V8" s="770" t="s">
        <v>17</v>
      </c>
      <c r="W8" s="771">
        <f t="shared" si="2"/>
        <v>0</v>
      </c>
      <c r="X8" s="772"/>
      <c r="Y8" s="3280" t="s">
        <v>2549</v>
      </c>
      <c r="Z8" s="3279"/>
      <c r="AA8" s="773" t="e">
        <f t="shared" ref="AA8:AA45" si="3">D8/F8</f>
        <v>#DIV/0!</v>
      </c>
      <c r="AB8" s="773" t="e">
        <f t="shared" ref="AB8:AB45" si="4">D8/H8</f>
        <v>#DIV/0!</v>
      </c>
      <c r="AC8" s="773" t="e">
        <f t="shared" ref="AC8:AC45" si="5">D8/J8</f>
        <v>#DIV/0!</v>
      </c>
    </row>
    <row r="9" spans="1:30" s="116" customFormat="1">
      <c r="A9" s="415" t="s">
        <v>2550</v>
      </c>
      <c r="B9" s="70" t="s">
        <v>2551</v>
      </c>
      <c r="C9" s="2701"/>
      <c r="D9" s="134">
        <v>100</v>
      </c>
      <c r="E9" s="2701"/>
      <c r="F9" s="134">
        <f>SUMIF(75:75,E9,76:76)-SUMIF(75:75,C9,76:76)+100</f>
        <v>100</v>
      </c>
      <c r="G9" s="2701"/>
      <c r="H9" s="134">
        <f>SUMIF(75:75,G9,76:76)-SUMIF(75:75,C9,76:76)+100</f>
        <v>100</v>
      </c>
      <c r="I9" s="2701"/>
      <c r="J9" s="134">
        <f>SUMIF(75:75,I9,76:76)-SUMIF(75:75,C9,76:76)+100</f>
        <v>100</v>
      </c>
      <c r="K9" s="611"/>
      <c r="L9" s="1135"/>
      <c r="M9" s="1136"/>
      <c r="N9" s="1136"/>
      <c r="O9" s="1137"/>
      <c r="P9" s="3239" t="s">
        <v>2552</v>
      </c>
      <c r="Q9" s="1799" t="str">
        <f t="shared" ref="Q9:Q15" si="6">B9</f>
        <v>用途</v>
      </c>
      <c r="R9" s="770" t="s">
        <v>17</v>
      </c>
      <c r="S9" s="771">
        <f t="shared" si="0"/>
        <v>100</v>
      </c>
      <c r="T9" s="770" t="s">
        <v>17</v>
      </c>
      <c r="U9" s="771">
        <f t="shared" si="1"/>
        <v>100</v>
      </c>
      <c r="V9" s="770" t="s">
        <v>17</v>
      </c>
      <c r="W9" s="771">
        <f t="shared" si="2"/>
        <v>100</v>
      </c>
      <c r="X9" s="772"/>
      <c r="Y9" s="3096" t="s">
        <v>2553</v>
      </c>
      <c r="Z9" s="54" t="str">
        <f t="shared" ref="Z9:Z15" si="7">Q9</f>
        <v>用途</v>
      </c>
      <c r="AA9" s="773">
        <f t="shared" si="3"/>
        <v>1</v>
      </c>
      <c r="AB9" s="773">
        <f t="shared" si="4"/>
        <v>1</v>
      </c>
      <c r="AC9" s="773">
        <f t="shared" si="5"/>
        <v>1</v>
      </c>
    </row>
    <row r="10" spans="1:30" s="427" customFormat="1" ht="27">
      <c r="A10" s="421"/>
      <c r="B10" s="422" t="s">
        <v>2554</v>
      </c>
      <c r="C10" s="432"/>
      <c r="D10" s="135">
        <v>100</v>
      </c>
      <c r="E10" s="465"/>
      <c r="F10" s="135">
        <f>ROUND(100/'数据-取费表'!G16,0)</f>
        <v>113</v>
      </c>
      <c r="G10" s="463"/>
      <c r="H10" s="135">
        <f>ROUND(100/'数据-取费表'!G16,0)</f>
        <v>113</v>
      </c>
      <c r="I10" s="463"/>
      <c r="J10" s="135">
        <f>ROUND(100/'数据-取费表'!G16,0)</f>
        <v>113</v>
      </c>
      <c r="K10" s="672"/>
      <c r="L10" s="1138"/>
      <c r="M10" s="1139"/>
      <c r="N10" s="1139"/>
      <c r="O10" s="1140"/>
      <c r="P10" s="3239"/>
      <c r="Q10" s="1799" t="str">
        <f t="shared" si="6"/>
        <v>土地使用年限（年）</v>
      </c>
      <c r="R10" s="770" t="s">
        <v>17</v>
      </c>
      <c r="S10" s="771">
        <f t="shared" si="0"/>
        <v>113</v>
      </c>
      <c r="T10" s="770" t="s">
        <v>17</v>
      </c>
      <c r="U10" s="771">
        <f t="shared" si="1"/>
        <v>113</v>
      </c>
      <c r="V10" s="770" t="s">
        <v>17</v>
      </c>
      <c r="W10" s="771">
        <f t="shared" si="2"/>
        <v>113</v>
      </c>
      <c r="X10" s="772"/>
      <c r="Y10" s="3096"/>
      <c r="Z10" s="54" t="str">
        <f t="shared" si="7"/>
        <v>土地使用年限（年）</v>
      </c>
      <c r="AA10" s="773">
        <f t="shared" si="3"/>
        <v>0.88495575221238942</v>
      </c>
      <c r="AB10" s="773">
        <f t="shared" si="4"/>
        <v>0.88495575221238942</v>
      </c>
      <c r="AC10" s="773">
        <f t="shared" si="5"/>
        <v>0.88495575221238942</v>
      </c>
    </row>
    <row r="11" spans="1:30" ht="15">
      <c r="A11" s="428"/>
      <c r="B11" s="422" t="s">
        <v>2555</v>
      </c>
      <c r="C11" s="429"/>
      <c r="D11" s="135">
        <v>100</v>
      </c>
      <c r="E11" s="429"/>
      <c r="F11" s="135" t="e">
        <f>LOOKUP(E11,80:80,81:81)-LOOKUP(C11,80:80,81:81)+100</f>
        <v>#N/A</v>
      </c>
      <c r="G11" s="430"/>
      <c r="H11" s="135" t="e">
        <f>LOOKUP(G11,80:80,81:81)-LOOKUP(C11,80:80,81:81)+100</f>
        <v>#N/A</v>
      </c>
      <c r="I11" s="429"/>
      <c r="J11" s="135" t="e">
        <f>LOOKUP(I11,80:80,81:81)-LOOKUP(C11,80:80,81:81)+100</f>
        <v>#N/A</v>
      </c>
      <c r="K11" s="673"/>
      <c r="L11" s="1141"/>
      <c r="M11" s="1134"/>
      <c r="N11" s="1134"/>
      <c r="O11" s="1142"/>
      <c r="P11" s="3239"/>
      <c r="Q11" s="1799" t="str">
        <f t="shared" si="6"/>
        <v>容积率</v>
      </c>
      <c r="R11" s="770" t="s">
        <v>17</v>
      </c>
      <c r="S11" s="771" t="e">
        <f t="shared" si="0"/>
        <v>#N/A</v>
      </c>
      <c r="T11" s="770" t="s">
        <v>17</v>
      </c>
      <c r="U11" s="771" t="e">
        <f t="shared" si="1"/>
        <v>#N/A</v>
      </c>
      <c r="V11" s="770" t="s">
        <v>17</v>
      </c>
      <c r="W11" s="771" t="e">
        <f t="shared" si="2"/>
        <v>#N/A</v>
      </c>
      <c r="X11" s="772"/>
      <c r="Y11" s="3096"/>
      <c r="Z11" s="54" t="str">
        <f t="shared" si="7"/>
        <v>容积率</v>
      </c>
      <c r="AA11" s="773" t="e">
        <f t="shared" si="3"/>
        <v>#N/A</v>
      </c>
      <c r="AB11" s="773" t="e">
        <f t="shared" si="4"/>
        <v>#N/A</v>
      </c>
      <c r="AC11" s="773" t="e">
        <f t="shared" si="5"/>
        <v>#N/A</v>
      </c>
    </row>
    <row r="12" spans="1:30" s="116" customFormat="1" ht="15">
      <c r="A12" s="431"/>
      <c r="B12" s="2602" t="s">
        <v>2744</v>
      </c>
      <c r="C12" s="432"/>
      <c r="D12" s="433">
        <v>100</v>
      </c>
      <c r="E12" s="465"/>
      <c r="F12" s="135">
        <f>SUMIF(82:82,E12,83:83)-SUMIF(82:82,C12,83:83)+100</f>
        <v>100</v>
      </c>
      <c r="G12" s="463"/>
      <c r="H12" s="135">
        <f>SUMIF(82:82,G12,83:83)-SUMIF(82:82,C12,83:83)+100</f>
        <v>100</v>
      </c>
      <c r="I12" s="465"/>
      <c r="J12" s="135">
        <f>SUMIF(82:82,I12,83:83)-SUMIF(82:82,C12,83:83)+100</f>
        <v>100</v>
      </c>
      <c r="K12" s="672"/>
      <c r="L12" s="1135"/>
      <c r="M12" s="1136"/>
      <c r="N12" s="1136"/>
      <c r="O12" s="1137"/>
      <c r="P12" s="3239"/>
      <c r="Q12" s="1799" t="str">
        <f t="shared" si="6"/>
        <v>配建</v>
      </c>
      <c r="R12" s="770" t="s">
        <v>17</v>
      </c>
      <c r="S12" s="771">
        <f t="shared" si="0"/>
        <v>100</v>
      </c>
      <c r="T12" s="770" t="s">
        <v>17</v>
      </c>
      <c r="U12" s="771">
        <f t="shared" si="1"/>
        <v>100</v>
      </c>
      <c r="V12" s="770" t="s">
        <v>17</v>
      </c>
      <c r="W12" s="771">
        <f t="shared" si="2"/>
        <v>100</v>
      </c>
      <c r="X12" s="772"/>
      <c r="Y12" s="3096"/>
      <c r="Z12" s="54" t="str">
        <f t="shared" si="7"/>
        <v>配建</v>
      </c>
      <c r="AA12" s="773">
        <f>D12/F12</f>
        <v>1</v>
      </c>
      <c r="AB12" s="773">
        <f>D12/H12</f>
        <v>1</v>
      </c>
      <c r="AC12" s="773">
        <f>D12/J12</f>
        <v>1</v>
      </c>
    </row>
    <row r="13" spans="1:30" ht="15">
      <c r="A13" s="428"/>
      <c r="B13" s="2602">
        <v>111</v>
      </c>
      <c r="C13" s="434"/>
      <c r="D13" s="435">
        <v>100</v>
      </c>
      <c r="E13" s="549"/>
      <c r="F13" s="135">
        <f>SUMIF(84:84,E13,85:85)-SUMIF(84:84,C13,85:85)+100</f>
        <v>100</v>
      </c>
      <c r="G13" s="674"/>
      <c r="H13" s="435">
        <f>SUMIF(84:84,G13,85:85)-SUMIF(84:84,C13,85:85)+100</f>
        <v>100</v>
      </c>
      <c r="I13" s="674"/>
      <c r="J13" s="435">
        <f>SUMIF(84:84,I13,85:85)-SUMIF(84:84,C13,85:85)+100</f>
        <v>100</v>
      </c>
      <c r="K13" s="672"/>
      <c r="L13" s="1143"/>
      <c r="M13" s="1134"/>
      <c r="N13" s="1134"/>
      <c r="O13" s="1142"/>
      <c r="P13" s="3239"/>
      <c r="Q13" s="1799">
        <f t="shared" si="6"/>
        <v>111</v>
      </c>
      <c r="R13" s="770" t="s">
        <v>17</v>
      </c>
      <c r="S13" s="771">
        <f t="shared" si="0"/>
        <v>100</v>
      </c>
      <c r="T13" s="770" t="s">
        <v>17</v>
      </c>
      <c r="U13" s="771">
        <f t="shared" si="1"/>
        <v>100</v>
      </c>
      <c r="V13" s="770" t="s">
        <v>17</v>
      </c>
      <c r="W13" s="771">
        <f t="shared" si="2"/>
        <v>100</v>
      </c>
      <c r="X13" s="772"/>
      <c r="Y13" s="3096"/>
      <c r="Z13" s="54">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9"/>
      <c r="Q14" s="1799">
        <f t="shared" si="6"/>
        <v>111</v>
      </c>
      <c r="R14" s="770" t="s">
        <v>17</v>
      </c>
      <c r="S14" s="771">
        <f t="shared" si="0"/>
        <v>100</v>
      </c>
      <c r="T14" s="770" t="s">
        <v>17</v>
      </c>
      <c r="U14" s="771">
        <f t="shared" si="1"/>
        <v>100</v>
      </c>
      <c r="V14" s="770" t="s">
        <v>17</v>
      </c>
      <c r="W14" s="771">
        <f t="shared" si="2"/>
        <v>100</v>
      </c>
      <c r="X14" s="772"/>
      <c r="Y14" s="3096"/>
      <c r="Z14" s="54">
        <f t="shared" si="7"/>
        <v>111</v>
      </c>
      <c r="AA14" s="773">
        <f>D14/F14</f>
        <v>1</v>
      </c>
      <c r="AB14" s="773">
        <f>D14/H14</f>
        <v>1</v>
      </c>
      <c r="AC14" s="773">
        <f>D14/J14</f>
        <v>1</v>
      </c>
    </row>
    <row r="15" spans="1:30" ht="99.75">
      <c r="A15" s="440" t="s">
        <v>2556</v>
      </c>
      <c r="B15" s="68" t="s">
        <v>2088</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46" t="s">
        <v>2557</v>
      </c>
      <c r="Q15" s="1814" t="str">
        <f t="shared" si="6"/>
        <v>居住社区成熟度</v>
      </c>
      <c r="R15" s="774" t="s">
        <v>17</v>
      </c>
      <c r="S15" s="775">
        <f t="shared" si="0"/>
        <v>100</v>
      </c>
      <c r="T15" s="774" t="s">
        <v>17</v>
      </c>
      <c r="U15" s="775">
        <f t="shared" si="1"/>
        <v>100</v>
      </c>
      <c r="V15" s="774" t="s">
        <v>17</v>
      </c>
      <c r="W15" s="775">
        <f t="shared" si="2"/>
        <v>100</v>
      </c>
      <c r="X15" s="1817"/>
      <c r="Y15" s="3246" t="s">
        <v>2557</v>
      </c>
      <c r="Z15" s="1818" t="str">
        <f t="shared" si="7"/>
        <v>居住社区成熟度</v>
      </c>
      <c r="AA15" s="1815">
        <f t="shared" si="3"/>
        <v>1</v>
      </c>
      <c r="AB15" s="1815">
        <f t="shared" si="4"/>
        <v>1</v>
      </c>
      <c r="AC15" s="1815">
        <f t="shared" si="5"/>
        <v>1</v>
      </c>
    </row>
    <row r="16" spans="1:30" ht="15">
      <c r="A16" s="428"/>
      <c r="B16" s="446"/>
      <c r="C16" s="447"/>
      <c r="D16" s="448"/>
      <c r="E16" s="2607"/>
      <c r="F16" s="448"/>
      <c r="G16" s="2607"/>
      <c r="H16" s="450"/>
      <c r="I16" s="2606"/>
      <c r="J16" s="448"/>
      <c r="K16" s="672"/>
      <c r="L16" s="1143"/>
      <c r="M16" s="1134"/>
      <c r="N16" s="1134"/>
      <c r="O16" s="1142"/>
      <c r="P16" s="3247"/>
      <c r="Q16" s="1814"/>
      <c r="R16" s="774"/>
      <c r="S16" s="775"/>
      <c r="T16" s="774"/>
      <c r="U16" s="775"/>
      <c r="V16" s="774"/>
      <c r="W16" s="775"/>
      <c r="X16" s="1817"/>
      <c r="Y16" s="3247"/>
      <c r="Z16" s="1818"/>
      <c r="AA16" s="1815">
        <v>1</v>
      </c>
      <c r="AB16" s="1815">
        <v>1</v>
      </c>
      <c r="AC16" s="1815">
        <v>1</v>
      </c>
    </row>
    <row r="17" spans="1:29" ht="71.25">
      <c r="A17" s="428"/>
      <c r="B17" s="451" t="s">
        <v>2650</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47"/>
      <c r="Q17" s="1814" t="str">
        <f>B17</f>
        <v>商业繁华度</v>
      </c>
      <c r="R17" s="774" t="s">
        <v>17</v>
      </c>
      <c r="S17" s="775">
        <f>F17</f>
        <v>100</v>
      </c>
      <c r="T17" s="774" t="s">
        <v>17</v>
      </c>
      <c r="U17" s="775">
        <f>H17</f>
        <v>100</v>
      </c>
      <c r="V17" s="774" t="s">
        <v>17</v>
      </c>
      <c r="W17" s="775">
        <f>J17</f>
        <v>100</v>
      </c>
      <c r="X17" s="1817"/>
      <c r="Y17" s="3247"/>
      <c r="Z17" s="1818" t="str">
        <f>Q17</f>
        <v>商业繁华度</v>
      </c>
      <c r="AA17" s="1815">
        <f t="shared" si="3"/>
        <v>1</v>
      </c>
      <c r="AB17" s="1815">
        <f t="shared" si="4"/>
        <v>1</v>
      </c>
      <c r="AC17" s="1815">
        <f t="shared" si="5"/>
        <v>1</v>
      </c>
    </row>
    <row r="18" spans="1:29" ht="15">
      <c r="A18" s="428"/>
      <c r="B18" s="456"/>
      <c r="C18" s="2610"/>
      <c r="D18" s="450"/>
      <c r="E18" s="2612"/>
      <c r="F18" s="450"/>
      <c r="G18" s="2612"/>
      <c r="H18" s="448"/>
      <c r="I18" s="2611"/>
      <c r="J18" s="448"/>
      <c r="K18" s="672"/>
      <c r="L18" s="1143"/>
      <c r="M18" s="1134"/>
      <c r="N18" s="1134"/>
      <c r="O18" s="1142"/>
      <c r="P18" s="3247"/>
      <c r="Q18" s="1814"/>
      <c r="R18" s="774"/>
      <c r="S18" s="775"/>
      <c r="T18" s="774"/>
      <c r="U18" s="775"/>
      <c r="V18" s="774"/>
      <c r="W18" s="775"/>
      <c r="X18" s="1817"/>
      <c r="Y18" s="3247"/>
      <c r="Z18" s="1818"/>
      <c r="AA18" s="1815">
        <v>1</v>
      </c>
      <c r="AB18" s="1815">
        <v>1</v>
      </c>
      <c r="AC18" s="1815">
        <v>1</v>
      </c>
    </row>
    <row r="19" spans="1:29" ht="71.25">
      <c r="A19" s="428"/>
      <c r="B19" s="451" t="s">
        <v>2684</v>
      </c>
      <c r="C19" s="2666" t="str">
        <f>估价对象房地状况!C17</f>
        <v>估价对象位于三里屯，周边办公楼项目较多，入驻率较高，办公集聚程度较好。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47"/>
      <c r="Q19" s="1814" t="str">
        <f>B19</f>
        <v>办公集聚程度</v>
      </c>
      <c r="R19" s="774" t="s">
        <v>17</v>
      </c>
      <c r="S19" s="775">
        <f>F19</f>
        <v>100</v>
      </c>
      <c r="T19" s="774" t="s">
        <v>17</v>
      </c>
      <c r="U19" s="775">
        <f>H19</f>
        <v>100</v>
      </c>
      <c r="V19" s="774" t="s">
        <v>17</v>
      </c>
      <c r="W19" s="775">
        <f>J19</f>
        <v>100</v>
      </c>
      <c r="X19" s="1817"/>
      <c r="Y19" s="3247"/>
      <c r="Z19" s="1818" t="str">
        <f>Q19</f>
        <v>办公集聚程度</v>
      </c>
      <c r="AA19" s="1815">
        <f t="shared" si="3"/>
        <v>1</v>
      </c>
      <c r="AB19" s="1815">
        <f t="shared" si="4"/>
        <v>1</v>
      </c>
      <c r="AC19" s="1815">
        <f t="shared" si="5"/>
        <v>1</v>
      </c>
    </row>
    <row r="20" spans="1:29" ht="15">
      <c r="A20" s="428"/>
      <c r="B20" s="456"/>
      <c r="C20" s="447"/>
      <c r="D20" s="448"/>
      <c r="E20" s="2607"/>
      <c r="F20" s="448"/>
      <c r="G20" s="2607"/>
      <c r="H20" s="448"/>
      <c r="I20" s="2606"/>
      <c r="J20" s="448"/>
      <c r="K20" s="672"/>
      <c r="L20" s="1143"/>
      <c r="M20" s="1134"/>
      <c r="N20" s="1134"/>
      <c r="O20" s="1142"/>
      <c r="P20" s="3247"/>
      <c r="Q20" s="1814"/>
      <c r="R20" s="774"/>
      <c r="S20" s="775"/>
      <c r="T20" s="774"/>
      <c r="U20" s="775"/>
      <c r="V20" s="774"/>
      <c r="W20" s="775"/>
      <c r="X20" s="1817"/>
      <c r="Y20" s="3247"/>
      <c r="Z20" s="1818"/>
      <c r="AA20" s="1815">
        <v>1</v>
      </c>
      <c r="AB20" s="1815">
        <v>1</v>
      </c>
      <c r="AC20" s="1815">
        <v>1</v>
      </c>
    </row>
    <row r="21" spans="1:29" ht="128.25">
      <c r="A21" s="428"/>
      <c r="B21" s="451" t="s">
        <v>2706</v>
      </c>
      <c r="C21" s="2609" t="str">
        <f>估价对象房地状况!C18</f>
        <v>估价对象周边有113路、115路、117路等多条公交线路，有地铁团结湖站，路网较密集，停车便捷程度较好，综合评价交通便捷度较好。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47"/>
      <c r="Q21" s="1814" t="str">
        <f>B21</f>
        <v>交通便捷度</v>
      </c>
      <c r="R21" s="774" t="s">
        <v>17</v>
      </c>
      <c r="S21" s="775">
        <f>F21</f>
        <v>100</v>
      </c>
      <c r="T21" s="774" t="s">
        <v>17</v>
      </c>
      <c r="U21" s="775">
        <f>H21</f>
        <v>100</v>
      </c>
      <c r="V21" s="774" t="s">
        <v>17</v>
      </c>
      <c r="W21" s="775">
        <f>J21</f>
        <v>100</v>
      </c>
      <c r="X21" s="1817"/>
      <c r="Y21" s="3247"/>
      <c r="Z21" s="1818" t="str">
        <f>Q21</f>
        <v>交通便捷度</v>
      </c>
      <c r="AA21" s="1815">
        <f t="shared" si="3"/>
        <v>1</v>
      </c>
      <c r="AB21" s="1815">
        <f t="shared" si="4"/>
        <v>1</v>
      </c>
      <c r="AC21" s="1815">
        <f t="shared" si="5"/>
        <v>1</v>
      </c>
    </row>
    <row r="22" spans="1:29" ht="15">
      <c r="A22" s="428"/>
      <c r="B22" s="1387"/>
      <c r="C22" s="447"/>
      <c r="D22" s="450"/>
      <c r="E22" s="2607"/>
      <c r="F22" s="448"/>
      <c r="G22" s="2607"/>
      <c r="H22" s="448"/>
      <c r="I22" s="2606"/>
      <c r="J22" s="448"/>
      <c r="K22" s="672"/>
      <c r="L22" s="1143"/>
      <c r="M22" s="1134"/>
      <c r="N22" s="1134"/>
      <c r="O22" s="1142"/>
      <c r="P22" s="3247"/>
      <c r="Q22" s="1814"/>
      <c r="R22" s="774"/>
      <c r="S22" s="775"/>
      <c r="T22" s="774"/>
      <c r="U22" s="775"/>
      <c r="V22" s="774"/>
      <c r="W22" s="775"/>
      <c r="X22" s="1817"/>
      <c r="Y22" s="3247"/>
      <c r="Z22" s="1818"/>
      <c r="AA22" s="1815">
        <v>1</v>
      </c>
      <c r="AB22" s="1815">
        <v>1</v>
      </c>
      <c r="AC22" s="1815">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47"/>
      <c r="Q23" s="1814" t="str">
        <f t="shared" ref="Q23:Q37" si="8">B23</f>
        <v>区域土地利用方向</v>
      </c>
      <c r="R23" s="774" t="s">
        <v>17</v>
      </c>
      <c r="S23" s="775">
        <f>F23</f>
        <v>100</v>
      </c>
      <c r="T23" s="774" t="s">
        <v>17</v>
      </c>
      <c r="U23" s="775">
        <f>H23</f>
        <v>100</v>
      </c>
      <c r="V23" s="774" t="s">
        <v>17</v>
      </c>
      <c r="W23" s="775">
        <f>J23</f>
        <v>100</v>
      </c>
      <c r="X23" s="1817"/>
      <c r="Y23" s="3247"/>
      <c r="Z23" s="1818" t="str">
        <f>Q23</f>
        <v>区域土地利用方向</v>
      </c>
      <c r="AA23" s="1815">
        <f t="shared" si="3"/>
        <v>1</v>
      </c>
      <c r="AB23" s="1815">
        <f t="shared" si="4"/>
        <v>1</v>
      </c>
      <c r="AC23" s="1815">
        <f t="shared" si="5"/>
        <v>1</v>
      </c>
    </row>
    <row r="24" spans="1:29" ht="15">
      <c r="A24" s="404"/>
      <c r="B24" s="456"/>
      <c r="C24" s="616"/>
      <c r="D24" s="448"/>
      <c r="E24" s="2607"/>
      <c r="F24" s="448"/>
      <c r="G24" s="2606"/>
      <c r="H24" s="448"/>
      <c r="I24" s="2606"/>
      <c r="J24" s="448"/>
      <c r="K24" s="812"/>
      <c r="L24" s="1143"/>
      <c r="M24" s="1134"/>
      <c r="N24" s="1134"/>
      <c r="O24" s="1142"/>
      <c r="P24" s="3247"/>
      <c r="Q24" s="1814"/>
      <c r="R24" s="774"/>
      <c r="S24" s="775"/>
      <c r="T24" s="774"/>
      <c r="U24" s="775"/>
      <c r="V24" s="774"/>
      <c r="W24" s="775"/>
      <c r="X24" s="1817"/>
      <c r="Y24" s="3247"/>
      <c r="Z24" s="1818"/>
      <c r="AA24" s="1815"/>
      <c r="AB24" s="1815"/>
      <c r="AC24" s="1815"/>
    </row>
    <row r="25" spans="1:29" ht="142.5">
      <c r="A25" s="404"/>
      <c r="B25" s="1387" t="s">
        <v>2746</v>
      </c>
      <c r="C25" s="2666" t="str">
        <f>估价对象房地状况!C20</f>
        <v>估价对象所在区域有团结湖公园，自然情况较好；有农业展览馆、北京联合大学机电学院等人文设施，人文情况较好；综合评价自然及人文环境较好。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47"/>
      <c r="Q25" s="1814" t="str">
        <f t="shared" si="8"/>
        <v>自然及人文环境状况</v>
      </c>
      <c r="R25" s="774" t="s">
        <v>17</v>
      </c>
      <c r="S25" s="775">
        <f>F25</f>
        <v>100</v>
      </c>
      <c r="T25" s="774" t="s">
        <v>17</v>
      </c>
      <c r="U25" s="775">
        <f>H25</f>
        <v>100</v>
      </c>
      <c r="V25" s="774" t="s">
        <v>17</v>
      </c>
      <c r="W25" s="775">
        <f>J25</f>
        <v>100</v>
      </c>
      <c r="X25" s="1817"/>
      <c r="Y25" s="3247"/>
      <c r="Z25" s="1818" t="str">
        <f>Q25</f>
        <v>自然及人文环境状况</v>
      </c>
      <c r="AA25" s="1815">
        <f t="shared" si="3"/>
        <v>1</v>
      </c>
      <c r="AB25" s="1815">
        <f t="shared" si="4"/>
        <v>1</v>
      </c>
      <c r="AC25" s="1815">
        <f t="shared" si="5"/>
        <v>1</v>
      </c>
    </row>
    <row r="26" spans="1:29" ht="15">
      <c r="A26" s="404"/>
      <c r="B26" s="456"/>
      <c r="C26" s="447"/>
      <c r="D26" s="448"/>
      <c r="E26" s="2613"/>
      <c r="F26" s="448"/>
      <c r="G26" s="2613"/>
      <c r="H26" s="448"/>
      <c r="I26" s="447"/>
      <c r="J26" s="448"/>
      <c r="K26" s="672"/>
      <c r="L26" s="1143"/>
      <c r="M26" s="1134"/>
      <c r="N26" s="1134"/>
      <c r="O26" s="1142"/>
      <c r="P26" s="3247"/>
      <c r="Q26" s="1814"/>
      <c r="R26" s="774"/>
      <c r="S26" s="775"/>
      <c r="T26" s="774"/>
      <c r="U26" s="775"/>
      <c r="V26" s="774"/>
      <c r="W26" s="775"/>
      <c r="X26" s="1817"/>
      <c r="Y26" s="3247"/>
      <c r="Z26" s="1818"/>
      <c r="AA26" s="1815">
        <v>1</v>
      </c>
      <c r="AB26" s="1815">
        <v>1</v>
      </c>
      <c r="AC26" s="1815">
        <v>1</v>
      </c>
    </row>
    <row r="27" spans="1:29" s="116" customFormat="1" ht="199.5">
      <c r="A27" s="649"/>
      <c r="B27" s="1387" t="s">
        <v>2651</v>
      </c>
      <c r="C27" s="2609" t="str">
        <f>估价对象房地状况!C21</f>
        <v>估价对象所在区域有银行（中国银行长虹桥支行）、医院（武警北京总队医院）、超市（京客隆三里屯店）、学校（北京市朝阳区白家庄小学）、餐饮（石塘嘴）等公共配套设施，公共配套设施齐备情况较好。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47"/>
      <c r="Q27" s="1799" t="str">
        <f t="shared" si="8"/>
        <v>公共配套设施</v>
      </c>
      <c r="R27" s="770" t="s">
        <v>17</v>
      </c>
      <c r="S27" s="771">
        <f>F27</f>
        <v>100</v>
      </c>
      <c r="T27" s="770" t="s">
        <v>17</v>
      </c>
      <c r="U27" s="771">
        <f>H27</f>
        <v>100</v>
      </c>
      <c r="V27" s="770" t="s">
        <v>17</v>
      </c>
      <c r="W27" s="771">
        <f>J27</f>
        <v>100</v>
      </c>
      <c r="X27" s="772"/>
      <c r="Y27" s="3247"/>
      <c r="Z27" s="54" t="str">
        <f>Q27</f>
        <v>公共配套设施</v>
      </c>
      <c r="AA27" s="1815">
        <f>D27/F27</f>
        <v>1</v>
      </c>
      <c r="AB27" s="1815">
        <f>D27/H27</f>
        <v>1</v>
      </c>
      <c r="AC27" s="1815">
        <f>D27/J27</f>
        <v>1</v>
      </c>
    </row>
    <row r="28" spans="1:29" s="116" customFormat="1" ht="15">
      <c r="A28" s="649"/>
      <c r="B28" s="456"/>
      <c r="C28" s="2702"/>
      <c r="D28" s="448"/>
      <c r="E28" s="2613"/>
      <c r="F28" s="448"/>
      <c r="G28" s="2613"/>
      <c r="H28" s="448"/>
      <c r="I28" s="447"/>
      <c r="J28" s="448"/>
      <c r="K28" s="672"/>
      <c r="L28" s="1135"/>
      <c r="M28" s="1136"/>
      <c r="N28" s="1136"/>
      <c r="O28" s="1137"/>
      <c r="P28" s="3247"/>
      <c r="Q28" s="1799"/>
      <c r="R28" s="770"/>
      <c r="S28" s="771"/>
      <c r="T28" s="770"/>
      <c r="U28" s="771"/>
      <c r="V28" s="770"/>
      <c r="W28" s="771"/>
      <c r="X28" s="772"/>
      <c r="Y28" s="3247"/>
      <c r="Z28" s="54"/>
      <c r="AA28" s="1815">
        <v>1</v>
      </c>
      <c r="AB28" s="1815">
        <v>1</v>
      </c>
      <c r="AC28" s="1815">
        <v>1</v>
      </c>
    </row>
    <row r="29" spans="1:29" s="116" customFormat="1" ht="42.75">
      <c r="A29" s="649"/>
      <c r="B29" s="1387" t="s">
        <v>2652</v>
      </c>
      <c r="C29" s="2609"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47"/>
      <c r="Q29" s="1799" t="str">
        <f t="shared" ref="Q29" si="9">B29</f>
        <v>基础设施水平</v>
      </c>
      <c r="R29" s="770" t="s">
        <v>17</v>
      </c>
      <c r="S29" s="771">
        <f>F29</f>
        <v>100</v>
      </c>
      <c r="T29" s="770" t="s">
        <v>17</v>
      </c>
      <c r="U29" s="771">
        <f>H29</f>
        <v>100</v>
      </c>
      <c r="V29" s="770" t="s">
        <v>17</v>
      </c>
      <c r="W29" s="771">
        <f>J29</f>
        <v>100</v>
      </c>
      <c r="X29" s="772"/>
      <c r="Y29" s="3247"/>
      <c r="Z29" s="54" t="str">
        <f>Q29</f>
        <v>基础设施水平</v>
      </c>
      <c r="AA29" s="1815">
        <f>D29/F29</f>
        <v>1</v>
      </c>
      <c r="AB29" s="1815">
        <f>D29/H29</f>
        <v>1</v>
      </c>
      <c r="AC29" s="1815">
        <f>D29/J29</f>
        <v>1</v>
      </c>
    </row>
    <row r="30" spans="1:29" s="116" customFormat="1" ht="15">
      <c r="A30" s="649"/>
      <c r="B30" s="456"/>
      <c r="C30" s="2702"/>
      <c r="D30" s="448"/>
      <c r="E30" s="2703"/>
      <c r="F30" s="448"/>
      <c r="G30" s="2703"/>
      <c r="H30" s="448"/>
      <c r="I30" s="2703"/>
      <c r="J30" s="448"/>
      <c r="K30" s="672"/>
      <c r="L30" s="1135"/>
      <c r="M30" s="1136"/>
      <c r="N30" s="1136"/>
      <c r="O30" s="1137"/>
      <c r="P30" s="3247"/>
      <c r="Q30" s="1799"/>
      <c r="R30" s="770"/>
      <c r="S30" s="771"/>
      <c r="T30" s="770"/>
      <c r="U30" s="771"/>
      <c r="V30" s="770"/>
      <c r="W30" s="771"/>
      <c r="X30" s="772"/>
      <c r="Y30" s="3247"/>
      <c r="Z30" s="54"/>
      <c r="AA30" s="1815">
        <v>1</v>
      </c>
      <c r="AB30" s="1815">
        <v>1</v>
      </c>
      <c r="AC30" s="1815">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47"/>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247"/>
      <c r="Z31" s="1818" t="str">
        <f t="shared" ref="Z31:Z45" si="13">Q31</f>
        <v>临街状况</v>
      </c>
      <c r="AA31" s="1815">
        <f t="shared" si="3"/>
        <v>1</v>
      </c>
      <c r="AB31" s="1815">
        <f t="shared" si="4"/>
        <v>1</v>
      </c>
      <c r="AC31" s="1815">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47"/>
      <c r="Q32" s="1814" t="str">
        <f t="shared" si="8"/>
        <v>毗邻道路的类型与等级</v>
      </c>
      <c r="R32" s="774" t="s">
        <v>17</v>
      </c>
      <c r="S32" s="775">
        <f t="shared" si="10"/>
        <v>100</v>
      </c>
      <c r="T32" s="774" t="s">
        <v>17</v>
      </c>
      <c r="U32" s="775">
        <f t="shared" si="11"/>
        <v>100</v>
      </c>
      <c r="V32" s="774" t="s">
        <v>17</v>
      </c>
      <c r="W32" s="775">
        <f t="shared" si="12"/>
        <v>100</v>
      </c>
      <c r="X32" s="1817"/>
      <c r="Y32" s="3247"/>
      <c r="Z32" s="1818" t="str">
        <f t="shared" si="13"/>
        <v>毗邻道路的类型与等级</v>
      </c>
      <c r="AA32" s="1815">
        <f t="shared" si="3"/>
        <v>1</v>
      </c>
      <c r="AB32" s="1815">
        <f t="shared" si="4"/>
        <v>1</v>
      </c>
      <c r="AC32" s="1815">
        <f t="shared" si="5"/>
        <v>1</v>
      </c>
    </row>
    <row r="33" spans="1:29" ht="15">
      <c r="A33" s="428"/>
      <c r="B33" s="456"/>
      <c r="C33" s="447"/>
      <c r="D33" s="448"/>
      <c r="E33" s="2613"/>
      <c r="F33" s="448"/>
      <c r="G33" s="2613"/>
      <c r="H33" s="448"/>
      <c r="I33" s="447"/>
      <c r="J33" s="448"/>
      <c r="K33" s="613"/>
      <c r="L33" s="1143"/>
      <c r="M33" s="1134"/>
      <c r="N33" s="1134"/>
      <c r="O33" s="1142"/>
      <c r="P33" s="3247"/>
      <c r="Q33" s="1814"/>
      <c r="R33" s="774"/>
      <c r="S33" s="775"/>
      <c r="T33" s="774"/>
      <c r="U33" s="775"/>
      <c r="V33" s="774"/>
      <c r="W33" s="775"/>
      <c r="X33" s="1817"/>
      <c r="Y33" s="3247"/>
      <c r="Z33" s="1818"/>
      <c r="AA33" s="1815">
        <v>1</v>
      </c>
      <c r="AB33" s="1815">
        <v>1</v>
      </c>
      <c r="AC33" s="1815">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7"/>
      <c r="Q34" s="1814" t="str">
        <f t="shared" si="8"/>
        <v>土地级别</v>
      </c>
      <c r="R34" s="774" t="s">
        <v>17</v>
      </c>
      <c r="S34" s="775">
        <f t="shared" si="10"/>
        <v>100</v>
      </c>
      <c r="T34" s="774" t="s">
        <v>17</v>
      </c>
      <c r="U34" s="775">
        <f t="shared" si="11"/>
        <v>100</v>
      </c>
      <c r="V34" s="774" t="s">
        <v>17</v>
      </c>
      <c r="W34" s="775">
        <f t="shared" si="12"/>
        <v>100</v>
      </c>
      <c r="X34" s="1817"/>
      <c r="Y34" s="3247"/>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7"/>
      <c r="Q35" s="1814">
        <f t="shared" si="8"/>
        <v>111</v>
      </c>
      <c r="R35" s="774" t="s">
        <v>17</v>
      </c>
      <c r="S35" s="775">
        <f t="shared" si="10"/>
        <v>100</v>
      </c>
      <c r="T35" s="774" t="s">
        <v>17</v>
      </c>
      <c r="U35" s="775">
        <f t="shared" si="11"/>
        <v>100</v>
      </c>
      <c r="V35" s="774" t="s">
        <v>17</v>
      </c>
      <c r="W35" s="775">
        <f t="shared" si="12"/>
        <v>100</v>
      </c>
      <c r="X35" s="1817"/>
      <c r="Y35" s="3247"/>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51" t="s">
        <v>2562</v>
      </c>
      <c r="Q36" s="1814">
        <f t="shared" si="8"/>
        <v>111</v>
      </c>
      <c r="R36" s="774" t="s">
        <v>17</v>
      </c>
      <c r="S36" s="775">
        <f t="shared" si="10"/>
        <v>100</v>
      </c>
      <c r="T36" s="774" t="s">
        <v>17</v>
      </c>
      <c r="U36" s="775">
        <f t="shared" si="11"/>
        <v>100</v>
      </c>
      <c r="V36" s="774" t="s">
        <v>17</v>
      </c>
      <c r="W36" s="775">
        <f t="shared" si="12"/>
        <v>100</v>
      </c>
      <c r="X36" s="1817"/>
      <c r="Y36" s="3251" t="s">
        <v>2562</v>
      </c>
      <c r="Z36" s="1818">
        <f t="shared" si="13"/>
        <v>111</v>
      </c>
      <c r="AA36" s="1815">
        <f t="shared" si="3"/>
        <v>1</v>
      </c>
      <c r="AB36" s="1815">
        <f t="shared" si="4"/>
        <v>1</v>
      </c>
      <c r="AC36" s="1815">
        <f t="shared" si="5"/>
        <v>1</v>
      </c>
    </row>
    <row r="37" spans="1:29" s="471" customFormat="1" ht="15.75" thickBot="1">
      <c r="A37" s="676"/>
      <c r="B37" s="1391">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51"/>
      <c r="Q37" s="1814">
        <f t="shared" si="8"/>
        <v>111</v>
      </c>
      <c r="R37" s="777" t="s">
        <v>17</v>
      </c>
      <c r="S37" s="778">
        <f t="shared" si="10"/>
        <v>100</v>
      </c>
      <c r="T37" s="777" t="s">
        <v>17</v>
      </c>
      <c r="U37" s="778">
        <f t="shared" si="11"/>
        <v>100</v>
      </c>
      <c r="V37" s="777" t="s">
        <v>17</v>
      </c>
      <c r="W37" s="778">
        <f t="shared" si="12"/>
        <v>100</v>
      </c>
      <c r="X37" s="779"/>
      <c r="Y37" s="3251"/>
      <c r="Z37" s="780">
        <f t="shared" si="13"/>
        <v>111</v>
      </c>
      <c r="AA37" s="1815">
        <f t="shared" si="3"/>
        <v>1</v>
      </c>
      <c r="AB37" s="1815">
        <f t="shared" si="4"/>
        <v>1</v>
      </c>
      <c r="AC37" s="1815">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51"/>
      <c r="Q38" s="1814" t="str">
        <f>B38</f>
        <v>宗地面积</v>
      </c>
      <c r="R38" s="774" t="s">
        <v>17</v>
      </c>
      <c r="S38" s="775" t="e">
        <f t="shared" si="10"/>
        <v>#N/A</v>
      </c>
      <c r="T38" s="774" t="s">
        <v>17</v>
      </c>
      <c r="U38" s="775" t="e">
        <f t="shared" si="11"/>
        <v>#N/A</v>
      </c>
      <c r="V38" s="774" t="s">
        <v>17</v>
      </c>
      <c r="W38" s="775" t="e">
        <f t="shared" si="12"/>
        <v>#N/A</v>
      </c>
      <c r="X38" s="1817"/>
      <c r="Y38" s="3251"/>
      <c r="Z38" s="1818" t="str">
        <f t="shared" si="13"/>
        <v>宗地面积</v>
      </c>
      <c r="AA38" s="1815" t="e">
        <f t="shared" si="3"/>
        <v>#N/A</v>
      </c>
      <c r="AB38" s="1815" t="e">
        <f t="shared" si="4"/>
        <v>#N/A</v>
      </c>
      <c r="AC38" s="1815" t="e">
        <f t="shared" si="5"/>
        <v>#N/A</v>
      </c>
    </row>
    <row r="39" spans="1:29" ht="15">
      <c r="A39" s="472"/>
      <c r="B39" s="422" t="s">
        <v>2749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51"/>
      <c r="Q39" s="1814" t="str">
        <f t="shared" ref="Q39:Q45" si="14">B39</f>
        <v>宗地形状</v>
      </c>
      <c r="R39" s="774" t="s">
        <v>17</v>
      </c>
      <c r="S39" s="775">
        <f t="shared" si="10"/>
        <v>100</v>
      </c>
      <c r="T39" s="774" t="s">
        <v>17</v>
      </c>
      <c r="U39" s="775">
        <f t="shared" si="11"/>
        <v>100</v>
      </c>
      <c r="V39" s="774" t="s">
        <v>17</v>
      </c>
      <c r="W39" s="775">
        <f t="shared" si="12"/>
        <v>100</v>
      </c>
      <c r="X39" s="1817"/>
      <c r="Y39" s="3251"/>
      <c r="Z39" s="1818" t="str">
        <f t="shared" si="13"/>
        <v>宗地形状</v>
      </c>
      <c r="AA39" s="1815">
        <f t="shared" si="3"/>
        <v>1</v>
      </c>
      <c r="AB39" s="1815">
        <f t="shared" si="4"/>
        <v>1</v>
      </c>
      <c r="AC39" s="1815">
        <f t="shared" si="5"/>
        <v>1</v>
      </c>
    </row>
    <row r="40" spans="1:29" ht="15">
      <c r="A40" s="472"/>
      <c r="B40" s="422" t="s">
        <v>2750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51"/>
      <c r="Q40" s="1814" t="str">
        <f t="shared" si="14"/>
        <v>临街宽度及深度</v>
      </c>
      <c r="R40" s="774" t="s">
        <v>17</v>
      </c>
      <c r="S40" s="775">
        <f t="shared" si="10"/>
        <v>100</v>
      </c>
      <c r="T40" s="774" t="s">
        <v>17</v>
      </c>
      <c r="U40" s="775">
        <f t="shared" si="11"/>
        <v>100</v>
      </c>
      <c r="V40" s="774" t="s">
        <v>17</v>
      </c>
      <c r="W40" s="775">
        <f t="shared" si="12"/>
        <v>100</v>
      </c>
      <c r="X40" s="1817"/>
      <c r="Y40" s="3251"/>
      <c r="Z40" s="1818" t="str">
        <f t="shared" si="13"/>
        <v>临街宽度及深度</v>
      </c>
      <c r="AA40" s="1815">
        <f t="shared" si="3"/>
        <v>1</v>
      </c>
      <c r="AB40" s="1815">
        <f t="shared" si="4"/>
        <v>1</v>
      </c>
      <c r="AC40" s="1815">
        <f t="shared" si="5"/>
        <v>1</v>
      </c>
    </row>
    <row r="41" spans="1:29" s="116" customFormat="1" ht="15">
      <c r="A41" s="473"/>
      <c r="B41" s="422" t="s">
        <v>2751</v>
      </c>
      <c r="C41" s="2704"/>
      <c r="D41" s="135">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51"/>
      <c r="Q41" s="1814" t="str">
        <f t="shared" si="14"/>
        <v>宗地开发程度</v>
      </c>
      <c r="R41" s="770" t="s">
        <v>17</v>
      </c>
      <c r="S41" s="771">
        <f t="shared" si="10"/>
        <v>100</v>
      </c>
      <c r="T41" s="770" t="s">
        <v>17</v>
      </c>
      <c r="U41" s="771">
        <f t="shared" si="11"/>
        <v>100</v>
      </c>
      <c r="V41" s="770" t="s">
        <v>17</v>
      </c>
      <c r="W41" s="771">
        <f t="shared" si="12"/>
        <v>100</v>
      </c>
      <c r="X41" s="772"/>
      <c r="Y41" s="3251"/>
      <c r="Z41" s="54" t="str">
        <f t="shared" si="13"/>
        <v>宗地开发程度</v>
      </c>
      <c r="AA41" s="773">
        <f t="shared" si="3"/>
        <v>1</v>
      </c>
      <c r="AB41" s="773">
        <f t="shared" si="4"/>
        <v>1</v>
      </c>
      <c r="AC41" s="773">
        <f t="shared" si="5"/>
        <v>1</v>
      </c>
    </row>
    <row r="42" spans="1:29" ht="15">
      <c r="A42" s="472"/>
      <c r="B42" s="422" t="s">
        <v>2752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51" t="s">
        <v>2562</v>
      </c>
      <c r="Q42" s="1814" t="str">
        <f t="shared" si="14"/>
        <v>工程地质条件</v>
      </c>
      <c r="R42" s="774" t="s">
        <v>17</v>
      </c>
      <c r="S42" s="775">
        <f t="shared" si="10"/>
        <v>100</v>
      </c>
      <c r="T42" s="774" t="s">
        <v>17</v>
      </c>
      <c r="U42" s="775">
        <f t="shared" si="11"/>
        <v>100</v>
      </c>
      <c r="V42" s="774" t="s">
        <v>17</v>
      </c>
      <c r="W42" s="775">
        <f t="shared" si="12"/>
        <v>100</v>
      </c>
      <c r="X42" s="1817"/>
      <c r="Y42" s="3251" t="s">
        <v>2562</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51"/>
      <c r="Q43" s="1814">
        <f t="shared" si="14"/>
        <v>111</v>
      </c>
      <c r="R43" s="774" t="s">
        <v>17</v>
      </c>
      <c r="S43" s="775">
        <f t="shared" si="10"/>
        <v>100</v>
      </c>
      <c r="T43" s="774" t="s">
        <v>17</v>
      </c>
      <c r="U43" s="775">
        <f t="shared" si="11"/>
        <v>100</v>
      </c>
      <c r="V43" s="774" t="s">
        <v>17</v>
      </c>
      <c r="W43" s="775">
        <f t="shared" si="12"/>
        <v>100</v>
      </c>
      <c r="X43" s="1817"/>
      <c r="Y43" s="3251"/>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51"/>
      <c r="Q44" s="1814">
        <f t="shared" si="14"/>
        <v>111</v>
      </c>
      <c r="R44" s="774" t="s">
        <v>17</v>
      </c>
      <c r="S44" s="775">
        <f t="shared" si="10"/>
        <v>100</v>
      </c>
      <c r="T44" s="774" t="s">
        <v>17</v>
      </c>
      <c r="U44" s="775">
        <f t="shared" si="11"/>
        <v>100</v>
      </c>
      <c r="V44" s="774" t="s">
        <v>17</v>
      </c>
      <c r="W44" s="775">
        <f t="shared" si="12"/>
        <v>100</v>
      </c>
      <c r="X44" s="1817"/>
      <c r="Y44" s="3251"/>
      <c r="Z44" s="1818">
        <f t="shared" si="13"/>
        <v>111</v>
      </c>
      <c r="AA44" s="1815">
        <f t="shared" si="3"/>
        <v>1</v>
      </c>
      <c r="AB44" s="1815">
        <f t="shared" si="4"/>
        <v>1</v>
      </c>
      <c r="AC44" s="1815">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51"/>
      <c r="Q45" s="1814">
        <f t="shared" si="14"/>
        <v>111</v>
      </c>
      <c r="R45" s="777" t="s">
        <v>17</v>
      </c>
      <c r="S45" s="778">
        <f t="shared" si="10"/>
        <v>100</v>
      </c>
      <c r="T45" s="777" t="s">
        <v>17</v>
      </c>
      <c r="U45" s="778">
        <f t="shared" si="11"/>
        <v>100</v>
      </c>
      <c r="V45" s="777" t="s">
        <v>17</v>
      </c>
      <c r="W45" s="778">
        <f t="shared" si="12"/>
        <v>100</v>
      </c>
      <c r="X45" s="779"/>
      <c r="Y45" s="3251"/>
      <c r="Z45" s="780">
        <f t="shared" si="13"/>
        <v>111</v>
      </c>
      <c r="AA45" s="1815">
        <f t="shared" si="3"/>
        <v>1</v>
      </c>
      <c r="AB45" s="1815">
        <f t="shared" si="4"/>
        <v>1</v>
      </c>
      <c r="AC45" s="1815">
        <f t="shared" si="5"/>
        <v>1</v>
      </c>
    </row>
    <row r="46" spans="1:29" ht="15">
      <c r="A46" s="479" t="s">
        <v>2717</v>
      </c>
      <c r="B46" s="2706" t="s">
        <v>2753</v>
      </c>
      <c r="C46" s="682" t="s">
        <v>1</v>
      </c>
      <c r="D46" s="481"/>
      <c r="E46" s="482"/>
      <c r="F46" s="483"/>
      <c r="G46" s="484"/>
      <c r="H46" s="485"/>
      <c r="I46" s="482"/>
      <c r="J46" s="485"/>
      <c r="K46" s="783"/>
      <c r="L46" s="1146"/>
      <c r="M46" s="1147"/>
      <c r="N46" s="1134"/>
      <c r="O46" s="1147"/>
      <c r="P46" s="3239" t="str">
        <f>A46</f>
        <v>成交单价</v>
      </c>
      <c r="Q46" s="3239"/>
      <c r="R46" s="3273">
        <f>E46</f>
        <v>0</v>
      </c>
      <c r="S46" s="3273"/>
      <c r="T46" s="3273">
        <f>G46</f>
        <v>0</v>
      </c>
      <c r="U46" s="3273"/>
      <c r="V46" s="3273">
        <f>I46</f>
        <v>0</v>
      </c>
      <c r="W46" s="3273"/>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239" t="str">
        <f>A47</f>
        <v>比较价值（元/平方米）</v>
      </c>
      <c r="Q47" s="3239"/>
      <c r="R47" s="3352" t="e">
        <f>ROUND(PRODUCT(R46,AA7:AA45),0)</f>
        <v>#DIV/0!</v>
      </c>
      <c r="S47" s="3352"/>
      <c r="T47" s="3352" t="e">
        <f>ROUND(PRODUCT(T46,AB7:AB45),0)</f>
        <v>#DIV/0!</v>
      </c>
      <c r="U47" s="3352"/>
      <c r="V47" s="3352" t="e">
        <f>ROUND(PRODUCT(V46,AC7:AC45),0)</f>
        <v>#DIV/0!</v>
      </c>
      <c r="W47" s="3352"/>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340" t="str">
        <f>A48</f>
        <v>估价对象XX用房的比较价值（楼面单价，元/平方米）</v>
      </c>
      <c r="Q48" s="3341"/>
      <c r="R48" s="3353" t="e">
        <f>ROUND(AVERAGE(R47:V47),0)</f>
        <v>#DIV/0!</v>
      </c>
      <c r="S48" s="3353"/>
      <c r="T48" s="3353"/>
      <c r="U48" s="3353"/>
      <c r="V48" s="3353"/>
      <c r="W48" s="335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7" t="s">
        <v>2757</v>
      </c>
      <c r="D55" s="2708" t="s">
        <v>2758</v>
      </c>
      <c r="E55" s="686" t="s">
        <v>2759</v>
      </c>
      <c r="F55" s="1110" t="s">
        <v>2760</v>
      </c>
      <c r="G55" s="3256" t="s">
        <v>2761</v>
      </c>
      <c r="H55" s="3354"/>
      <c r="I55" s="143" t="s">
        <v>2762</v>
      </c>
      <c r="J55" s="2709">
        <f>项目基本情况!F35</f>
        <v>0</v>
      </c>
      <c r="K55" s="2710" t="s">
        <v>2763</v>
      </c>
      <c r="L55" s="1109"/>
      <c r="M55" s="1147"/>
      <c r="N55" s="1147"/>
      <c r="O55" s="1147"/>
    </row>
    <row r="56" spans="1:15" s="692" customFormat="1">
      <c r="A56" s="688" t="s">
        <v>2764</v>
      </c>
      <c r="B56" s="689" t="e">
        <f>C48</f>
        <v>#DIV/0!</v>
      </c>
      <c r="C56" s="690">
        <v>1</v>
      </c>
      <c r="D56" s="1166">
        <v>1</v>
      </c>
      <c r="E56" s="690">
        <f>'数据-汇总表'!E8+'数据-汇总表'!E9</f>
        <v>25430.71</v>
      </c>
      <c r="F56" s="1106" t="e">
        <f t="shared" ref="F56:F65" si="15">ROUND(B56*E56/10000,0)</f>
        <v>#DIV/0!</v>
      </c>
      <c r="G56" s="3238"/>
      <c r="H56" s="3239"/>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355"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355"/>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355"/>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355"/>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0.3</v>
      </c>
      <c r="D61" s="1167">
        <v>0.25</v>
      </c>
      <c r="E61" s="261">
        <f>'数据-汇总表'!E11</f>
        <v>0</v>
      </c>
      <c r="F61" s="1106" t="e">
        <f t="shared" si="15"/>
        <v>#DIV/0!</v>
      </c>
      <c r="G61" s="2711" t="s">
        <v>2771</v>
      </c>
      <c r="H61" s="1107" t="str">
        <f>项目基本情况!C37</f>
        <v>二级</v>
      </c>
      <c r="I61" s="1111">
        <f>SUMIF(修正!A45:A56,H61,修正!F45:F56)</f>
        <v>0.3</v>
      </c>
      <c r="J61" s="1115"/>
      <c r="K61" s="1147"/>
      <c r="L61" s="944"/>
      <c r="M61" s="944"/>
      <c r="N61" s="944"/>
      <c r="O61" s="944"/>
    </row>
    <row r="62" spans="1:15" s="692" customFormat="1">
      <c r="A62" s="693" t="s">
        <v>2772</v>
      </c>
      <c r="B62" s="262" t="e">
        <f t="shared" si="17"/>
        <v>#DIV/0!</v>
      </c>
      <c r="C62" s="200">
        <f t="shared" si="16"/>
        <v>0.3</v>
      </c>
      <c r="D62" s="1167">
        <v>0.25</v>
      </c>
      <c r="E62" s="261">
        <f>'数据-汇总表'!E12</f>
        <v>0</v>
      </c>
      <c r="F62" s="1106" t="e">
        <f t="shared" si="15"/>
        <v>#DIV/0!</v>
      </c>
      <c r="G62" s="1112" t="s">
        <v>2773</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1"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0.25</v>
      </c>
      <c r="D65" s="1167">
        <v>0.25</v>
      </c>
      <c r="E65" s="261">
        <f>'数据-汇总表'!E15</f>
        <v>0</v>
      </c>
      <c r="F65" s="1106" t="e">
        <f t="shared" si="15"/>
        <v>#DIV/0!</v>
      </c>
      <c r="G65" s="2712" t="s">
        <v>2771</v>
      </c>
      <c r="H65" s="1117" t="str">
        <f>项目基本情况!C37</f>
        <v>二级</v>
      </c>
      <c r="I65" s="1113">
        <f>SUMIF(修正!A45:A56,H65,修正!H45:H56)</f>
        <v>0.25</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25430.71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3" t="s">
        <v>2779</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6" customFormat="1" ht="30" customHeight="1">
      <c r="A71" s="2714" t="s">
        <v>2780</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6" customFormat="1" ht="15.75" thickBot="1">
      <c r="A72" s="515" t="s">
        <v>2582</v>
      </c>
      <c r="B72" s="516"/>
      <c r="C72" s="517"/>
      <c r="D72" s="518"/>
      <c r="E72" s="518"/>
      <c r="F72" s="518"/>
      <c r="G72" s="518"/>
      <c r="H72" s="518"/>
      <c r="I72" s="518"/>
      <c r="J72" s="518"/>
      <c r="K72" s="518"/>
      <c r="L72" s="518"/>
      <c r="M72" s="519"/>
      <c r="N72" s="518"/>
      <c r="O72" s="1165"/>
      <c r="P72" s="504"/>
      <c r="Q72" s="504"/>
    </row>
    <row r="73" spans="1:17" s="116" customFormat="1" ht="15">
      <c r="A73" s="521" t="s">
        <v>2547</v>
      </c>
      <c r="B73" s="510"/>
      <c r="C73" s="522" t="s">
        <v>2649</v>
      </c>
      <c r="D73" s="523"/>
      <c r="E73" s="523"/>
      <c r="F73" s="523"/>
      <c r="G73" s="523"/>
      <c r="H73" s="523"/>
      <c r="I73" s="523"/>
      <c r="J73" s="523"/>
      <c r="K73" s="523"/>
      <c r="L73" s="524"/>
      <c r="M73" s="525"/>
      <c r="N73" s="1154"/>
      <c r="O73" s="1154"/>
      <c r="P73" s="526"/>
      <c r="Q73" s="504"/>
    </row>
    <row r="74" spans="1:17" s="116"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4"/>
      <c r="Q75" s="504"/>
    </row>
    <row r="76" spans="1:17" ht="15.75" thickBot="1">
      <c r="A76" s="534"/>
      <c r="B76" s="535"/>
      <c r="C76" s="536"/>
      <c r="D76" s="536"/>
      <c r="E76" s="536"/>
      <c r="F76" s="536"/>
      <c r="G76" s="536"/>
      <c r="H76" s="536"/>
      <c r="I76" s="536"/>
      <c r="J76" s="536"/>
      <c r="K76" s="536"/>
      <c r="L76" s="536"/>
      <c r="M76" s="537"/>
      <c r="N76" s="1156"/>
      <c r="O76" s="1156"/>
      <c r="P76" s="44"/>
      <c r="Q76" s="504"/>
    </row>
    <row r="77" spans="1:17" ht="27.75" thickTop="1">
      <c r="A77" s="534"/>
      <c r="B77" s="538" t="s">
        <v>2554</v>
      </c>
      <c r="C77" s="539"/>
      <c r="D77" s="539"/>
      <c r="E77" s="539"/>
      <c r="F77" s="539"/>
      <c r="G77" s="539"/>
      <c r="H77" s="539"/>
      <c r="I77" s="539"/>
      <c r="J77" s="539"/>
      <c r="K77" s="540"/>
      <c r="L77" s="541"/>
      <c r="M77" s="542"/>
      <c r="N77" s="1155"/>
      <c r="O77" s="1155"/>
      <c r="P77" s="44"/>
      <c r="Q77" s="504"/>
    </row>
    <row r="78" spans="1:17" ht="15.75" thickBot="1">
      <c r="A78" s="534"/>
      <c r="B78" s="543"/>
      <c r="C78" s="544"/>
      <c r="D78" s="544"/>
      <c r="E78" s="544"/>
      <c r="F78" s="544"/>
      <c r="G78" s="544"/>
      <c r="H78" s="544"/>
      <c r="I78" s="544"/>
      <c r="J78" s="544"/>
      <c r="K78" s="544"/>
      <c r="L78" s="544"/>
      <c r="M78" s="545"/>
      <c r="N78" s="1156"/>
      <c r="O78" s="1156"/>
      <c r="P78" s="44"/>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4"/>
      <c r="Q79" s="504"/>
    </row>
    <row r="80" spans="1:17" ht="15">
      <c r="A80" s="534"/>
      <c r="B80" s="548"/>
      <c r="C80" s="549"/>
      <c r="D80" s="549"/>
      <c r="E80" s="549"/>
      <c r="F80" s="549"/>
      <c r="G80" s="549"/>
      <c r="H80" s="549"/>
      <c r="I80" s="549"/>
      <c r="J80" s="549"/>
      <c r="K80" s="550"/>
      <c r="L80" s="551"/>
      <c r="M80" s="552"/>
      <c r="N80" s="1155"/>
      <c r="O80" s="1155"/>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4"/>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4"/>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4"/>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4"/>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4"/>
      <c r="Q95" s="504"/>
    </row>
    <row r="96" spans="1:17" s="116"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4"/>
      <c r="Q97" s="504"/>
    </row>
    <row r="98" spans="1:17" s="116"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4"/>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4"/>
      <c r="Q105" s="504"/>
    </row>
    <row r="106" spans="1:17" ht="27.75" thickTop="1">
      <c r="A106" s="534"/>
      <c r="B106" s="538" t="s">
        <v>2688</v>
      </c>
      <c r="C106" s="554"/>
      <c r="D106" s="554"/>
      <c r="E106" s="554"/>
      <c r="F106" s="554"/>
      <c r="G106" s="554"/>
      <c r="H106" s="583"/>
      <c r="I106" s="583"/>
      <c r="J106" s="583"/>
      <c r="K106" s="584"/>
      <c r="L106" s="585"/>
      <c r="M106" s="586"/>
      <c r="N106" s="1155"/>
      <c r="O106" s="1155"/>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4"/>
      <c r="Q107" s="504"/>
    </row>
    <row r="108" spans="1:17" ht="15.75" thickTop="1">
      <c r="A108" s="534"/>
      <c r="B108" s="538" t="s">
        <v>2747</v>
      </c>
      <c r="C108" s="583"/>
      <c r="D108" s="583"/>
      <c r="E108" s="583"/>
      <c r="F108" s="583"/>
      <c r="G108" s="583"/>
      <c r="H108" s="583"/>
      <c r="I108" s="583"/>
      <c r="J108" s="583"/>
      <c r="K108" s="584"/>
      <c r="L108" s="585"/>
      <c r="M108" s="586"/>
      <c r="N108" s="1155"/>
      <c r="O108" s="1155"/>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4"/>
      <c r="Q109" s="504"/>
    </row>
    <row r="110" spans="1:17" ht="15.75" thickTop="1">
      <c r="A110" s="534"/>
      <c r="B110" s="546">
        <f>B35</f>
        <v>111</v>
      </c>
      <c r="C110" s="554"/>
      <c r="D110" s="554"/>
      <c r="E110" s="554"/>
      <c r="F110" s="554"/>
      <c r="G110" s="587"/>
      <c r="H110" s="587"/>
      <c r="I110" s="587"/>
      <c r="J110" s="587"/>
      <c r="K110" s="588"/>
      <c r="L110" s="589"/>
      <c r="M110" s="590"/>
      <c r="N110" s="1155"/>
      <c r="O110" s="1155"/>
      <c r="P110" s="44"/>
      <c r="Q110" s="504"/>
    </row>
    <row r="111" spans="1:17" ht="15.75" thickBot="1">
      <c r="A111" s="534"/>
      <c r="B111" s="569"/>
      <c r="C111" s="560"/>
      <c r="D111" s="560"/>
      <c r="E111" s="560"/>
      <c r="F111" s="560"/>
      <c r="G111" s="591"/>
      <c r="H111" s="591"/>
      <c r="I111" s="591"/>
      <c r="J111" s="591"/>
      <c r="K111" s="591"/>
      <c r="L111" s="591"/>
      <c r="M111" s="592"/>
      <c r="N111" s="1156"/>
      <c r="O111" s="1156"/>
      <c r="P111" s="44"/>
      <c r="Q111" s="504"/>
    </row>
    <row r="112" spans="1:17" ht="15" thickTop="1">
      <c r="A112" s="675"/>
      <c r="B112" s="538">
        <f>B36</f>
        <v>111</v>
      </c>
      <c r="C112" s="523"/>
      <c r="D112" s="523"/>
      <c r="E112" s="523"/>
      <c r="F112" s="523"/>
      <c r="G112" s="583"/>
      <c r="H112" s="583"/>
      <c r="I112" s="583"/>
      <c r="J112" s="583"/>
      <c r="K112" s="584"/>
      <c r="L112" s="585"/>
      <c r="M112" s="586"/>
      <c r="N112" s="1155"/>
      <c r="O112" s="1155"/>
      <c r="P112" s="44"/>
      <c r="Q112" s="504"/>
    </row>
    <row r="113" spans="1:17" ht="15.75" thickBot="1">
      <c r="A113" s="534"/>
      <c r="B113" s="543"/>
      <c r="C113" s="570"/>
      <c r="D113" s="570"/>
      <c r="E113" s="570"/>
      <c r="F113" s="570"/>
      <c r="G113" s="536"/>
      <c r="H113" s="536"/>
      <c r="I113" s="536"/>
      <c r="J113" s="536"/>
      <c r="K113" s="536"/>
      <c r="L113" s="536"/>
      <c r="M113" s="537"/>
      <c r="N113" s="1156"/>
      <c r="O113" s="1156"/>
      <c r="P113" s="44"/>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4"/>
      <c r="Q116" s="504"/>
    </row>
    <row r="117" spans="1:17" ht="15">
      <c r="A117" s="534"/>
      <c r="B117" s="546"/>
      <c r="C117" s="595"/>
      <c r="D117" s="595"/>
      <c r="E117" s="595"/>
      <c r="F117" s="595"/>
      <c r="G117" s="595"/>
      <c r="H117" s="595"/>
      <c r="I117" s="595"/>
      <c r="J117" s="596"/>
      <c r="K117" s="596"/>
      <c r="L117" s="597"/>
      <c r="M117" s="598"/>
      <c r="N117" s="1155"/>
      <c r="O117" s="1155"/>
      <c r="P117" s="44"/>
      <c r="Q117" s="504"/>
    </row>
    <row r="118" spans="1:17" ht="15.75" thickBot="1">
      <c r="A118" s="534"/>
      <c r="B118" s="543"/>
      <c r="C118" s="570"/>
      <c r="D118" s="591"/>
      <c r="E118" s="591"/>
      <c r="F118" s="591"/>
      <c r="G118" s="591"/>
      <c r="H118" s="591"/>
      <c r="I118" s="591"/>
      <c r="J118" s="591"/>
      <c r="K118" s="591"/>
      <c r="L118" s="591"/>
      <c r="M118" s="592"/>
      <c r="N118" s="1156"/>
      <c r="O118" s="1156"/>
      <c r="P118" s="44"/>
      <c r="Q118" s="504"/>
    </row>
    <row r="119" spans="1:17" ht="15" thickTop="1">
      <c r="A119" s="599"/>
      <c r="B119" s="538" t="s">
        <v>2789</v>
      </c>
      <c r="C119" s="583"/>
      <c r="D119" s="583"/>
      <c r="E119" s="583"/>
      <c r="F119" s="583"/>
      <c r="G119" s="583"/>
      <c r="H119" s="583"/>
      <c r="I119" s="583"/>
      <c r="J119" s="583"/>
      <c r="K119" s="584"/>
      <c r="L119" s="585"/>
      <c r="M119" s="586"/>
      <c r="N119" s="1155"/>
      <c r="O119" s="1155"/>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4"/>
      <c r="Q120" s="504"/>
    </row>
    <row r="121" spans="1:17" ht="15" thickTop="1">
      <c r="A121" s="599"/>
      <c r="B121" s="538" t="s">
        <v>2790</v>
      </c>
      <c r="C121" s="554"/>
      <c r="D121" s="554"/>
      <c r="E121" s="554"/>
      <c r="F121" s="583"/>
      <c r="G121" s="583"/>
      <c r="H121" s="583"/>
      <c r="I121" s="583"/>
      <c r="J121" s="583"/>
      <c r="K121" s="584"/>
      <c r="L121" s="585"/>
      <c r="M121" s="586"/>
      <c r="N121" s="1155"/>
      <c r="O121" s="1155"/>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4"/>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4"/>
      <c r="Q126" s="504"/>
    </row>
    <row r="127" spans="1:17" ht="15" thickTop="1">
      <c r="A127" s="599"/>
      <c r="B127" s="538">
        <f>B43</f>
        <v>111</v>
      </c>
      <c r="C127" s="554"/>
      <c r="D127" s="554"/>
      <c r="E127" s="554"/>
      <c r="F127" s="554"/>
      <c r="G127" s="554"/>
      <c r="H127" s="583"/>
      <c r="I127" s="583"/>
      <c r="J127" s="583"/>
      <c r="K127" s="584"/>
      <c r="L127" s="585"/>
      <c r="M127" s="586"/>
      <c r="N127" s="1155"/>
      <c r="O127" s="1155"/>
      <c r="P127" s="44"/>
      <c r="Q127" s="504"/>
    </row>
    <row r="128" spans="1:17" ht="15.75" thickBot="1">
      <c r="A128" s="534"/>
      <c r="B128" s="543"/>
      <c r="C128" s="560"/>
      <c r="D128" s="560"/>
      <c r="E128" s="560"/>
      <c r="F128" s="560"/>
      <c r="G128" s="536"/>
      <c r="H128" s="536"/>
      <c r="I128" s="536"/>
      <c r="J128" s="536"/>
      <c r="K128" s="536"/>
      <c r="L128" s="536"/>
      <c r="M128" s="537"/>
      <c r="N128" s="1156"/>
      <c r="O128" s="1156"/>
      <c r="P128" s="44"/>
      <c r="Q128" s="504"/>
    </row>
    <row r="129" spans="1:17" ht="15" thickTop="1">
      <c r="A129" s="599"/>
      <c r="B129" s="538">
        <f>B44</f>
        <v>111</v>
      </c>
      <c r="C129" s="523"/>
      <c r="D129" s="523"/>
      <c r="E129" s="523"/>
      <c r="F129" s="523"/>
      <c r="G129" s="583"/>
      <c r="H129" s="583"/>
      <c r="I129" s="583"/>
      <c r="J129" s="583"/>
      <c r="K129" s="584"/>
      <c r="L129" s="585"/>
      <c r="M129" s="586"/>
      <c r="N129" s="1155"/>
      <c r="O129" s="1155"/>
      <c r="P129" s="44"/>
      <c r="Q129" s="504"/>
    </row>
    <row r="130" spans="1:17" ht="15.75" thickBot="1">
      <c r="A130" s="534"/>
      <c r="B130" s="543"/>
      <c r="C130" s="570"/>
      <c r="D130" s="570"/>
      <c r="E130" s="570"/>
      <c r="F130" s="570"/>
      <c r="G130" s="536"/>
      <c r="H130" s="536"/>
      <c r="I130" s="536"/>
      <c r="J130" s="536"/>
      <c r="K130" s="536"/>
      <c r="L130" s="536"/>
      <c r="M130" s="537"/>
      <c r="N130" s="1156"/>
      <c r="O130" s="1156"/>
      <c r="P130" s="44"/>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4" stopIfTrue="1" operator="containsText" text="超过">
      <formula>NOT(ISERROR(SEARCH("超过",F51)))</formula>
    </cfRule>
  </conditionalFormatting>
  <conditionalFormatting sqref="J53">
    <cfRule type="containsText" dxfId="42" priority="13" stopIfTrue="1" operator="containsText" text="超过">
      <formula>NOT(ISERROR(SEARCH("超过",J53)))</formula>
    </cfRule>
  </conditionalFormatting>
  <conditionalFormatting sqref="H53">
    <cfRule type="containsText" dxfId="41" priority="12" stopIfTrue="1" operator="containsText" text="超过">
      <formula>NOT(ISERROR(SEARCH("超过",H53)))</formula>
    </cfRule>
  </conditionalFormatting>
  <conditionalFormatting sqref="F53">
    <cfRule type="containsText" dxfId="40" priority="11" stopIfTrue="1" operator="containsText" text="超过">
      <formula>NOT(ISERROR(SEARCH("超过",F53)))</formula>
    </cfRule>
  </conditionalFormatting>
  <conditionalFormatting sqref="F52 H52 J52">
    <cfRule type="containsText" dxfId="39" priority="10" stopIfTrue="1" operator="containsText" text="超过">
      <formula>NOT(ISERROR(SEARCH("超过",F52)))</formula>
    </cfRule>
  </conditionalFormatting>
  <conditionalFormatting sqref="E51">
    <cfRule type="expression" dxfId="38" priority="9" stopIfTrue="1">
      <formula>$F$51="超过30%"</formula>
    </cfRule>
  </conditionalFormatting>
  <conditionalFormatting sqref="G53">
    <cfRule type="expression" dxfId="37" priority="8" stopIfTrue="1">
      <formula>$H$53="超过30%"</formula>
    </cfRule>
  </conditionalFormatting>
  <conditionalFormatting sqref="E52">
    <cfRule type="expression" dxfId="36" priority="7" stopIfTrue="1">
      <formula>$F$52="超过20%"</formula>
    </cfRule>
  </conditionalFormatting>
  <conditionalFormatting sqref="E53">
    <cfRule type="expression" dxfId="35" priority="6" stopIfTrue="1">
      <formula>$F$53="超过30%"</formula>
    </cfRule>
  </conditionalFormatting>
  <conditionalFormatting sqref="G51">
    <cfRule type="expression" dxfId="34" priority="5" stopIfTrue="1">
      <formula>$H$53+$H$51="超过30%"</formula>
    </cfRule>
  </conditionalFormatting>
  <conditionalFormatting sqref="G52">
    <cfRule type="expression" dxfId="33" priority="4" stopIfTrue="1">
      <formula>$H$52="超过20%"</formula>
    </cfRule>
  </conditionalFormatting>
  <conditionalFormatting sqref="I51">
    <cfRule type="expression" dxfId="32" priority="3" stopIfTrue="1">
      <formula>$J$51="超过30%"</formula>
    </cfRule>
  </conditionalFormatting>
  <conditionalFormatting sqref="I52">
    <cfRule type="expression" dxfId="31" priority="2" stopIfTrue="1">
      <formula>$J$52="超过20%"</formula>
    </cfRule>
  </conditionalFormatting>
  <conditionalFormatting sqref="I53">
    <cfRule type="expression" dxfId="3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56" t="s">
        <v>2643</v>
      </c>
      <c r="D4" s="3257"/>
      <c r="E4" s="3258" t="s">
        <v>2644</v>
      </c>
      <c r="F4" s="3259"/>
      <c r="G4" s="3256" t="s">
        <v>2645</v>
      </c>
      <c r="H4" s="3257"/>
      <c r="I4" s="3256" t="s">
        <v>2646</v>
      </c>
      <c r="J4" s="3257"/>
      <c r="K4" s="610" t="s">
        <v>2647</v>
      </c>
      <c r="L4" s="1133"/>
      <c r="M4" s="1134"/>
      <c r="N4" s="1134"/>
      <c r="O4" s="1134"/>
      <c r="P4" s="3344" t="s">
        <v>2648</v>
      </c>
      <c r="Q4" s="3345"/>
      <c r="R4" s="3348" t="s">
        <v>2644</v>
      </c>
      <c r="S4" s="3349"/>
      <c r="T4" s="3348" t="s">
        <v>2645</v>
      </c>
      <c r="U4" s="3349"/>
      <c r="V4" s="3273" t="s">
        <v>2646</v>
      </c>
      <c r="W4" s="3273"/>
      <c r="X4" s="1817"/>
      <c r="Y4" s="3348" t="s">
        <v>2648</v>
      </c>
      <c r="Z4" s="3349"/>
      <c r="AA4" s="3343" t="s">
        <v>2644</v>
      </c>
      <c r="AB4" s="3286" t="s">
        <v>2645</v>
      </c>
      <c r="AC4" s="3343" t="s">
        <v>2646</v>
      </c>
    </row>
    <row r="5" spans="1:29" ht="15">
      <c r="A5" s="404"/>
      <c r="B5" s="405"/>
      <c r="C5" s="3282" t="s">
        <v>2539</v>
      </c>
      <c r="D5" s="3277"/>
      <c r="E5" s="3350" t="s">
        <v>2540</v>
      </c>
      <c r="F5" s="3289"/>
      <c r="G5" s="3282" t="s">
        <v>2541</v>
      </c>
      <c r="H5" s="3277"/>
      <c r="I5" s="3282" t="s">
        <v>2542</v>
      </c>
      <c r="J5" s="3277"/>
      <c r="K5" s="610"/>
      <c r="L5" s="1133"/>
      <c r="M5" s="1134"/>
      <c r="N5" s="1134"/>
      <c r="O5" s="1134"/>
      <c r="P5" s="3346"/>
      <c r="Q5" s="3263"/>
      <c r="R5" s="3268"/>
      <c r="S5" s="3269"/>
      <c r="T5" s="3268"/>
      <c r="U5" s="3269"/>
      <c r="V5" s="3273"/>
      <c r="W5" s="3273"/>
      <c r="X5" s="1817"/>
      <c r="Y5" s="3268"/>
      <c r="Z5" s="3269"/>
      <c r="AA5" s="3286"/>
      <c r="AB5" s="3286"/>
      <c r="AC5" s="3286"/>
    </row>
    <row r="6" spans="1:29" ht="15.75" thickBot="1">
      <c r="A6" s="406"/>
      <c r="B6" s="407"/>
      <c r="C6" s="3356" t="s">
        <v>2794</v>
      </c>
      <c r="D6" s="3357"/>
      <c r="E6" s="3358" t="s">
        <v>2794</v>
      </c>
      <c r="F6" s="3359"/>
      <c r="G6" s="3356" t="s">
        <v>2794</v>
      </c>
      <c r="H6" s="3357"/>
      <c r="I6" s="3356" t="s">
        <v>2794</v>
      </c>
      <c r="J6" s="3357"/>
      <c r="K6" s="610" t="s">
        <v>2544</v>
      </c>
      <c r="L6" s="1133"/>
      <c r="M6" s="1134"/>
      <c r="N6" s="1134"/>
      <c r="O6" s="1134"/>
      <c r="P6" s="3347"/>
      <c r="Q6" s="3265"/>
      <c r="R6" s="3268"/>
      <c r="S6" s="3269"/>
      <c r="T6" s="3270"/>
      <c r="U6" s="3271"/>
      <c r="V6" s="3273"/>
      <c r="W6" s="3273"/>
      <c r="X6" s="1817"/>
      <c r="Y6" s="3270"/>
      <c r="Z6" s="3271"/>
      <c r="AA6" s="3287"/>
      <c r="AB6" s="3287"/>
      <c r="AC6" s="3287"/>
    </row>
    <row r="7" spans="1:29" s="116" customFormat="1" ht="15.75" thickBot="1">
      <c r="A7" s="408" t="s">
        <v>2545</v>
      </c>
      <c r="B7" s="409"/>
      <c r="C7" s="410">
        <f>'数据-取费表'!B2</f>
        <v>43047</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80" t="s">
        <v>2546</v>
      </c>
      <c r="Q7" s="3281"/>
      <c r="R7" s="770" t="s">
        <v>17</v>
      </c>
      <c r="S7" s="771">
        <f t="shared" ref="S7:S15" si="0">F7</f>
        <v>0</v>
      </c>
      <c r="T7" s="770" t="s">
        <v>17</v>
      </c>
      <c r="U7" s="771">
        <f t="shared" ref="U7:U15" si="1">H7</f>
        <v>0</v>
      </c>
      <c r="V7" s="770" t="s">
        <v>17</v>
      </c>
      <c r="W7" s="771">
        <f t="shared" ref="W7:W15" si="2">J7</f>
        <v>0</v>
      </c>
      <c r="X7" s="772"/>
      <c r="Y7" s="3280" t="s">
        <v>2546</v>
      </c>
      <c r="Z7" s="3279"/>
      <c r="AA7" s="773" t="e">
        <f>D7/F7</f>
        <v>#DIV/0!</v>
      </c>
      <c r="AB7" s="773" t="e">
        <f>D7/H7</f>
        <v>#DIV/0!</v>
      </c>
      <c r="AC7" s="773" t="e">
        <f>D7/J7</f>
        <v>#DIV/0!</v>
      </c>
    </row>
    <row r="8" spans="1:29" s="116"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80" t="s">
        <v>2549</v>
      </c>
      <c r="Q8" s="3279"/>
      <c r="R8" s="770" t="s">
        <v>17</v>
      </c>
      <c r="S8" s="771">
        <f t="shared" si="0"/>
        <v>0</v>
      </c>
      <c r="T8" s="770" t="s">
        <v>17</v>
      </c>
      <c r="U8" s="771">
        <f t="shared" si="1"/>
        <v>0</v>
      </c>
      <c r="V8" s="770" t="s">
        <v>17</v>
      </c>
      <c r="W8" s="771">
        <f t="shared" si="2"/>
        <v>0</v>
      </c>
      <c r="X8" s="772"/>
      <c r="Y8" s="3280" t="s">
        <v>2549</v>
      </c>
      <c r="Z8" s="3279"/>
      <c r="AA8" s="773" t="e">
        <f t="shared" ref="AA8:AA40" si="3">D8/F8</f>
        <v>#DIV/0!</v>
      </c>
      <c r="AB8" s="773" t="e">
        <f t="shared" ref="AB8:AB40" si="4">D8/H8</f>
        <v>#DIV/0!</v>
      </c>
      <c r="AC8" s="773" t="e">
        <f t="shared" ref="AC8:AC40" si="5">D8/J8</f>
        <v>#DIV/0!</v>
      </c>
    </row>
    <row r="9" spans="1:29" s="116" customFormat="1">
      <c r="A9" s="415" t="s">
        <v>2550</v>
      </c>
      <c r="B9" s="70" t="s">
        <v>2551</v>
      </c>
      <c r="C9" s="2701"/>
      <c r="D9" s="134">
        <v>100</v>
      </c>
      <c r="E9" s="2701"/>
      <c r="F9" s="134">
        <f>SUMIF(70:70,E9,71:71)-SUMIF(70:70,C9,71:71)+100</f>
        <v>100</v>
      </c>
      <c r="G9" s="2701"/>
      <c r="H9" s="134">
        <f>SUMIF(70:70,G9,71:71)-SUMIF(70:70,C9,71:71)+100</f>
        <v>100</v>
      </c>
      <c r="I9" s="2701"/>
      <c r="J9" s="134">
        <f>SUMIF(70:70,I9,71:71)-SUMIF(70:70,C9,71:71)+100</f>
        <v>100</v>
      </c>
      <c r="K9" s="611"/>
      <c r="L9" s="1135"/>
      <c r="M9" s="1136"/>
      <c r="N9" s="1136"/>
      <c r="O9" s="1137"/>
      <c r="P9" s="3239" t="s">
        <v>2552</v>
      </c>
      <c r="Q9" s="1799" t="str">
        <f t="shared" ref="Q9:Q15" si="6">B9</f>
        <v>用途</v>
      </c>
      <c r="R9" s="770" t="s">
        <v>17</v>
      </c>
      <c r="S9" s="771">
        <f t="shared" si="0"/>
        <v>100</v>
      </c>
      <c r="T9" s="770" t="s">
        <v>17</v>
      </c>
      <c r="U9" s="771">
        <f t="shared" si="1"/>
        <v>100</v>
      </c>
      <c r="V9" s="770" t="s">
        <v>17</v>
      </c>
      <c r="W9" s="771">
        <f t="shared" si="2"/>
        <v>100</v>
      </c>
      <c r="X9" s="772"/>
      <c r="Y9" s="3096" t="s">
        <v>2553</v>
      </c>
      <c r="Z9" s="54" t="str">
        <f t="shared" ref="Z9:Z15" si="7">Q9</f>
        <v>用途</v>
      </c>
      <c r="AA9" s="773">
        <f t="shared" si="3"/>
        <v>1</v>
      </c>
      <c r="AB9" s="773">
        <f t="shared" si="4"/>
        <v>1</v>
      </c>
      <c r="AC9" s="773">
        <f t="shared" si="5"/>
        <v>1</v>
      </c>
    </row>
    <row r="10" spans="1:29" s="427" customFormat="1" ht="27">
      <c r="A10" s="421"/>
      <c r="B10" s="422" t="s">
        <v>2554</v>
      </c>
      <c r="C10" s="432"/>
      <c r="D10" s="135">
        <v>100</v>
      </c>
      <c r="E10" s="432"/>
      <c r="F10" s="135">
        <f>ROUND(100/'数据-取费表'!G16,0)</f>
        <v>113</v>
      </c>
      <c r="G10" s="432"/>
      <c r="H10" s="135">
        <f>ROUND(100/'数据-取费表'!G16,0)</f>
        <v>113</v>
      </c>
      <c r="I10" s="432"/>
      <c r="J10" s="135">
        <f>ROUND(100/'数据-取费表'!G16,0)</f>
        <v>113</v>
      </c>
      <c r="K10" s="672"/>
      <c r="L10" s="1138"/>
      <c r="M10" s="1139"/>
      <c r="N10" s="1139"/>
      <c r="O10" s="1140"/>
      <c r="P10" s="3239"/>
      <c r="Q10" s="1799" t="str">
        <f t="shared" si="6"/>
        <v>土地使用年限（年）</v>
      </c>
      <c r="R10" s="770" t="s">
        <v>17</v>
      </c>
      <c r="S10" s="771">
        <f t="shared" si="0"/>
        <v>113</v>
      </c>
      <c r="T10" s="770" t="s">
        <v>17</v>
      </c>
      <c r="U10" s="771">
        <f t="shared" si="1"/>
        <v>113</v>
      </c>
      <c r="V10" s="770" t="s">
        <v>17</v>
      </c>
      <c r="W10" s="771">
        <f t="shared" si="2"/>
        <v>113</v>
      </c>
      <c r="X10" s="772"/>
      <c r="Y10" s="3096"/>
      <c r="Z10" s="54" t="str">
        <f t="shared" si="7"/>
        <v>土地使用年限（年）</v>
      </c>
      <c r="AA10" s="773">
        <f t="shared" si="3"/>
        <v>0.88495575221238942</v>
      </c>
      <c r="AB10" s="773">
        <f t="shared" si="4"/>
        <v>0.88495575221238942</v>
      </c>
      <c r="AC10" s="773">
        <f t="shared" si="5"/>
        <v>0.88495575221238942</v>
      </c>
    </row>
    <row r="11" spans="1:29" ht="15">
      <c r="A11" s="428"/>
      <c r="B11" s="422" t="s">
        <v>2555</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41"/>
      <c r="M11" s="1134"/>
      <c r="N11" s="1134"/>
      <c r="O11" s="1142"/>
      <c r="P11" s="3239"/>
      <c r="Q11" s="1799" t="str">
        <f t="shared" si="6"/>
        <v>容积率</v>
      </c>
      <c r="R11" s="770" t="s">
        <v>17</v>
      </c>
      <c r="S11" s="771" t="e">
        <f t="shared" si="0"/>
        <v>#N/A</v>
      </c>
      <c r="T11" s="770" t="s">
        <v>17</v>
      </c>
      <c r="U11" s="771" t="e">
        <f t="shared" si="1"/>
        <v>#N/A</v>
      </c>
      <c r="V11" s="770" t="s">
        <v>17</v>
      </c>
      <c r="W11" s="771" t="e">
        <f t="shared" si="2"/>
        <v>#N/A</v>
      </c>
      <c r="X11" s="772"/>
      <c r="Y11" s="3096"/>
      <c r="Z11" s="54" t="str">
        <f t="shared" si="7"/>
        <v>容积率</v>
      </c>
      <c r="AA11" s="773" t="e">
        <f t="shared" si="3"/>
        <v>#N/A</v>
      </c>
      <c r="AB11" s="773" t="e">
        <f t="shared" si="4"/>
        <v>#N/A</v>
      </c>
      <c r="AC11" s="773" t="e">
        <f t="shared" si="5"/>
        <v>#N/A</v>
      </c>
    </row>
    <row r="12" spans="1:29" s="116" customFormat="1" ht="15">
      <c r="A12" s="431"/>
      <c r="B12" s="2602">
        <v>111</v>
      </c>
      <c r="C12" s="432"/>
      <c r="D12" s="433">
        <v>100</v>
      </c>
      <c r="E12" s="549"/>
      <c r="F12" s="135">
        <f>SUMIF(77:77,E12,78:78)-SUMIF(77:77,C12,78:78)+100</f>
        <v>100</v>
      </c>
      <c r="G12" s="674"/>
      <c r="H12" s="135">
        <f>SUMIF(77:77,G12,78:78)-SUMIF(77:77,C12,78:78)+100</f>
        <v>100</v>
      </c>
      <c r="I12" s="549"/>
      <c r="J12" s="135">
        <f>SUMIF(77:77,I12,78:78)-SUMIF(77:77,C12,78:78)+100</f>
        <v>100</v>
      </c>
      <c r="K12" s="672"/>
      <c r="L12" s="1135"/>
      <c r="M12" s="1136"/>
      <c r="N12" s="1136"/>
      <c r="O12" s="1137"/>
      <c r="P12" s="3239"/>
      <c r="Q12" s="1799">
        <f t="shared" si="6"/>
        <v>111</v>
      </c>
      <c r="R12" s="770" t="s">
        <v>17</v>
      </c>
      <c r="S12" s="771">
        <f t="shared" si="0"/>
        <v>100</v>
      </c>
      <c r="T12" s="770" t="s">
        <v>17</v>
      </c>
      <c r="U12" s="771">
        <f t="shared" si="1"/>
        <v>100</v>
      </c>
      <c r="V12" s="770" t="s">
        <v>17</v>
      </c>
      <c r="W12" s="771">
        <f t="shared" si="2"/>
        <v>100</v>
      </c>
      <c r="X12" s="772"/>
      <c r="Y12" s="3096"/>
      <c r="Z12" s="54">
        <f t="shared" si="7"/>
        <v>111</v>
      </c>
      <c r="AA12" s="773">
        <f>D12/F12</f>
        <v>1</v>
      </c>
      <c r="AB12" s="773">
        <f>D12/H12</f>
        <v>1</v>
      </c>
      <c r="AC12" s="773">
        <f>D12/J12</f>
        <v>1</v>
      </c>
    </row>
    <row r="13" spans="1:29" ht="15">
      <c r="A13" s="428"/>
      <c r="B13" s="2602">
        <v>111</v>
      </c>
      <c r="C13" s="434"/>
      <c r="D13" s="435">
        <v>100</v>
      </c>
      <c r="E13" s="549"/>
      <c r="F13" s="135">
        <f>SUMIF(79:79,E13,80:80)-SUMIF(79:79,C13,80:80)+100</f>
        <v>100</v>
      </c>
      <c r="G13" s="674"/>
      <c r="H13" s="435">
        <f>SUMIF(79:79,G13,80:80)-SUMIF(79:79,C13,80:80)+100</f>
        <v>100</v>
      </c>
      <c r="I13" s="549"/>
      <c r="J13" s="435">
        <f>SUMIF(79:79,I13,80:80)-SUMIF(79:79,C13,80:80)+100</f>
        <v>100</v>
      </c>
      <c r="K13" s="672"/>
      <c r="L13" s="1143"/>
      <c r="M13" s="1134"/>
      <c r="N13" s="1134"/>
      <c r="O13" s="1142"/>
      <c r="P13" s="3239"/>
      <c r="Q13" s="1799">
        <f t="shared" si="6"/>
        <v>111</v>
      </c>
      <c r="R13" s="770" t="s">
        <v>17</v>
      </c>
      <c r="S13" s="771">
        <f t="shared" si="0"/>
        <v>100</v>
      </c>
      <c r="T13" s="770" t="s">
        <v>17</v>
      </c>
      <c r="U13" s="771">
        <f t="shared" si="1"/>
        <v>100</v>
      </c>
      <c r="V13" s="770" t="s">
        <v>17</v>
      </c>
      <c r="W13" s="771">
        <f t="shared" si="2"/>
        <v>100</v>
      </c>
      <c r="X13" s="772"/>
      <c r="Y13" s="3096"/>
      <c r="Z13" s="54">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9"/>
      <c r="Q14" s="1799">
        <f t="shared" si="6"/>
        <v>111</v>
      </c>
      <c r="R14" s="770" t="s">
        <v>17</v>
      </c>
      <c r="S14" s="771">
        <f t="shared" si="0"/>
        <v>100</v>
      </c>
      <c r="T14" s="770" t="s">
        <v>17</v>
      </c>
      <c r="U14" s="771">
        <f t="shared" si="1"/>
        <v>100</v>
      </c>
      <c r="V14" s="770" t="s">
        <v>17</v>
      </c>
      <c r="W14" s="771">
        <f t="shared" si="2"/>
        <v>100</v>
      </c>
      <c r="X14" s="772"/>
      <c r="Y14" s="3096"/>
      <c r="Z14" s="54">
        <f t="shared" si="7"/>
        <v>111</v>
      </c>
      <c r="AA14" s="773">
        <f t="shared" si="3"/>
        <v>1</v>
      </c>
      <c r="AB14" s="773">
        <f t="shared" si="4"/>
        <v>1</v>
      </c>
      <c r="AC14" s="773">
        <f t="shared" si="5"/>
        <v>1</v>
      </c>
    </row>
    <row r="15" spans="1:29" ht="57">
      <c r="A15" s="440" t="s">
        <v>2556</v>
      </c>
      <c r="B15" s="629" t="s">
        <v>2795</v>
      </c>
      <c r="C15" s="2695" t="str">
        <f>估价对象房地状况!G15</f>
        <v>估价对象位于三里屯，园区建设成熟度一般，产业集聚程度较差</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46" t="s">
        <v>2557</v>
      </c>
      <c r="Q15" s="1814" t="str">
        <f t="shared" si="6"/>
        <v>产业集聚程度</v>
      </c>
      <c r="R15" s="774" t="s">
        <v>17</v>
      </c>
      <c r="S15" s="775">
        <f t="shared" si="0"/>
        <v>100</v>
      </c>
      <c r="T15" s="774" t="s">
        <v>17</v>
      </c>
      <c r="U15" s="775">
        <f t="shared" si="1"/>
        <v>100</v>
      </c>
      <c r="V15" s="774" t="s">
        <v>17</v>
      </c>
      <c r="W15" s="775">
        <f t="shared" si="2"/>
        <v>100</v>
      </c>
      <c r="X15" s="1817"/>
      <c r="Y15" s="3246" t="s">
        <v>2557</v>
      </c>
      <c r="Z15" s="1818" t="str">
        <f t="shared" si="7"/>
        <v>产业集聚程度</v>
      </c>
      <c r="AA15" s="1815">
        <f t="shared" si="3"/>
        <v>1</v>
      </c>
      <c r="AB15" s="1815">
        <f t="shared" si="4"/>
        <v>1</v>
      </c>
      <c r="AC15" s="1815">
        <f t="shared" si="5"/>
        <v>1</v>
      </c>
    </row>
    <row r="16" spans="1:29" ht="15">
      <c r="A16" s="428"/>
      <c r="B16" s="630"/>
      <c r="C16" s="447"/>
      <c r="D16" s="448"/>
      <c r="E16" s="2613"/>
      <c r="F16" s="448"/>
      <c r="G16" s="2613"/>
      <c r="H16" s="450"/>
      <c r="I16" s="2613"/>
      <c r="J16" s="448"/>
      <c r="K16" s="672"/>
      <c r="L16" s="1143"/>
      <c r="M16" s="1134"/>
      <c r="N16" s="1134"/>
      <c r="O16" s="1142"/>
      <c r="P16" s="3247"/>
      <c r="Q16" s="1814"/>
      <c r="R16" s="774"/>
      <c r="S16" s="775"/>
      <c r="T16" s="774"/>
      <c r="U16" s="775"/>
      <c r="V16" s="774"/>
      <c r="W16" s="775"/>
      <c r="X16" s="1817"/>
      <c r="Y16" s="3247"/>
      <c r="Z16" s="1818"/>
      <c r="AA16" s="1815">
        <v>1</v>
      </c>
      <c r="AB16" s="1815">
        <v>1</v>
      </c>
      <c r="AC16" s="1815">
        <v>1</v>
      </c>
    </row>
    <row r="17" spans="1:29" ht="128.25">
      <c r="A17" s="428"/>
      <c r="B17" s="631" t="s">
        <v>2706</v>
      </c>
      <c r="C17" s="2609" t="str">
        <f>估价对象房地状况!G16</f>
        <v>估价对象周边有113路、115路、117路等多条公交线路，有地铁团结湖站，路网较密集，停车便捷程度较好，综合评价交通便捷度较好。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7"/>
      <c r="Q17" s="1814" t="str">
        <f>B17</f>
        <v>交通便捷度</v>
      </c>
      <c r="R17" s="774" t="s">
        <v>17</v>
      </c>
      <c r="S17" s="775">
        <f>F17</f>
        <v>100</v>
      </c>
      <c r="T17" s="774" t="s">
        <v>17</v>
      </c>
      <c r="U17" s="775">
        <f>H17</f>
        <v>100</v>
      </c>
      <c r="V17" s="774" t="s">
        <v>17</v>
      </c>
      <c r="W17" s="775">
        <f>J17</f>
        <v>100</v>
      </c>
      <c r="X17" s="1817"/>
      <c r="Y17" s="3247"/>
      <c r="Z17" s="1818" t="str">
        <f>Q17</f>
        <v>交通便捷度</v>
      </c>
      <c r="AA17" s="1815">
        <f t="shared" si="3"/>
        <v>1</v>
      </c>
      <c r="AB17" s="1815">
        <f t="shared" si="4"/>
        <v>1</v>
      </c>
      <c r="AC17" s="1815">
        <f t="shared" si="5"/>
        <v>1</v>
      </c>
    </row>
    <row r="18" spans="1:29" ht="15">
      <c r="A18" s="428"/>
      <c r="B18" s="632"/>
      <c r="C18" s="447"/>
      <c r="D18" s="448"/>
      <c r="E18" s="2607"/>
      <c r="F18" s="448"/>
      <c r="G18" s="2607"/>
      <c r="H18" s="448"/>
      <c r="I18" s="2606"/>
      <c r="J18" s="448"/>
      <c r="K18" s="672"/>
      <c r="L18" s="1143"/>
      <c r="M18" s="1134"/>
      <c r="N18" s="1134"/>
      <c r="O18" s="1142"/>
      <c r="P18" s="3247"/>
      <c r="Q18" s="1814"/>
      <c r="R18" s="774"/>
      <c r="S18" s="775"/>
      <c r="T18" s="774"/>
      <c r="U18" s="775"/>
      <c r="V18" s="774"/>
      <c r="W18" s="775"/>
      <c r="X18" s="1817"/>
      <c r="Y18" s="3247"/>
      <c r="Z18" s="1818"/>
      <c r="AA18" s="1815">
        <v>1</v>
      </c>
      <c r="AB18" s="1815">
        <v>1</v>
      </c>
      <c r="AC18" s="1815">
        <v>1</v>
      </c>
    </row>
    <row r="19" spans="1:29" ht="15">
      <c r="A19" s="428"/>
      <c r="B19" s="631" t="s">
        <v>2745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7"/>
      <c r="Q19" s="1814" t="str">
        <f t="shared" ref="Q19:Q33" si="8">B19</f>
        <v>区域土地利用方向</v>
      </c>
      <c r="R19" s="774" t="s">
        <v>17</v>
      </c>
      <c r="S19" s="775">
        <f>F19</f>
        <v>100</v>
      </c>
      <c r="T19" s="774" t="s">
        <v>17</v>
      </c>
      <c r="U19" s="775">
        <f>H19</f>
        <v>100</v>
      </c>
      <c r="V19" s="774" t="s">
        <v>17</v>
      </c>
      <c r="W19" s="775">
        <f>J19</f>
        <v>100</v>
      </c>
      <c r="X19" s="1817"/>
      <c r="Y19" s="3247"/>
      <c r="Z19" s="1818" t="str">
        <f>Q19</f>
        <v>区域土地利用方向</v>
      </c>
      <c r="AA19" s="1815">
        <f t="shared" si="3"/>
        <v>1</v>
      </c>
      <c r="AB19" s="1815">
        <f t="shared" si="4"/>
        <v>1</v>
      </c>
      <c r="AC19" s="1815">
        <f t="shared" si="5"/>
        <v>1</v>
      </c>
    </row>
    <row r="20" spans="1:29" ht="15">
      <c r="A20" s="404"/>
      <c r="B20" s="632"/>
      <c r="C20" s="447"/>
      <c r="D20" s="448"/>
      <c r="E20" s="2607"/>
      <c r="F20" s="448"/>
      <c r="G20" s="2607"/>
      <c r="H20" s="448"/>
      <c r="I20" s="2607"/>
      <c r="J20" s="448"/>
      <c r="K20" s="812"/>
      <c r="L20" s="1143"/>
      <c r="M20" s="1134"/>
      <c r="N20" s="1134"/>
      <c r="O20" s="1142"/>
      <c r="P20" s="3247"/>
      <c r="Q20" s="1814"/>
      <c r="R20" s="774"/>
      <c r="S20" s="775"/>
      <c r="T20" s="774"/>
      <c r="U20" s="775"/>
      <c r="V20" s="774"/>
      <c r="W20" s="775"/>
      <c r="X20" s="1817"/>
      <c r="Y20" s="3247"/>
      <c r="Z20" s="1818"/>
      <c r="AA20" s="1815"/>
      <c r="AB20" s="1815"/>
      <c r="AC20" s="1815"/>
    </row>
    <row r="21" spans="1:29" ht="85.5">
      <c r="A21" s="404"/>
      <c r="B21" s="631" t="s">
        <v>2796</v>
      </c>
      <c r="C21" s="2609" t="str">
        <f>估价对象房地状况!G18</f>
        <v>该园区内是否有污染型企业，绿化情况较好，卫生条件较好，整体环境状况较好。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7"/>
      <c r="Q21" s="1814" t="str">
        <f t="shared" si="8"/>
        <v>环境状况</v>
      </c>
      <c r="R21" s="774" t="s">
        <v>17</v>
      </c>
      <c r="S21" s="775">
        <f>F21</f>
        <v>100</v>
      </c>
      <c r="T21" s="774" t="s">
        <v>17</v>
      </c>
      <c r="U21" s="775">
        <f>H21</f>
        <v>100</v>
      </c>
      <c r="V21" s="774" t="s">
        <v>17</v>
      </c>
      <c r="W21" s="775">
        <f>J21</f>
        <v>100</v>
      </c>
      <c r="X21" s="1817"/>
      <c r="Y21" s="3247"/>
      <c r="Z21" s="1818" t="str">
        <f>Q21</f>
        <v>环境状况</v>
      </c>
      <c r="AA21" s="1815">
        <f t="shared" si="3"/>
        <v>1</v>
      </c>
      <c r="AB21" s="1815">
        <f t="shared" si="4"/>
        <v>1</v>
      </c>
      <c r="AC21" s="1815">
        <f t="shared" si="5"/>
        <v>1</v>
      </c>
    </row>
    <row r="22" spans="1:29" ht="15">
      <c r="A22" s="404"/>
      <c r="B22" s="632"/>
      <c r="C22" s="447"/>
      <c r="D22" s="448"/>
      <c r="E22" s="2613"/>
      <c r="F22" s="448"/>
      <c r="G22" s="2613"/>
      <c r="H22" s="448"/>
      <c r="I22" s="447"/>
      <c r="J22" s="448"/>
      <c r="K22" s="672"/>
      <c r="L22" s="1143"/>
      <c r="M22" s="1134"/>
      <c r="N22" s="1134"/>
      <c r="O22" s="1142"/>
      <c r="P22" s="3247"/>
      <c r="Q22" s="1814"/>
      <c r="R22" s="774"/>
      <c r="S22" s="775"/>
      <c r="T22" s="774"/>
      <c r="U22" s="775"/>
      <c r="V22" s="774"/>
      <c r="W22" s="775"/>
      <c r="X22" s="1817"/>
      <c r="Y22" s="3247"/>
      <c r="Z22" s="1818"/>
      <c r="AA22" s="1815">
        <v>1</v>
      </c>
      <c r="AB22" s="1815">
        <v>1</v>
      </c>
      <c r="AC22" s="1815">
        <v>1</v>
      </c>
    </row>
    <row r="23" spans="1:29" s="116" customFormat="1" ht="199.5">
      <c r="A23" s="649"/>
      <c r="B23" s="633" t="s">
        <v>2651</v>
      </c>
      <c r="C23" s="2609" t="str">
        <f>估价对象房地状况!G19</f>
        <v>估价对象所在区域有银行（中国银行长虹桥支行）、医院（武警北京总队医院）、超市（京客隆三里屯店）、学校（北京市朝阳区白家庄小学）、餐饮（石塘嘴）等公共配套设施，公共配套设施齐备情况较好。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7"/>
      <c r="Q23" s="1799" t="str">
        <f t="shared" si="8"/>
        <v>公共配套设施</v>
      </c>
      <c r="R23" s="770" t="s">
        <v>17</v>
      </c>
      <c r="S23" s="771">
        <f>F23</f>
        <v>100</v>
      </c>
      <c r="T23" s="770" t="s">
        <v>17</v>
      </c>
      <c r="U23" s="771">
        <f>H23</f>
        <v>100</v>
      </c>
      <c r="V23" s="770" t="s">
        <v>17</v>
      </c>
      <c r="W23" s="771">
        <f>J23</f>
        <v>100</v>
      </c>
      <c r="X23" s="772"/>
      <c r="Y23" s="3247"/>
      <c r="Z23" s="54" t="str">
        <f>Q23</f>
        <v>公共配套设施</v>
      </c>
      <c r="AA23" s="1815">
        <f>D23/F23</f>
        <v>1</v>
      </c>
      <c r="AB23" s="1815">
        <f>D23/H23</f>
        <v>1</v>
      </c>
      <c r="AC23" s="1815">
        <f>D23/J23</f>
        <v>1</v>
      </c>
    </row>
    <row r="24" spans="1:29" s="116" customFormat="1" ht="15">
      <c r="A24" s="649"/>
      <c r="B24" s="632"/>
      <c r="C24" s="2702"/>
      <c r="D24" s="448"/>
      <c r="E24" s="2613"/>
      <c r="F24" s="448"/>
      <c r="G24" s="2613"/>
      <c r="H24" s="448"/>
      <c r="I24" s="447"/>
      <c r="J24" s="448"/>
      <c r="K24" s="672"/>
      <c r="L24" s="1135"/>
      <c r="M24" s="1136"/>
      <c r="N24" s="1136"/>
      <c r="O24" s="1137"/>
      <c r="P24" s="3247"/>
      <c r="Q24" s="1799"/>
      <c r="R24" s="770"/>
      <c r="S24" s="771"/>
      <c r="T24" s="770"/>
      <c r="U24" s="771"/>
      <c r="V24" s="770"/>
      <c r="W24" s="771"/>
      <c r="X24" s="772"/>
      <c r="Y24" s="3247"/>
      <c r="Z24" s="54"/>
      <c r="AA24" s="773">
        <v>1</v>
      </c>
      <c r="AB24" s="773">
        <v>1</v>
      </c>
      <c r="AC24" s="773">
        <v>1</v>
      </c>
    </row>
    <row r="25" spans="1:29" s="116" customFormat="1" ht="42.75">
      <c r="A25" s="649"/>
      <c r="B25" s="633" t="s">
        <v>2652</v>
      </c>
      <c r="C25" s="2609" t="str">
        <f>估价对象房地状况!G20</f>
        <v>估价对象所在区域基础设施水平达“七通”。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7"/>
      <c r="Q25" s="1799" t="str">
        <f t="shared" ref="Q25" si="9">B25</f>
        <v>基础设施水平</v>
      </c>
      <c r="R25" s="770" t="s">
        <v>17</v>
      </c>
      <c r="S25" s="771">
        <f>F25</f>
        <v>100</v>
      </c>
      <c r="T25" s="770" t="s">
        <v>17</v>
      </c>
      <c r="U25" s="771">
        <f>H25</f>
        <v>100</v>
      </c>
      <c r="V25" s="770" t="s">
        <v>17</v>
      </c>
      <c r="W25" s="771">
        <f>J25</f>
        <v>100</v>
      </c>
      <c r="X25" s="772"/>
      <c r="Y25" s="3247"/>
      <c r="Z25" s="54" t="str">
        <f>Q25</f>
        <v>基础设施水平</v>
      </c>
      <c r="AA25" s="1815">
        <f>D25/F25</f>
        <v>1</v>
      </c>
      <c r="AB25" s="1815">
        <f>D25/H25</f>
        <v>1</v>
      </c>
      <c r="AC25" s="1815">
        <f>D25/J25</f>
        <v>1</v>
      </c>
    </row>
    <row r="26" spans="1:29" s="116" customFormat="1" ht="15">
      <c r="A26" s="649"/>
      <c r="B26" s="632"/>
      <c r="C26" s="2702"/>
      <c r="D26" s="448"/>
      <c r="E26" s="2703"/>
      <c r="F26" s="448"/>
      <c r="G26" s="2703"/>
      <c r="H26" s="448"/>
      <c r="I26" s="2703"/>
      <c r="J26" s="448"/>
      <c r="K26" s="672"/>
      <c r="L26" s="1135"/>
      <c r="M26" s="1136"/>
      <c r="N26" s="1136"/>
      <c r="O26" s="1137"/>
      <c r="P26" s="3247"/>
      <c r="Q26" s="1799"/>
      <c r="R26" s="770"/>
      <c r="S26" s="771"/>
      <c r="T26" s="770"/>
      <c r="U26" s="771"/>
      <c r="V26" s="770"/>
      <c r="W26" s="771"/>
      <c r="X26" s="772"/>
      <c r="Y26" s="3247"/>
      <c r="Z26" s="54"/>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7"/>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247"/>
      <c r="Z27" s="1818" t="str">
        <f t="shared" ref="Z27:Z40" si="13">Q27</f>
        <v>临街状况</v>
      </c>
      <c r="AA27" s="1815">
        <f t="shared" si="3"/>
        <v>1</v>
      </c>
      <c r="AB27" s="1815">
        <f t="shared" si="4"/>
        <v>1</v>
      </c>
      <c r="AC27" s="1815">
        <f t="shared" si="5"/>
        <v>1</v>
      </c>
    </row>
    <row r="28" spans="1:29" ht="27">
      <c r="A28" s="428"/>
      <c r="B28" s="633" t="s">
        <v>2688</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7"/>
      <c r="Q28" s="1814" t="str">
        <f t="shared" si="8"/>
        <v>毗邻道路的类型与等级</v>
      </c>
      <c r="R28" s="774" t="s">
        <v>17</v>
      </c>
      <c r="S28" s="775">
        <f t="shared" si="10"/>
        <v>100</v>
      </c>
      <c r="T28" s="774" t="s">
        <v>17</v>
      </c>
      <c r="U28" s="775">
        <f t="shared" si="11"/>
        <v>100</v>
      </c>
      <c r="V28" s="774" t="s">
        <v>17</v>
      </c>
      <c r="W28" s="775">
        <f t="shared" si="12"/>
        <v>100</v>
      </c>
      <c r="X28" s="1817"/>
      <c r="Y28" s="3247"/>
      <c r="Z28" s="1818" t="str">
        <f t="shared" si="13"/>
        <v>毗邻道路的类型与等级</v>
      </c>
      <c r="AA28" s="1815">
        <f t="shared" si="3"/>
        <v>1</v>
      </c>
      <c r="AB28" s="1815">
        <f t="shared" si="4"/>
        <v>1</v>
      </c>
      <c r="AC28" s="1815">
        <f t="shared" si="5"/>
        <v>1</v>
      </c>
    </row>
    <row r="29" spans="1:29" ht="15">
      <c r="A29" s="428"/>
      <c r="B29" s="632"/>
      <c r="C29" s="447"/>
      <c r="D29" s="448"/>
      <c r="E29" s="2613"/>
      <c r="F29" s="448"/>
      <c r="G29" s="2613"/>
      <c r="H29" s="448"/>
      <c r="I29" s="2613"/>
      <c r="J29" s="448"/>
      <c r="K29" s="613"/>
      <c r="L29" s="1143"/>
      <c r="M29" s="1134"/>
      <c r="N29" s="1134"/>
      <c r="O29" s="1142"/>
      <c r="P29" s="3247"/>
      <c r="Q29" s="1814"/>
      <c r="R29" s="774"/>
      <c r="S29" s="775"/>
      <c r="T29" s="774"/>
      <c r="U29" s="775"/>
      <c r="V29" s="774"/>
      <c r="W29" s="775"/>
      <c r="X29" s="1817"/>
      <c r="Y29" s="3247"/>
      <c r="Z29" s="1818"/>
      <c r="AA29" s="1815">
        <v>1</v>
      </c>
      <c r="AB29" s="1815">
        <v>1</v>
      </c>
      <c r="AC29" s="1815">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7"/>
      <c r="Q30" s="1814" t="str">
        <f t="shared" si="8"/>
        <v>土地级别</v>
      </c>
      <c r="R30" s="774" t="s">
        <v>17</v>
      </c>
      <c r="S30" s="775">
        <f t="shared" si="10"/>
        <v>100</v>
      </c>
      <c r="T30" s="774" t="s">
        <v>17</v>
      </c>
      <c r="U30" s="775">
        <f t="shared" si="11"/>
        <v>100</v>
      </c>
      <c r="V30" s="774" t="s">
        <v>17</v>
      </c>
      <c r="W30" s="775">
        <f t="shared" si="12"/>
        <v>100</v>
      </c>
      <c r="X30" s="1817"/>
      <c r="Y30" s="3247"/>
      <c r="Z30" s="1818" t="str">
        <f t="shared" si="13"/>
        <v>土地级别</v>
      </c>
      <c r="AA30" s="1815">
        <f t="shared" si="3"/>
        <v>1</v>
      </c>
      <c r="AB30" s="1815">
        <f t="shared" si="4"/>
        <v>1</v>
      </c>
      <c r="AC30" s="1815">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7"/>
      <c r="Q31" s="1814">
        <f t="shared" si="8"/>
        <v>111</v>
      </c>
      <c r="R31" s="774" t="s">
        <v>17</v>
      </c>
      <c r="S31" s="775">
        <f t="shared" si="10"/>
        <v>100</v>
      </c>
      <c r="T31" s="774" t="s">
        <v>17</v>
      </c>
      <c r="U31" s="775">
        <f t="shared" si="11"/>
        <v>100</v>
      </c>
      <c r="V31" s="774" t="s">
        <v>17</v>
      </c>
      <c r="W31" s="775">
        <f t="shared" si="12"/>
        <v>100</v>
      </c>
      <c r="X31" s="1817"/>
      <c r="Y31" s="3247"/>
      <c r="Z31" s="1818">
        <f t="shared" si="13"/>
        <v>111</v>
      </c>
      <c r="AA31" s="1815">
        <f t="shared" si="3"/>
        <v>1</v>
      </c>
      <c r="AB31" s="1815">
        <f t="shared" si="4"/>
        <v>1</v>
      </c>
      <c r="AC31" s="1815">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51" t="s">
        <v>2562</v>
      </c>
      <c r="Q32" s="1814">
        <f t="shared" si="8"/>
        <v>111</v>
      </c>
      <c r="R32" s="774" t="s">
        <v>17</v>
      </c>
      <c r="S32" s="775">
        <f t="shared" si="10"/>
        <v>100</v>
      </c>
      <c r="T32" s="774" t="s">
        <v>17</v>
      </c>
      <c r="U32" s="775">
        <f t="shared" si="11"/>
        <v>100</v>
      </c>
      <c r="V32" s="774" t="s">
        <v>17</v>
      </c>
      <c r="W32" s="775">
        <f t="shared" si="12"/>
        <v>100</v>
      </c>
      <c r="X32" s="1817"/>
      <c r="Y32" s="3251" t="s">
        <v>2562</v>
      </c>
      <c r="Z32" s="1818">
        <f t="shared" si="13"/>
        <v>111</v>
      </c>
      <c r="AA32" s="1815">
        <f t="shared" si="3"/>
        <v>1</v>
      </c>
      <c r="AB32" s="1815">
        <f t="shared" si="4"/>
        <v>1</v>
      </c>
      <c r="AC32" s="1815">
        <f t="shared" si="5"/>
        <v>1</v>
      </c>
    </row>
    <row r="33" spans="1:29" s="471" customFormat="1" ht="15.75" thickBot="1">
      <c r="A33" s="676"/>
      <c r="B33" s="2717">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51"/>
      <c r="Q33" s="1814">
        <f t="shared" si="8"/>
        <v>111</v>
      </c>
      <c r="R33" s="777" t="s">
        <v>17</v>
      </c>
      <c r="S33" s="778">
        <f t="shared" si="10"/>
        <v>100</v>
      </c>
      <c r="T33" s="777" t="s">
        <v>17</v>
      </c>
      <c r="U33" s="778">
        <f t="shared" si="11"/>
        <v>100</v>
      </c>
      <c r="V33" s="777" t="s">
        <v>17</v>
      </c>
      <c r="W33" s="778">
        <f t="shared" si="12"/>
        <v>100</v>
      </c>
      <c r="X33" s="779"/>
      <c r="Y33" s="3251"/>
      <c r="Z33" s="780">
        <f t="shared" si="13"/>
        <v>111</v>
      </c>
      <c r="AA33" s="1815">
        <f t="shared" si="3"/>
        <v>1</v>
      </c>
      <c r="AB33" s="1815">
        <f t="shared" si="4"/>
        <v>1</v>
      </c>
      <c r="AC33" s="1815">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51"/>
      <c r="Q34" s="1814" t="str">
        <f>B34</f>
        <v>宗地面积</v>
      </c>
      <c r="R34" s="774" t="s">
        <v>17</v>
      </c>
      <c r="S34" s="775" t="e">
        <f t="shared" si="10"/>
        <v>#N/A</v>
      </c>
      <c r="T34" s="774" t="s">
        <v>17</v>
      </c>
      <c r="U34" s="775" t="e">
        <f t="shared" si="11"/>
        <v>#N/A</v>
      </c>
      <c r="V34" s="774" t="s">
        <v>17</v>
      </c>
      <c r="W34" s="775" t="e">
        <f t="shared" si="12"/>
        <v>#N/A</v>
      </c>
      <c r="X34" s="1817"/>
      <c r="Y34" s="3251"/>
      <c r="Z34" s="1818" t="str">
        <f t="shared" si="13"/>
        <v>宗地面积</v>
      </c>
      <c r="AA34" s="1815" t="e">
        <f t="shared" si="3"/>
        <v>#N/A</v>
      </c>
      <c r="AB34" s="1815" t="e">
        <f t="shared" si="4"/>
        <v>#N/A</v>
      </c>
      <c r="AC34" s="1815" t="e">
        <f t="shared" si="5"/>
        <v>#N/A</v>
      </c>
    </row>
    <row r="35" spans="1:29" ht="15">
      <c r="A35" s="472"/>
      <c r="B35" s="422" t="s">
        <v>2749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51"/>
      <c r="Q35" s="1814" t="str">
        <f t="shared" ref="Q35:Q40" si="14">B35</f>
        <v>宗地形状</v>
      </c>
      <c r="R35" s="774" t="s">
        <v>17</v>
      </c>
      <c r="S35" s="775">
        <f t="shared" si="10"/>
        <v>100</v>
      </c>
      <c r="T35" s="774" t="s">
        <v>17</v>
      </c>
      <c r="U35" s="775">
        <f t="shared" si="11"/>
        <v>100</v>
      </c>
      <c r="V35" s="774" t="s">
        <v>17</v>
      </c>
      <c r="W35" s="775">
        <f t="shared" si="12"/>
        <v>100</v>
      </c>
      <c r="X35" s="1817"/>
      <c r="Y35" s="3251"/>
      <c r="Z35" s="1818" t="str">
        <f t="shared" si="13"/>
        <v>宗地形状</v>
      </c>
      <c r="AA35" s="1815">
        <f t="shared" si="3"/>
        <v>1</v>
      </c>
      <c r="AB35" s="1815">
        <f t="shared" si="4"/>
        <v>1</v>
      </c>
      <c r="AC35" s="1815">
        <f t="shared" si="5"/>
        <v>1</v>
      </c>
    </row>
    <row r="36" spans="1:29" s="116" customFormat="1" ht="15">
      <c r="A36" s="473"/>
      <c r="B36" s="422" t="s">
        <v>2751</v>
      </c>
      <c r="C36" s="2704"/>
      <c r="D36" s="135">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51"/>
      <c r="Q36" s="1814" t="str">
        <f t="shared" si="14"/>
        <v>宗地开发程度</v>
      </c>
      <c r="R36" s="770" t="s">
        <v>17</v>
      </c>
      <c r="S36" s="771">
        <f t="shared" si="10"/>
        <v>100</v>
      </c>
      <c r="T36" s="770" t="s">
        <v>17</v>
      </c>
      <c r="U36" s="771">
        <f t="shared" si="11"/>
        <v>100</v>
      </c>
      <c r="V36" s="770" t="s">
        <v>17</v>
      </c>
      <c r="W36" s="771">
        <f t="shared" si="12"/>
        <v>100</v>
      </c>
      <c r="X36" s="772"/>
      <c r="Y36" s="3251"/>
      <c r="Z36" s="54" t="str">
        <f t="shared" si="13"/>
        <v>宗地开发程度</v>
      </c>
      <c r="AA36" s="773">
        <f t="shared" si="3"/>
        <v>1</v>
      </c>
      <c r="AB36" s="773">
        <f t="shared" si="4"/>
        <v>1</v>
      </c>
      <c r="AC36" s="773">
        <f t="shared" si="5"/>
        <v>1</v>
      </c>
    </row>
    <row r="37" spans="1:29" ht="15">
      <c r="A37" s="472"/>
      <c r="B37" s="422" t="s">
        <v>2752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51" t="s">
        <v>2562</v>
      </c>
      <c r="Q37" s="1814" t="str">
        <f t="shared" si="14"/>
        <v>工程地质条件</v>
      </c>
      <c r="R37" s="774" t="s">
        <v>17</v>
      </c>
      <c r="S37" s="775">
        <f t="shared" si="10"/>
        <v>100</v>
      </c>
      <c r="T37" s="774" t="s">
        <v>17</v>
      </c>
      <c r="U37" s="775">
        <f t="shared" si="11"/>
        <v>100</v>
      </c>
      <c r="V37" s="774" t="s">
        <v>17</v>
      </c>
      <c r="W37" s="775">
        <f t="shared" si="12"/>
        <v>100</v>
      </c>
      <c r="X37" s="1817"/>
      <c r="Y37" s="3251" t="s">
        <v>2562</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51"/>
      <c r="Q38" s="1814">
        <f t="shared" si="14"/>
        <v>111</v>
      </c>
      <c r="R38" s="774" t="s">
        <v>17</v>
      </c>
      <c r="S38" s="775">
        <f t="shared" si="10"/>
        <v>100</v>
      </c>
      <c r="T38" s="774" t="s">
        <v>17</v>
      </c>
      <c r="U38" s="775">
        <f t="shared" si="11"/>
        <v>100</v>
      </c>
      <c r="V38" s="774" t="s">
        <v>17</v>
      </c>
      <c r="W38" s="775">
        <f t="shared" si="12"/>
        <v>100</v>
      </c>
      <c r="X38" s="1817"/>
      <c r="Y38" s="3251"/>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51"/>
      <c r="Q39" s="1814">
        <f t="shared" si="14"/>
        <v>111</v>
      </c>
      <c r="R39" s="774" t="s">
        <v>17</v>
      </c>
      <c r="S39" s="775">
        <f t="shared" si="10"/>
        <v>100</v>
      </c>
      <c r="T39" s="774" t="s">
        <v>17</v>
      </c>
      <c r="U39" s="775">
        <f t="shared" si="11"/>
        <v>100</v>
      </c>
      <c r="V39" s="774" t="s">
        <v>17</v>
      </c>
      <c r="W39" s="775">
        <f t="shared" si="12"/>
        <v>100</v>
      </c>
      <c r="X39" s="1817"/>
      <c r="Y39" s="3251"/>
      <c r="Z39" s="1818">
        <f t="shared" si="13"/>
        <v>111</v>
      </c>
      <c r="AA39" s="1815">
        <f t="shared" si="3"/>
        <v>1</v>
      </c>
      <c r="AB39" s="1815">
        <f t="shared" si="4"/>
        <v>1</v>
      </c>
      <c r="AC39" s="1815">
        <f t="shared" si="5"/>
        <v>1</v>
      </c>
    </row>
    <row r="40" spans="1:29" s="471" customFormat="1" ht="15.75" thickBot="1">
      <c r="A40" s="468"/>
      <c r="B40" s="1390">
        <v>111</v>
      </c>
      <c r="C40" s="2705"/>
      <c r="D40" s="136">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51"/>
      <c r="Q40" s="1814">
        <f t="shared" si="14"/>
        <v>111</v>
      </c>
      <c r="R40" s="777" t="s">
        <v>17</v>
      </c>
      <c r="S40" s="778">
        <f t="shared" si="10"/>
        <v>100</v>
      </c>
      <c r="T40" s="777" t="s">
        <v>17</v>
      </c>
      <c r="U40" s="778">
        <f t="shared" si="11"/>
        <v>100</v>
      </c>
      <c r="V40" s="777" t="s">
        <v>17</v>
      </c>
      <c r="W40" s="778">
        <f t="shared" si="12"/>
        <v>100</v>
      </c>
      <c r="X40" s="779"/>
      <c r="Y40" s="3251"/>
      <c r="Z40" s="780">
        <f t="shared" si="13"/>
        <v>111</v>
      </c>
      <c r="AA40" s="1815">
        <f t="shared" si="3"/>
        <v>1</v>
      </c>
      <c r="AB40" s="1815">
        <f t="shared" si="4"/>
        <v>1</v>
      </c>
      <c r="AC40" s="1815">
        <f t="shared" si="5"/>
        <v>1</v>
      </c>
    </row>
    <row r="41" spans="1:29" ht="15">
      <c r="A41" s="479" t="s">
        <v>2717</v>
      </c>
      <c r="B41" s="2706" t="s">
        <v>2797</v>
      </c>
      <c r="C41" s="682" t="s">
        <v>1</v>
      </c>
      <c r="D41" s="481"/>
      <c r="E41" s="482"/>
      <c r="F41" s="483"/>
      <c r="G41" s="484"/>
      <c r="H41" s="485"/>
      <c r="I41" s="482"/>
      <c r="J41" s="485"/>
      <c r="K41" s="783"/>
      <c r="L41" s="1146"/>
      <c r="M41" s="1134"/>
      <c r="N41" s="1134"/>
      <c r="O41" s="1147"/>
      <c r="P41" s="3239" t="str">
        <f>A41</f>
        <v>成交单价</v>
      </c>
      <c r="Q41" s="3239"/>
      <c r="R41" s="3273">
        <f>E41</f>
        <v>0</v>
      </c>
      <c r="S41" s="3273"/>
      <c r="T41" s="3273">
        <f>G41</f>
        <v>0</v>
      </c>
      <c r="U41" s="3273"/>
      <c r="V41" s="3273">
        <f>I41</f>
        <v>0</v>
      </c>
      <c r="W41" s="3273"/>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239" t="str">
        <f>A42</f>
        <v>比较价值（元/平方米）</v>
      </c>
      <c r="Q42" s="3239"/>
      <c r="R42" s="3352" t="e">
        <f>ROUND(PRODUCT(R41,AA7:AA40),0)</f>
        <v>#DIV/0!</v>
      </c>
      <c r="S42" s="3352"/>
      <c r="T42" s="3352" t="e">
        <f>ROUND(PRODUCT(T41,AB7:AB40),0)</f>
        <v>#DIV/0!</v>
      </c>
      <c r="U42" s="3352"/>
      <c r="V42" s="3352" t="e">
        <f>ROUND(PRODUCT(V41,AC7:AC40),0)</f>
        <v>#DIV/0!</v>
      </c>
      <c r="W42" s="3352"/>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340" t="str">
        <f>A43</f>
        <v>估价对象XX用房的比较价值（楼面单价，元/平方米）</v>
      </c>
      <c r="Q43" s="3341"/>
      <c r="R43" s="3353" t="e">
        <f>ROUND(AVERAGE(R42:V42),0)</f>
        <v>#DIV/0!</v>
      </c>
      <c r="S43" s="3353"/>
      <c r="T43" s="3353"/>
      <c r="U43" s="3353"/>
      <c r="V43" s="3353"/>
      <c r="W43" s="335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7" t="s">
        <v>2757</v>
      </c>
      <c r="D50" s="2708" t="s">
        <v>2758</v>
      </c>
      <c r="E50" s="686" t="s">
        <v>2759</v>
      </c>
      <c r="F50" s="687" t="s">
        <v>2760</v>
      </c>
      <c r="G50" s="3256" t="s">
        <v>2761</v>
      </c>
      <c r="H50" s="3354"/>
      <c r="I50" s="1818" t="s">
        <v>2798</v>
      </c>
      <c r="J50" s="1818">
        <f>项目基本情况!F35</f>
        <v>0</v>
      </c>
      <c r="K50" s="2710" t="s">
        <v>2763</v>
      </c>
      <c r="L50" s="1109"/>
      <c r="M50" s="1147"/>
      <c r="N50" s="1147"/>
      <c r="O50" s="1147"/>
    </row>
    <row r="51" spans="1:17" s="692" customFormat="1">
      <c r="A51" s="688" t="s">
        <v>2764</v>
      </c>
      <c r="B51" s="689" t="e">
        <f>C43</f>
        <v>#DIV/0!</v>
      </c>
      <c r="C51" s="690">
        <v>1</v>
      </c>
      <c r="D51" s="1166">
        <v>1</v>
      </c>
      <c r="E51" s="690">
        <f>'数据-汇总表'!E8+'数据-汇总表'!E9</f>
        <v>25430.71</v>
      </c>
      <c r="F51" s="691" t="e">
        <f t="shared" ref="F51:F60" si="15">ROUND(B51*E51/10000,0)</f>
        <v>#DIV/0!</v>
      </c>
      <c r="G51" s="3238"/>
      <c r="H51" s="3239"/>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355"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355"/>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355"/>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355"/>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0.3</v>
      </c>
      <c r="D56" s="1167">
        <v>0.25</v>
      </c>
      <c r="E56" s="261">
        <f>'数据-汇总表'!E11</f>
        <v>0</v>
      </c>
      <c r="F56" s="691" t="e">
        <f t="shared" si="15"/>
        <v>#DIV/0!</v>
      </c>
      <c r="G56" s="2711" t="s">
        <v>2771</v>
      </c>
      <c r="H56" s="1107" t="str">
        <f>项目基本情况!C37</f>
        <v>二级</v>
      </c>
      <c r="I56" s="945">
        <f>SUMIF(修正!A45:A56,H56,修正!F45:F56)</f>
        <v>0.3</v>
      </c>
      <c r="J56" s="946"/>
      <c r="K56" s="1147"/>
      <c r="L56" s="944"/>
      <c r="M56" s="944"/>
      <c r="N56" s="944"/>
      <c r="O56" s="944"/>
    </row>
    <row r="57" spans="1:17" s="692" customFormat="1">
      <c r="A57" s="693" t="s">
        <v>2772</v>
      </c>
      <c r="B57" s="262" t="e">
        <f t="shared" si="17"/>
        <v>#DIV/0!</v>
      </c>
      <c r="C57" s="200">
        <f t="shared" si="16"/>
        <v>0.3</v>
      </c>
      <c r="D57" s="1167">
        <v>0.25</v>
      </c>
      <c r="E57" s="261">
        <f>'数据-汇总表'!E12</f>
        <v>0</v>
      </c>
      <c r="F57" s="691" t="e">
        <f t="shared" si="15"/>
        <v>#DIV/0!</v>
      </c>
      <c r="G57" s="1112" t="s">
        <v>2773</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1"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0.25</v>
      </c>
      <c r="D60" s="1167">
        <v>0.25</v>
      </c>
      <c r="E60" s="261">
        <f>'数据-汇总表'!E15</f>
        <v>0</v>
      </c>
      <c r="F60" s="691" t="e">
        <f t="shared" si="15"/>
        <v>#DIV/0!</v>
      </c>
      <c r="G60" s="2712" t="s">
        <v>2771</v>
      </c>
      <c r="H60" s="1117" t="str">
        <f>项目基本情况!C37</f>
        <v>二级</v>
      </c>
      <c r="I60" s="945">
        <f>SUMIF(修正!A45:A56,H60,修正!H45:H56)</f>
        <v>0.25</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38167.26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3" t="s">
        <v>2779</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6" customFormat="1" ht="30.75" customHeight="1">
      <c r="A66" s="2718" t="s">
        <v>2799</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6" customFormat="1" ht="15.75" thickBot="1">
      <c r="A67" s="515" t="s">
        <v>2582</v>
      </c>
      <c r="B67" s="516"/>
      <c r="C67" s="517"/>
      <c r="D67" s="518"/>
      <c r="E67" s="518"/>
      <c r="F67" s="518"/>
      <c r="G67" s="518"/>
      <c r="H67" s="518"/>
      <c r="I67" s="518"/>
      <c r="J67" s="518"/>
      <c r="K67" s="518"/>
      <c r="L67" s="518"/>
      <c r="M67" s="519"/>
      <c r="N67" s="519"/>
      <c r="O67" s="520"/>
      <c r="P67" s="504"/>
      <c r="Q67" s="504"/>
    </row>
    <row r="68" spans="1:17" s="116" customFormat="1" ht="15">
      <c r="A68" s="521" t="s">
        <v>2547</v>
      </c>
      <c r="B68" s="510"/>
      <c r="C68" s="522" t="s">
        <v>2649</v>
      </c>
      <c r="D68" s="523"/>
      <c r="E68" s="523"/>
      <c r="F68" s="523"/>
      <c r="G68" s="523"/>
      <c r="H68" s="523"/>
      <c r="I68" s="523"/>
      <c r="J68" s="523"/>
      <c r="K68" s="523"/>
      <c r="L68" s="524"/>
      <c r="M68" s="525"/>
      <c r="N68" s="1154"/>
      <c r="O68" s="1154"/>
      <c r="P68" s="526"/>
      <c r="Q68" s="504"/>
    </row>
    <row r="69" spans="1:17" s="116"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4"/>
      <c r="Q70" s="504"/>
    </row>
    <row r="71" spans="1:17" ht="15.75" thickBot="1">
      <c r="A71" s="534"/>
      <c r="B71" s="535"/>
      <c r="C71" s="536"/>
      <c r="D71" s="536"/>
      <c r="E71" s="536"/>
      <c r="F71" s="536"/>
      <c r="G71" s="536"/>
      <c r="H71" s="536"/>
      <c r="I71" s="536"/>
      <c r="J71" s="536"/>
      <c r="K71" s="536"/>
      <c r="L71" s="536"/>
      <c r="M71" s="537"/>
      <c r="N71" s="1156"/>
      <c r="O71" s="1156"/>
      <c r="P71" s="44"/>
      <c r="Q71" s="504"/>
    </row>
    <row r="72" spans="1:17" ht="27.75" thickTop="1">
      <c r="A72" s="534"/>
      <c r="B72" s="538" t="s">
        <v>2554</v>
      </c>
      <c r="C72" s="539"/>
      <c r="D72" s="539"/>
      <c r="E72" s="539"/>
      <c r="F72" s="539"/>
      <c r="G72" s="539"/>
      <c r="H72" s="539"/>
      <c r="I72" s="539"/>
      <c r="J72" s="539"/>
      <c r="K72" s="540"/>
      <c r="L72" s="541"/>
      <c r="M72" s="542"/>
      <c r="N72" s="1155"/>
      <c r="O72" s="1155"/>
      <c r="P72" s="44"/>
      <c r="Q72" s="504"/>
    </row>
    <row r="73" spans="1:17" ht="15.75" thickBot="1">
      <c r="A73" s="534"/>
      <c r="B73" s="543"/>
      <c r="C73" s="544"/>
      <c r="D73" s="544"/>
      <c r="E73" s="544"/>
      <c r="F73" s="544"/>
      <c r="G73" s="544"/>
      <c r="H73" s="544"/>
      <c r="I73" s="544"/>
      <c r="J73" s="544"/>
      <c r="K73" s="544"/>
      <c r="L73" s="544"/>
      <c r="M73" s="545"/>
      <c r="N73" s="1156"/>
      <c r="O73" s="1156"/>
      <c r="P73" s="44"/>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4"/>
      <c r="Q74" s="504"/>
    </row>
    <row r="75" spans="1:17" ht="15">
      <c r="A75" s="534"/>
      <c r="B75" s="548"/>
      <c r="C75" s="549"/>
      <c r="D75" s="549"/>
      <c r="E75" s="549"/>
      <c r="F75" s="549"/>
      <c r="G75" s="549"/>
      <c r="H75" s="549"/>
      <c r="I75" s="549"/>
      <c r="J75" s="549"/>
      <c r="K75" s="550"/>
      <c r="L75" s="551"/>
      <c r="M75" s="552"/>
      <c r="N75" s="1155"/>
      <c r="O75" s="1155"/>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4"/>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4"/>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4"/>
      <c r="Q86" s="504"/>
    </row>
    <row r="87" spans="1:17" s="116"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4"/>
      <c r="Q88" s="504"/>
    </row>
    <row r="89" spans="1:17" s="116"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4"/>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4"/>
      <c r="Q96" s="504"/>
    </row>
    <row r="97" spans="1:17" ht="27.75" thickTop="1">
      <c r="A97" s="534"/>
      <c r="B97" s="538" t="s">
        <v>2688</v>
      </c>
      <c r="C97" s="554"/>
      <c r="D97" s="554"/>
      <c r="E97" s="554"/>
      <c r="F97" s="554"/>
      <c r="G97" s="554"/>
      <c r="H97" s="583"/>
      <c r="I97" s="583"/>
      <c r="J97" s="583"/>
      <c r="K97" s="584"/>
      <c r="L97" s="585"/>
      <c r="M97" s="586"/>
      <c r="N97" s="1155"/>
      <c r="O97" s="1155"/>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4"/>
      <c r="Q98" s="504"/>
    </row>
    <row r="99" spans="1:17" ht="15.75" thickTop="1">
      <c r="A99" s="534"/>
      <c r="B99" s="538" t="s">
        <v>2747</v>
      </c>
      <c r="C99" s="583"/>
      <c r="D99" s="583"/>
      <c r="E99" s="583"/>
      <c r="F99" s="583"/>
      <c r="G99" s="583"/>
      <c r="H99" s="583"/>
      <c r="I99" s="583"/>
      <c r="J99" s="583"/>
      <c r="K99" s="584"/>
      <c r="L99" s="585"/>
      <c r="M99" s="586"/>
      <c r="N99" s="1155"/>
      <c r="O99" s="1155"/>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4"/>
      <c r="Q100" s="504"/>
    </row>
    <row r="101" spans="1:17" ht="15.75" thickTop="1">
      <c r="A101" s="534"/>
      <c r="B101" s="546">
        <f>B31</f>
        <v>111</v>
      </c>
      <c r="C101" s="554"/>
      <c r="D101" s="554"/>
      <c r="E101" s="554"/>
      <c r="F101" s="554"/>
      <c r="G101" s="587"/>
      <c r="H101" s="587"/>
      <c r="I101" s="587"/>
      <c r="J101" s="587"/>
      <c r="K101" s="588"/>
      <c r="L101" s="589"/>
      <c r="M101" s="590"/>
      <c r="N101" s="1155"/>
      <c r="O101" s="1155"/>
      <c r="P101" s="44"/>
      <c r="Q101" s="504"/>
    </row>
    <row r="102" spans="1:17" ht="15.75" thickBot="1">
      <c r="A102" s="534"/>
      <c r="B102" s="569"/>
      <c r="C102" s="560"/>
      <c r="D102" s="536"/>
      <c r="E102" s="536"/>
      <c r="F102" s="536"/>
      <c r="G102" s="591"/>
      <c r="H102" s="591"/>
      <c r="I102" s="591"/>
      <c r="J102" s="591"/>
      <c r="K102" s="591"/>
      <c r="L102" s="591"/>
      <c r="M102" s="592"/>
      <c r="N102" s="1156"/>
      <c r="O102" s="1156"/>
      <c r="P102" s="44"/>
      <c r="Q102" s="504"/>
    </row>
    <row r="103" spans="1:17" ht="15" thickTop="1">
      <c r="A103" s="675"/>
      <c r="B103" s="538">
        <f>B32</f>
        <v>111</v>
      </c>
      <c r="C103" s="554"/>
      <c r="D103" s="554"/>
      <c r="E103" s="554"/>
      <c r="F103" s="554"/>
      <c r="G103" s="583"/>
      <c r="H103" s="583"/>
      <c r="I103" s="583"/>
      <c r="J103" s="583"/>
      <c r="K103" s="584"/>
      <c r="L103" s="585"/>
      <c r="M103" s="586"/>
      <c r="N103" s="1155"/>
      <c r="O103" s="1155"/>
      <c r="P103" s="44"/>
      <c r="Q103" s="504"/>
    </row>
    <row r="104" spans="1:17" ht="15.75" thickBot="1">
      <c r="A104" s="534"/>
      <c r="B104" s="543"/>
      <c r="C104" s="560"/>
      <c r="D104" s="560"/>
      <c r="E104" s="560"/>
      <c r="F104" s="560"/>
      <c r="G104" s="536"/>
      <c r="H104" s="536"/>
      <c r="I104" s="536"/>
      <c r="J104" s="536"/>
      <c r="K104" s="536"/>
      <c r="L104" s="536"/>
      <c r="M104" s="537"/>
      <c r="N104" s="1156"/>
      <c r="O104" s="1156"/>
      <c r="P104" s="44"/>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4"/>
      <c r="Q107" s="504"/>
    </row>
    <row r="108" spans="1:17" ht="15">
      <c r="A108" s="534"/>
      <c r="B108" s="546"/>
      <c r="C108" s="595"/>
      <c r="D108" s="595"/>
      <c r="E108" s="595"/>
      <c r="F108" s="595"/>
      <c r="G108" s="595"/>
      <c r="H108" s="595"/>
      <c r="I108" s="595"/>
      <c r="J108" s="596"/>
      <c r="K108" s="596"/>
      <c r="L108" s="597"/>
      <c r="M108" s="598"/>
      <c r="N108" s="1155"/>
      <c r="O108" s="1155"/>
      <c r="P108" s="44"/>
      <c r="Q108" s="504"/>
    </row>
    <row r="109" spans="1:17" ht="15.75" thickBot="1">
      <c r="A109" s="534"/>
      <c r="B109" s="543"/>
      <c r="C109" s="570"/>
      <c r="D109" s="591"/>
      <c r="E109" s="591"/>
      <c r="F109" s="591"/>
      <c r="G109" s="591"/>
      <c r="H109" s="591"/>
      <c r="I109" s="591"/>
      <c r="J109" s="591"/>
      <c r="K109" s="591"/>
      <c r="L109" s="591"/>
      <c r="M109" s="592"/>
      <c r="N109" s="1156"/>
      <c r="O109" s="1156"/>
      <c r="P109" s="44"/>
      <c r="Q109" s="504"/>
    </row>
    <row r="110" spans="1:17" ht="15" thickTop="1">
      <c r="A110" s="599"/>
      <c r="B110" s="538" t="s">
        <v>2789</v>
      </c>
      <c r="C110" s="583"/>
      <c r="D110" s="583"/>
      <c r="E110" s="583"/>
      <c r="F110" s="583"/>
      <c r="G110" s="583"/>
      <c r="H110" s="583"/>
      <c r="I110" s="583"/>
      <c r="J110" s="583"/>
      <c r="K110" s="584"/>
      <c r="L110" s="585"/>
      <c r="M110" s="586"/>
      <c r="N110" s="1155"/>
      <c r="O110" s="1155"/>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4"/>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4"/>
      <c r="Q115" s="504"/>
    </row>
    <row r="116" spans="1:17" ht="15" thickTop="1">
      <c r="A116" s="599"/>
      <c r="B116" s="538">
        <f>B38</f>
        <v>111</v>
      </c>
      <c r="C116" s="554"/>
      <c r="D116" s="554"/>
      <c r="E116" s="554"/>
      <c r="F116" s="554"/>
      <c r="G116" s="554"/>
      <c r="H116" s="583"/>
      <c r="I116" s="583"/>
      <c r="J116" s="583"/>
      <c r="K116" s="584"/>
      <c r="L116" s="585"/>
      <c r="M116" s="586"/>
      <c r="N116" s="1155"/>
      <c r="O116" s="1155"/>
      <c r="P116" s="44"/>
      <c r="Q116" s="504"/>
    </row>
    <row r="117" spans="1:17" ht="15.75" thickBot="1">
      <c r="A117" s="534"/>
      <c r="B117" s="543"/>
      <c r="C117" s="560"/>
      <c r="D117" s="536"/>
      <c r="E117" s="536"/>
      <c r="F117" s="536"/>
      <c r="G117" s="536"/>
      <c r="H117" s="536"/>
      <c r="I117" s="536"/>
      <c r="J117" s="536"/>
      <c r="K117" s="536"/>
      <c r="L117" s="536"/>
      <c r="M117" s="537"/>
      <c r="N117" s="1156"/>
      <c r="O117" s="1156"/>
      <c r="P117" s="44"/>
      <c r="Q117" s="504"/>
    </row>
    <row r="118" spans="1:17" ht="15" thickTop="1">
      <c r="A118" s="599"/>
      <c r="B118" s="538">
        <f>B39</f>
        <v>111</v>
      </c>
      <c r="C118" s="554"/>
      <c r="D118" s="554"/>
      <c r="E118" s="554"/>
      <c r="F118" s="554"/>
      <c r="G118" s="583"/>
      <c r="H118" s="583"/>
      <c r="I118" s="583"/>
      <c r="J118" s="583"/>
      <c r="K118" s="584"/>
      <c r="L118" s="585"/>
      <c r="M118" s="586"/>
      <c r="N118" s="1155"/>
      <c r="O118" s="1155"/>
      <c r="P118" s="44"/>
      <c r="Q118" s="504"/>
    </row>
    <row r="119" spans="1:17" ht="15.75" thickBot="1">
      <c r="A119" s="534"/>
      <c r="B119" s="543"/>
      <c r="C119" s="560"/>
      <c r="D119" s="560"/>
      <c r="E119" s="560"/>
      <c r="F119" s="560"/>
      <c r="G119" s="536"/>
      <c r="H119" s="536"/>
      <c r="I119" s="536"/>
      <c r="J119" s="536"/>
      <c r="K119" s="536"/>
      <c r="L119" s="536"/>
      <c r="M119" s="537"/>
      <c r="N119" s="1156"/>
      <c r="O119" s="1156"/>
      <c r="P119" s="44"/>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9" priority="14" stopIfTrue="1" operator="containsText" text="超过">
      <formula>NOT(ISERROR(SEARCH("超过",F46)))</formula>
    </cfRule>
  </conditionalFormatting>
  <conditionalFormatting sqref="J48">
    <cfRule type="containsText" dxfId="28" priority="13" stopIfTrue="1" operator="containsText" text="超过">
      <formula>NOT(ISERROR(SEARCH("超过",J48)))</formula>
    </cfRule>
  </conditionalFormatting>
  <conditionalFormatting sqref="H48">
    <cfRule type="containsText" dxfId="27" priority="12" stopIfTrue="1" operator="containsText" text="超过">
      <formula>NOT(ISERROR(SEARCH("超过",H48)))</formula>
    </cfRule>
  </conditionalFormatting>
  <conditionalFormatting sqref="F48">
    <cfRule type="containsText" dxfId="26" priority="11" stopIfTrue="1" operator="containsText" text="超过">
      <formula>NOT(ISERROR(SEARCH("超过",F48)))</formula>
    </cfRule>
  </conditionalFormatting>
  <conditionalFormatting sqref="F47 H47 J47">
    <cfRule type="containsText" dxfId="25" priority="10" stopIfTrue="1" operator="containsText" text="超过">
      <formula>NOT(ISERROR(SEARCH("超过",F47)))</formula>
    </cfRule>
  </conditionalFormatting>
  <conditionalFormatting sqref="E46">
    <cfRule type="expression" dxfId="24" priority="9" stopIfTrue="1">
      <formula>$F$46="超过30%"</formula>
    </cfRule>
  </conditionalFormatting>
  <conditionalFormatting sqref="G48">
    <cfRule type="expression" dxfId="23" priority="8" stopIfTrue="1">
      <formula>$H$48="超过30%"</formula>
    </cfRule>
  </conditionalFormatting>
  <conditionalFormatting sqref="E48">
    <cfRule type="expression" dxfId="22" priority="6" stopIfTrue="1">
      <formula>$F$48="超过30%"</formula>
    </cfRule>
  </conditionalFormatting>
  <conditionalFormatting sqref="G46">
    <cfRule type="expression" dxfId="21" priority="5" stopIfTrue="1">
      <formula>$H$46="超过30%"</formula>
    </cfRule>
  </conditionalFormatting>
  <conditionalFormatting sqref="G47">
    <cfRule type="expression" dxfId="20" priority="4" stopIfTrue="1">
      <formula>$H$47="超过20%"</formula>
    </cfRule>
  </conditionalFormatting>
  <conditionalFormatting sqref="I46">
    <cfRule type="expression" dxfId="19" priority="3" stopIfTrue="1">
      <formula>$J$46="超过30%"</formula>
    </cfRule>
  </conditionalFormatting>
  <conditionalFormatting sqref="I47">
    <cfRule type="expression" dxfId="18" priority="2" stopIfTrue="1">
      <formula>$J$47="超过20%"</formula>
    </cfRule>
  </conditionalFormatting>
  <conditionalFormatting sqref="I48">
    <cfRule type="expression" dxfId="17" priority="1" stopIfTrue="1">
      <formula>$J$48="超过30%"</formula>
    </cfRule>
  </conditionalFormatting>
  <conditionalFormatting sqref="E47">
    <cfRule type="expression" dxfId="1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0" zoomScale="90" zoomScaleNormal="90" workbookViewId="0">
      <selection activeCell="F15" sqref="F1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2525</v>
      </c>
      <c r="B1" s="2671" t="s">
        <v>2683</v>
      </c>
      <c r="C1" s="1624" t="s">
        <v>2527</v>
      </c>
      <c r="D1" s="1625" t="s">
        <v>3257</v>
      </c>
      <c r="E1" s="1634"/>
      <c r="F1" s="2586" t="s">
        <v>3327</v>
      </c>
      <c r="G1" s="1635" t="s">
        <v>2529</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1395</v>
      </c>
      <c r="B2" s="1421">
        <f>IF(C2="——",ROUND(C50*D3/10000,0),ROUND(C50*D3/10000,0)-D2)</f>
        <v>7</v>
      </c>
      <c r="C2" s="2588" t="s">
        <v>70</v>
      </c>
      <c r="D2" s="1368"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1396</v>
      </c>
      <c r="B3" s="609">
        <f>IF(C2="——",C50,ROUND(B2*10000/D3,0))</f>
        <v>5.4</v>
      </c>
      <c r="C3" s="400" t="s">
        <v>2531</v>
      </c>
      <c r="D3" s="399">
        <f>IF(D1="",'数据-汇总表'!E3,SUMIF('数据-汇总表'!$C19:$C33,D1,'数据-汇总表'!$E19:$E33))</f>
        <v>13090.679999999998</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2532</v>
      </c>
      <c r="B4" s="402"/>
      <c r="C4" s="3256" t="s">
        <v>2533</v>
      </c>
      <c r="D4" s="3257"/>
      <c r="E4" s="3258" t="s">
        <v>2534</v>
      </c>
      <c r="F4" s="3259"/>
      <c r="G4" s="3256" t="s">
        <v>2535</v>
      </c>
      <c r="H4" s="3257"/>
      <c r="I4" s="3256" t="s">
        <v>2536</v>
      </c>
      <c r="J4" s="3257"/>
      <c r="K4" s="610" t="s">
        <v>2537</v>
      </c>
      <c r="L4" s="1133"/>
      <c r="M4" s="1134"/>
      <c r="N4" s="1134"/>
      <c r="O4" s="1134"/>
      <c r="P4" s="3260" t="s">
        <v>2538</v>
      </c>
      <c r="Q4" s="3261"/>
      <c r="R4" s="3266" t="s">
        <v>2534</v>
      </c>
      <c r="S4" s="3267"/>
      <c r="T4" s="3266" t="s">
        <v>2535</v>
      </c>
      <c r="U4" s="3267"/>
      <c r="V4" s="3272" t="s">
        <v>2536</v>
      </c>
      <c r="W4" s="3272"/>
      <c r="X4" s="2968"/>
      <c r="Y4" s="3266" t="s">
        <v>2538</v>
      </c>
      <c r="Z4" s="3267"/>
      <c r="AA4" s="3285" t="s">
        <v>2534</v>
      </c>
      <c r="AB4" s="3285" t="s">
        <v>2535</v>
      </c>
      <c r="AC4" s="3253" t="s">
        <v>2536</v>
      </c>
    </row>
    <row r="5" spans="1:29" ht="15">
      <c r="A5" s="404"/>
      <c r="B5" s="405"/>
      <c r="C5" s="3282" t="s">
        <v>2539</v>
      </c>
      <c r="D5" s="3277"/>
      <c r="E5" s="3288" t="s">
        <v>3328</v>
      </c>
      <c r="F5" s="3289"/>
      <c r="G5" s="3276" t="s">
        <v>3328</v>
      </c>
      <c r="H5" s="3277"/>
      <c r="I5" s="3276" t="s">
        <v>3329</v>
      </c>
      <c r="J5" s="3277"/>
      <c r="K5" s="610"/>
      <c r="L5" s="1133"/>
      <c r="M5" s="1134"/>
      <c r="N5" s="1134"/>
      <c r="O5" s="1134"/>
      <c r="P5" s="3262"/>
      <c r="Q5" s="3263"/>
      <c r="R5" s="3268"/>
      <c r="S5" s="3269"/>
      <c r="T5" s="3268"/>
      <c r="U5" s="3269"/>
      <c r="V5" s="3273"/>
      <c r="W5" s="3273"/>
      <c r="X5" s="2966"/>
      <c r="Y5" s="3268"/>
      <c r="Z5" s="3269"/>
      <c r="AA5" s="3286"/>
      <c r="AB5" s="3286"/>
      <c r="AC5" s="3254"/>
    </row>
    <row r="6" spans="1:29" ht="15.75" thickBot="1">
      <c r="A6" s="406"/>
      <c r="B6" s="407"/>
      <c r="C6" s="3274" t="s">
        <v>2543</v>
      </c>
      <c r="D6" s="3275"/>
      <c r="E6" s="3283" t="s">
        <v>2543</v>
      </c>
      <c r="F6" s="3284"/>
      <c r="G6" s="3274" t="s">
        <v>2543</v>
      </c>
      <c r="H6" s="3275"/>
      <c r="I6" s="3274" t="s">
        <v>2543</v>
      </c>
      <c r="J6" s="3275"/>
      <c r="K6" s="610" t="s">
        <v>2544</v>
      </c>
      <c r="L6" s="1133"/>
      <c r="M6" s="1134"/>
      <c r="N6" s="1134"/>
      <c r="O6" s="1134"/>
      <c r="P6" s="3264"/>
      <c r="Q6" s="3265"/>
      <c r="R6" s="3268"/>
      <c r="S6" s="3269"/>
      <c r="T6" s="3270"/>
      <c r="U6" s="3271"/>
      <c r="V6" s="3273"/>
      <c r="W6" s="3273"/>
      <c r="X6" s="2966"/>
      <c r="Y6" s="3270"/>
      <c r="Z6" s="3271"/>
      <c r="AA6" s="3287"/>
      <c r="AB6" s="3287"/>
      <c r="AC6" s="3255"/>
    </row>
    <row r="7" spans="1:29" s="116" customFormat="1" ht="15.75" thickBot="1">
      <c r="A7" s="408" t="s">
        <v>2545</v>
      </c>
      <c r="B7" s="409"/>
      <c r="C7" s="410">
        <f>'数据-取费表'!B2</f>
        <v>43047</v>
      </c>
      <c r="D7" s="411">
        <v>100</v>
      </c>
      <c r="E7" s="412">
        <v>43035</v>
      </c>
      <c r="F7" s="413">
        <f>SUMIF(59:59,YEAR(E7)&amp;"-"&amp;MONTH(E7),60:60)</f>
        <v>99</v>
      </c>
      <c r="G7" s="412">
        <v>43047</v>
      </c>
      <c r="H7" s="411">
        <f>SUMIF(59:59,YEAR(G7)&amp;"-"&amp;MONTH(G7),60:60)</f>
        <v>100</v>
      </c>
      <c r="I7" s="412">
        <v>43047</v>
      </c>
      <c r="J7" s="411">
        <f>SUMIF(59:59,YEAR(I7)&amp;"-"&amp;MONTH(I7),60:60)</f>
        <v>100</v>
      </c>
      <c r="K7" s="611"/>
      <c r="L7" s="1135"/>
      <c r="M7" s="1136"/>
      <c r="N7" s="1136"/>
      <c r="O7" s="1136"/>
      <c r="P7" s="3278" t="s">
        <v>2546</v>
      </c>
      <c r="Q7" s="3281"/>
      <c r="R7" s="770" t="s">
        <v>17</v>
      </c>
      <c r="S7" s="771">
        <f t="shared" ref="S7:S15" si="0">F7</f>
        <v>99</v>
      </c>
      <c r="T7" s="770" t="s">
        <v>17</v>
      </c>
      <c r="U7" s="771">
        <f t="shared" ref="U7:U15" si="1">H7</f>
        <v>100</v>
      </c>
      <c r="V7" s="770" t="s">
        <v>17</v>
      </c>
      <c r="W7" s="771">
        <f t="shared" ref="W7:W15" si="2">J7</f>
        <v>100</v>
      </c>
      <c r="X7" s="772"/>
      <c r="Y7" s="3280" t="s">
        <v>2546</v>
      </c>
      <c r="Z7" s="3279"/>
      <c r="AA7" s="773">
        <f>D7/F7</f>
        <v>1.0101010101010102</v>
      </c>
      <c r="AB7" s="773">
        <f>D7/H7</f>
        <v>1</v>
      </c>
      <c r="AC7" s="2673">
        <f>D7/J7</f>
        <v>1</v>
      </c>
    </row>
    <row r="8" spans="1:29" s="116" customFormat="1" ht="15.75" thickBot="1">
      <c r="A8" s="408" t="s">
        <v>2547</v>
      </c>
      <c r="B8" s="409"/>
      <c r="C8" s="414" t="s">
        <v>2584</v>
      </c>
      <c r="D8" s="411">
        <v>100</v>
      </c>
      <c r="E8" s="414" t="s">
        <v>3324</v>
      </c>
      <c r="F8" s="413">
        <f>SUMIF(62:62,E8,63:63)-SUMIF(62:62,C8,63:63)+100</f>
        <v>100</v>
      </c>
      <c r="G8" s="414" t="s">
        <v>3324</v>
      </c>
      <c r="H8" s="411">
        <f>SUMIF(62:62,G8,63:63)-SUMIF(62:62,C8,63:63)+100</f>
        <v>100</v>
      </c>
      <c r="I8" s="414" t="s">
        <v>3324</v>
      </c>
      <c r="J8" s="411">
        <f>SUMIF(62:62,I8,63:63)-SUMIF(62:62,C8,63:63)+100</f>
        <v>100</v>
      </c>
      <c r="K8" s="611"/>
      <c r="L8" s="1135"/>
      <c r="M8" s="1136"/>
      <c r="N8" s="1136"/>
      <c r="O8" s="1136"/>
      <c r="P8" s="3278" t="s">
        <v>2549</v>
      </c>
      <c r="Q8" s="3279"/>
      <c r="R8" s="770" t="s">
        <v>17</v>
      </c>
      <c r="S8" s="771">
        <f t="shared" si="0"/>
        <v>100</v>
      </c>
      <c r="T8" s="770" t="s">
        <v>17</v>
      </c>
      <c r="U8" s="771">
        <f t="shared" si="1"/>
        <v>100</v>
      </c>
      <c r="V8" s="770" t="s">
        <v>17</v>
      </c>
      <c r="W8" s="771">
        <f t="shared" si="2"/>
        <v>100</v>
      </c>
      <c r="X8" s="772"/>
      <c r="Y8" s="3280" t="s">
        <v>2549</v>
      </c>
      <c r="Z8" s="3279"/>
      <c r="AA8" s="773">
        <f t="shared" ref="AA8:AA47" si="3">D8/F8</f>
        <v>1</v>
      </c>
      <c r="AB8" s="773">
        <f t="shared" ref="AB8:AB47" si="4">D8/H8</f>
        <v>1</v>
      </c>
      <c r="AC8" s="2673">
        <f t="shared" ref="AC8:AC47" si="5">D8/J8</f>
        <v>1</v>
      </c>
    </row>
    <row r="9" spans="1:29" s="116" customFormat="1">
      <c r="A9" s="415" t="s">
        <v>2550</v>
      </c>
      <c r="B9" s="70" t="s">
        <v>2551</v>
      </c>
      <c r="C9" s="3043" t="s">
        <v>3284</v>
      </c>
      <c r="D9" s="134">
        <v>100</v>
      </c>
      <c r="E9" s="419" t="s">
        <v>27</v>
      </c>
      <c r="F9" s="134">
        <f>SUMIF(64:64,E9,65:65)-SUMIF(64:64,C9,65:65)+100</f>
        <v>115</v>
      </c>
      <c r="G9" s="417" t="s">
        <v>27</v>
      </c>
      <c r="H9" s="134">
        <f>SUMIF(64:64,G9,65:65)-SUMIF(64:64,C9,65:65)+100</f>
        <v>115</v>
      </c>
      <c r="I9" s="417" t="s">
        <v>27</v>
      </c>
      <c r="J9" s="134">
        <f>SUMIF(64:64,I9,65:65)-SUMIF(64:64,C9,65:65)+100</f>
        <v>115</v>
      </c>
      <c r="K9" s="611"/>
      <c r="L9" s="1135"/>
      <c r="M9" s="1136"/>
      <c r="N9" s="1136"/>
      <c r="O9" s="1136"/>
      <c r="P9" s="3238" t="s">
        <v>2552</v>
      </c>
      <c r="Q9" s="2941" t="str">
        <f t="shared" ref="Q9:Q15" si="6">B9</f>
        <v>用途</v>
      </c>
      <c r="R9" s="770" t="s">
        <v>17</v>
      </c>
      <c r="S9" s="771">
        <f t="shared" si="0"/>
        <v>115</v>
      </c>
      <c r="T9" s="770" t="s">
        <v>17</v>
      </c>
      <c r="U9" s="771">
        <f t="shared" si="1"/>
        <v>115</v>
      </c>
      <c r="V9" s="770" t="s">
        <v>17</v>
      </c>
      <c r="W9" s="771">
        <f t="shared" si="2"/>
        <v>115</v>
      </c>
      <c r="X9" s="772"/>
      <c r="Y9" s="3096" t="s">
        <v>2553</v>
      </c>
      <c r="Z9" s="2943" t="str">
        <f t="shared" ref="Z9:Z15" si="7">Q9</f>
        <v>用途</v>
      </c>
      <c r="AA9" s="773">
        <f t="shared" si="3"/>
        <v>0.86956521739130432</v>
      </c>
      <c r="AB9" s="773">
        <f t="shared" si="4"/>
        <v>0.86956521739130432</v>
      </c>
      <c r="AC9" s="2673">
        <f t="shared" si="5"/>
        <v>0.86956521739130432</v>
      </c>
    </row>
    <row r="10" spans="1:29" s="427" customFormat="1" ht="27">
      <c r="A10" s="421"/>
      <c r="B10" s="2953" t="s">
        <v>2554</v>
      </c>
      <c r="C10" s="423" t="s">
        <v>3325</v>
      </c>
      <c r="D10" s="135">
        <v>100</v>
      </c>
      <c r="E10" s="423" t="s">
        <v>3325</v>
      </c>
      <c r="F10" s="135">
        <f>SUMIF(66:66,E10,67:67)-SUMIF(66:66,C10,67:67)+100</f>
        <v>100</v>
      </c>
      <c r="G10" s="424" t="s">
        <v>3325</v>
      </c>
      <c r="H10" s="135">
        <f>SUMIF(66:66,G10,67:67)-SUMIF(66:66,C10,67:67)+100</f>
        <v>100</v>
      </c>
      <c r="I10" s="423" t="s">
        <v>3325</v>
      </c>
      <c r="J10" s="135">
        <f>SUMIF(66:66,I10,67:67)-SUMIF(66:66,C10,67:67)+100</f>
        <v>100</v>
      </c>
      <c r="K10" s="612">
        <v>2</v>
      </c>
      <c r="L10" s="1138"/>
      <c r="M10" s="1139"/>
      <c r="N10" s="1139"/>
      <c r="O10" s="1139"/>
      <c r="P10" s="3238"/>
      <c r="Q10" s="2941" t="str">
        <f t="shared" si="6"/>
        <v>土地使用年限（年）</v>
      </c>
      <c r="R10" s="770" t="s">
        <v>17</v>
      </c>
      <c r="S10" s="771">
        <f t="shared" si="0"/>
        <v>100</v>
      </c>
      <c r="T10" s="770" t="s">
        <v>17</v>
      </c>
      <c r="U10" s="771">
        <f t="shared" si="1"/>
        <v>100</v>
      </c>
      <c r="V10" s="770" t="s">
        <v>17</v>
      </c>
      <c r="W10" s="771">
        <f t="shared" si="2"/>
        <v>100</v>
      </c>
      <c r="X10" s="772"/>
      <c r="Y10" s="3096"/>
      <c r="Z10" s="2943" t="str">
        <f t="shared" si="7"/>
        <v>土地使用年限（年）</v>
      </c>
      <c r="AA10" s="773">
        <f t="shared" si="3"/>
        <v>1</v>
      </c>
      <c r="AB10" s="773">
        <f t="shared" si="4"/>
        <v>1</v>
      </c>
      <c r="AC10" s="2673">
        <f t="shared" si="5"/>
        <v>1</v>
      </c>
    </row>
    <row r="11" spans="1:29" ht="15">
      <c r="A11" s="428"/>
      <c r="B11" s="2953" t="s">
        <v>2555</v>
      </c>
      <c r="C11" s="429">
        <f>'数据-汇总表'!I5</f>
        <v>0.67</v>
      </c>
      <c r="D11" s="135">
        <v>100</v>
      </c>
      <c r="E11" s="429"/>
      <c r="F11" s="135">
        <f>LOOKUP(E11,69:69,70:70)-LOOKUP(C11,69:69,70:70)+100</f>
        <v>100</v>
      </c>
      <c r="G11" s="430"/>
      <c r="H11" s="135">
        <f>LOOKUP(G11,69:69,70:70)-LOOKUP(C11,69:69,70:70)+100</f>
        <v>100</v>
      </c>
      <c r="I11" s="429"/>
      <c r="J11" s="135">
        <f>LOOKUP(I11,69:69,70:70)-LOOKUP(C11,69:69,70:70)+100</f>
        <v>100</v>
      </c>
      <c r="K11" s="612">
        <v>0</v>
      </c>
      <c r="L11" s="1141"/>
      <c r="M11" s="1134"/>
      <c r="N11" s="1134"/>
      <c r="O11" s="1134"/>
      <c r="P11" s="3238"/>
      <c r="Q11" s="2941" t="str">
        <f t="shared" si="6"/>
        <v>容积率</v>
      </c>
      <c r="R11" s="770" t="s">
        <v>17</v>
      </c>
      <c r="S11" s="771">
        <f t="shared" si="0"/>
        <v>100</v>
      </c>
      <c r="T11" s="770" t="s">
        <v>17</v>
      </c>
      <c r="U11" s="771">
        <f t="shared" si="1"/>
        <v>100</v>
      </c>
      <c r="V11" s="770" t="s">
        <v>17</v>
      </c>
      <c r="W11" s="771">
        <f t="shared" si="2"/>
        <v>100</v>
      </c>
      <c r="X11" s="772"/>
      <c r="Y11" s="3096"/>
      <c r="Z11" s="2943" t="str">
        <f t="shared" si="7"/>
        <v>容积率</v>
      </c>
      <c r="AA11" s="773">
        <f t="shared" si="3"/>
        <v>1</v>
      </c>
      <c r="AB11" s="773">
        <f t="shared" si="4"/>
        <v>1</v>
      </c>
      <c r="AC11" s="2673">
        <f t="shared" si="5"/>
        <v>1</v>
      </c>
    </row>
    <row r="12" spans="1:29" s="116" customFormat="1" ht="15">
      <c r="A12" s="431"/>
      <c r="B12" s="2602">
        <v>111</v>
      </c>
      <c r="C12" s="432"/>
      <c r="D12" s="433">
        <v>100</v>
      </c>
      <c r="E12" s="432"/>
      <c r="F12" s="135">
        <f>SUMIF(71:71,E12,72:72)-SUMIF(71:71,C12,72:72)+100</f>
        <v>100</v>
      </c>
      <c r="G12" s="2674"/>
      <c r="H12" s="135">
        <f>SUMIF(71:71,G12,72:72)-SUMIF(71:71,C12,72:72)+100</f>
        <v>100</v>
      </c>
      <c r="I12" s="432"/>
      <c r="J12" s="135">
        <f>SUMIF(71:71,I12,72:72)-SUMIF(71:71,C12,72:72)+100</f>
        <v>100</v>
      </c>
      <c r="K12" s="613"/>
      <c r="L12" s="1135"/>
      <c r="M12" s="1136"/>
      <c r="N12" s="1136"/>
      <c r="O12" s="1136"/>
      <c r="P12" s="3238"/>
      <c r="Q12" s="2941">
        <f t="shared" si="6"/>
        <v>111</v>
      </c>
      <c r="R12" s="770" t="s">
        <v>17</v>
      </c>
      <c r="S12" s="771">
        <f t="shared" si="0"/>
        <v>100</v>
      </c>
      <c r="T12" s="770" t="s">
        <v>17</v>
      </c>
      <c r="U12" s="771">
        <f t="shared" si="1"/>
        <v>100</v>
      </c>
      <c r="V12" s="770" t="s">
        <v>17</v>
      </c>
      <c r="W12" s="771">
        <f t="shared" si="2"/>
        <v>100</v>
      </c>
      <c r="X12" s="772"/>
      <c r="Y12" s="3096"/>
      <c r="Z12" s="2943">
        <f t="shared" si="7"/>
        <v>111</v>
      </c>
      <c r="AA12" s="773">
        <f>D12/F12</f>
        <v>1</v>
      </c>
      <c r="AB12" s="773">
        <f>D12/H12</f>
        <v>1</v>
      </c>
      <c r="AC12" s="2673">
        <f>D12/J12</f>
        <v>1</v>
      </c>
    </row>
    <row r="13" spans="1:29" ht="15">
      <c r="A13" s="428"/>
      <c r="B13" s="2602">
        <v>111</v>
      </c>
      <c r="C13" s="434"/>
      <c r="D13" s="435">
        <v>100</v>
      </c>
      <c r="E13" s="432"/>
      <c r="F13" s="135">
        <f>SUMIF(73:73,E13,74:74)-SUMIF(73:73,C13,74:74)+100</f>
        <v>100</v>
      </c>
      <c r="G13" s="2674"/>
      <c r="H13" s="435">
        <f>SUMIF(73:73,G13,74:74)-SUMIF(73:73,C13,74:74)+100</f>
        <v>100</v>
      </c>
      <c r="I13" s="432"/>
      <c r="J13" s="435">
        <f>SUMIF(73:73,I13,74:74)-SUMIF(73:73,C13,74:74)+100</f>
        <v>100</v>
      </c>
      <c r="K13" s="613"/>
      <c r="L13" s="1143"/>
      <c r="M13" s="1134"/>
      <c r="N13" s="1134"/>
      <c r="O13" s="1134"/>
      <c r="P13" s="3238"/>
      <c r="Q13" s="2941">
        <f t="shared" si="6"/>
        <v>111</v>
      </c>
      <c r="R13" s="770" t="s">
        <v>17</v>
      </c>
      <c r="S13" s="771">
        <f t="shared" si="0"/>
        <v>100</v>
      </c>
      <c r="T13" s="770" t="s">
        <v>17</v>
      </c>
      <c r="U13" s="771">
        <f t="shared" si="1"/>
        <v>100</v>
      </c>
      <c r="V13" s="770" t="s">
        <v>17</v>
      </c>
      <c r="W13" s="771">
        <f t="shared" si="2"/>
        <v>100</v>
      </c>
      <c r="X13" s="772"/>
      <c r="Y13" s="3096"/>
      <c r="Z13" s="2943">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38"/>
      <c r="Q14" s="2941">
        <f t="shared" si="6"/>
        <v>111</v>
      </c>
      <c r="R14" s="770" t="s">
        <v>17</v>
      </c>
      <c r="S14" s="771">
        <f t="shared" si="0"/>
        <v>100</v>
      </c>
      <c r="T14" s="770" t="s">
        <v>17</v>
      </c>
      <c r="U14" s="771">
        <f t="shared" si="1"/>
        <v>100</v>
      </c>
      <c r="V14" s="770" t="s">
        <v>17</v>
      </c>
      <c r="W14" s="771">
        <f t="shared" si="2"/>
        <v>100</v>
      </c>
      <c r="X14" s="772"/>
      <c r="Y14" s="3096"/>
      <c r="Z14" s="2943">
        <f t="shared" si="7"/>
        <v>111</v>
      </c>
      <c r="AA14" s="773">
        <f t="shared" si="3"/>
        <v>1</v>
      </c>
      <c r="AB14" s="773">
        <f t="shared" si="4"/>
        <v>1</v>
      </c>
      <c r="AC14" s="2673">
        <f t="shared" si="5"/>
        <v>1</v>
      </c>
    </row>
    <row r="15" spans="1:29" ht="71.25">
      <c r="A15" s="440" t="s">
        <v>2556</v>
      </c>
      <c r="B15" s="3387" t="s">
        <v>2684</v>
      </c>
      <c r="C15" s="2675" t="str">
        <f>估价对象房地状况!C5</f>
        <v>估价对象位于三里屯，周边办公楼项目较多，入驻率较高，办公集聚程度较好。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44" t="s">
        <v>2557</v>
      </c>
      <c r="Q15" s="2964" t="str">
        <f t="shared" si="6"/>
        <v>办公集聚程度</v>
      </c>
      <c r="R15" s="774" t="s">
        <v>17</v>
      </c>
      <c r="S15" s="775">
        <f t="shared" si="0"/>
        <v>100</v>
      </c>
      <c r="T15" s="774" t="s">
        <v>17</v>
      </c>
      <c r="U15" s="775">
        <f t="shared" si="1"/>
        <v>100</v>
      </c>
      <c r="V15" s="774" t="s">
        <v>17</v>
      </c>
      <c r="W15" s="775">
        <f t="shared" si="2"/>
        <v>100</v>
      </c>
      <c r="X15" s="2966"/>
      <c r="Y15" s="3246" t="s">
        <v>2557</v>
      </c>
      <c r="Z15" s="2967" t="str">
        <f t="shared" si="7"/>
        <v>办公集聚程度</v>
      </c>
      <c r="AA15" s="2965">
        <f t="shared" si="3"/>
        <v>1</v>
      </c>
      <c r="AB15" s="2965">
        <f t="shared" si="4"/>
        <v>1</v>
      </c>
      <c r="AC15" s="2676">
        <f t="shared" si="5"/>
        <v>1</v>
      </c>
    </row>
    <row r="16" spans="1:29" ht="15">
      <c r="A16" s="428"/>
      <c r="B16" s="630"/>
      <c r="C16" s="2613" t="s">
        <v>3326</v>
      </c>
      <c r="D16" s="448"/>
      <c r="E16" s="447" t="s">
        <v>3326</v>
      </c>
      <c r="F16" s="448"/>
      <c r="G16" s="2613" t="s">
        <v>3326</v>
      </c>
      <c r="H16" s="450"/>
      <c r="I16" s="447" t="s">
        <v>3326</v>
      </c>
      <c r="J16" s="448"/>
      <c r="K16" s="615"/>
      <c r="L16" s="1143"/>
      <c r="M16" s="1134"/>
      <c r="N16" s="1134"/>
      <c r="O16" s="1134"/>
      <c r="P16" s="3245"/>
      <c r="Q16" s="2964"/>
      <c r="R16" s="774"/>
      <c r="S16" s="775"/>
      <c r="T16" s="774"/>
      <c r="U16" s="775"/>
      <c r="V16" s="774"/>
      <c r="W16" s="775"/>
      <c r="X16" s="2966"/>
      <c r="Y16" s="3247"/>
      <c r="Z16" s="2967"/>
      <c r="AA16" s="2965">
        <v>1</v>
      </c>
      <c r="AB16" s="2965">
        <v>1</v>
      </c>
      <c r="AC16" s="2676">
        <v>1</v>
      </c>
    </row>
    <row r="17" spans="1:29" ht="114">
      <c r="A17" s="428"/>
      <c r="B17" s="631" t="s">
        <v>2096</v>
      </c>
      <c r="C17" s="2677" t="str">
        <f>估价对象房地状况!C6</f>
        <v>估价对象周边有113路、115路、117路等多条公交线路，有地铁团结湖站，路网较密集，停车便捷程度较好，综合评价交通便捷度较好。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45"/>
      <c r="Q17" s="2964" t="str">
        <f>B17</f>
        <v>交通便捷度</v>
      </c>
      <c r="R17" s="774" t="s">
        <v>17</v>
      </c>
      <c r="S17" s="775">
        <f>F17</f>
        <v>100</v>
      </c>
      <c r="T17" s="774" t="s">
        <v>17</v>
      </c>
      <c r="U17" s="775">
        <f>H17</f>
        <v>100</v>
      </c>
      <c r="V17" s="774" t="s">
        <v>17</v>
      </c>
      <c r="W17" s="775">
        <f>J17</f>
        <v>100</v>
      </c>
      <c r="X17" s="2966"/>
      <c r="Y17" s="3247"/>
      <c r="Z17" s="2967" t="str">
        <f>Q17</f>
        <v>交通便捷度</v>
      </c>
      <c r="AA17" s="2965">
        <f t="shared" si="3"/>
        <v>1</v>
      </c>
      <c r="AB17" s="2965">
        <f t="shared" si="4"/>
        <v>1</v>
      </c>
      <c r="AC17" s="2676">
        <f t="shared" si="5"/>
        <v>1</v>
      </c>
    </row>
    <row r="18" spans="1:29" ht="15">
      <c r="A18" s="428"/>
      <c r="B18" s="632"/>
      <c r="C18" s="2678" t="s">
        <v>3326</v>
      </c>
      <c r="D18" s="450"/>
      <c r="E18" s="2611" t="s">
        <v>3326</v>
      </c>
      <c r="F18" s="450"/>
      <c r="G18" s="2612" t="s">
        <v>3326</v>
      </c>
      <c r="H18" s="448"/>
      <c r="I18" s="2612" t="s">
        <v>3326</v>
      </c>
      <c r="J18" s="448"/>
      <c r="K18" s="615"/>
      <c r="L18" s="1143"/>
      <c r="M18" s="1134"/>
      <c r="N18" s="1134"/>
      <c r="O18" s="1134"/>
      <c r="P18" s="3245"/>
      <c r="Q18" s="2964"/>
      <c r="R18" s="774"/>
      <c r="S18" s="775"/>
      <c r="T18" s="774"/>
      <c r="U18" s="775"/>
      <c r="V18" s="774"/>
      <c r="W18" s="775"/>
      <c r="X18" s="2966"/>
      <c r="Y18" s="3247"/>
      <c r="Z18" s="2967"/>
      <c r="AA18" s="2965">
        <v>1</v>
      </c>
      <c r="AB18" s="2965">
        <v>1</v>
      </c>
      <c r="AC18" s="2676">
        <v>1</v>
      </c>
    </row>
    <row r="19" spans="1:29" ht="171">
      <c r="A19" s="428"/>
      <c r="B19" s="631" t="s">
        <v>2685</v>
      </c>
      <c r="C19" s="2677" t="str">
        <f>估价对象房地状况!C7</f>
        <v>估价对象所在区域有银行（中国银行长虹桥支行）、医院（武警北京总队医院）、超市（京客隆三里屯店）、学校（北京市朝阳区白家庄小学）、餐饮（石塘嘴）等公共配套设施，公共配套设施齐备情况较好。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45"/>
      <c r="Q19" s="2964" t="str">
        <f>B19</f>
        <v>公共配套设施</v>
      </c>
      <c r="R19" s="774" t="s">
        <v>17</v>
      </c>
      <c r="S19" s="775">
        <f>F19</f>
        <v>100</v>
      </c>
      <c r="T19" s="774" t="s">
        <v>17</v>
      </c>
      <c r="U19" s="775">
        <f>H19</f>
        <v>100</v>
      </c>
      <c r="V19" s="774" t="s">
        <v>17</v>
      </c>
      <c r="W19" s="775">
        <f>J19</f>
        <v>100</v>
      </c>
      <c r="X19" s="2966"/>
      <c r="Y19" s="3247"/>
      <c r="Z19" s="2967" t="str">
        <f>Q19</f>
        <v>公共配套设施</v>
      </c>
      <c r="AA19" s="2965">
        <f t="shared" si="3"/>
        <v>1</v>
      </c>
      <c r="AB19" s="2965">
        <f t="shared" si="4"/>
        <v>1</v>
      </c>
      <c r="AC19" s="2676">
        <f t="shared" si="5"/>
        <v>1</v>
      </c>
    </row>
    <row r="20" spans="1:29" ht="15">
      <c r="A20" s="428"/>
      <c r="B20" s="632"/>
      <c r="C20" s="2613" t="s">
        <v>3326</v>
      </c>
      <c r="D20" s="448"/>
      <c r="E20" s="2606" t="s">
        <v>3326</v>
      </c>
      <c r="F20" s="448"/>
      <c r="G20" s="2607" t="s">
        <v>3326</v>
      </c>
      <c r="H20" s="448"/>
      <c r="I20" s="2607" t="s">
        <v>3326</v>
      </c>
      <c r="J20" s="448"/>
      <c r="K20" s="615"/>
      <c r="L20" s="1143"/>
      <c r="M20" s="1134"/>
      <c r="N20" s="1134"/>
      <c r="O20" s="1134"/>
      <c r="P20" s="3245"/>
      <c r="Q20" s="2964"/>
      <c r="R20" s="774"/>
      <c r="S20" s="775"/>
      <c r="T20" s="774"/>
      <c r="U20" s="775"/>
      <c r="V20" s="774"/>
      <c r="W20" s="775"/>
      <c r="X20" s="2966"/>
      <c r="Y20" s="3247"/>
      <c r="Z20" s="2967"/>
      <c r="AA20" s="2965">
        <v>1</v>
      </c>
      <c r="AB20" s="2965">
        <v>1</v>
      </c>
      <c r="AC20" s="2676">
        <v>1</v>
      </c>
    </row>
    <row r="21" spans="1:29" ht="42.75">
      <c r="A21" s="428"/>
      <c r="B21" s="633" t="s">
        <v>2686</v>
      </c>
      <c r="C21" s="2677"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45"/>
      <c r="Q21" s="2964" t="str">
        <f>B21</f>
        <v>基础设施水平</v>
      </c>
      <c r="R21" s="774" t="s">
        <v>17</v>
      </c>
      <c r="S21" s="775">
        <f>F21</f>
        <v>100</v>
      </c>
      <c r="T21" s="774" t="s">
        <v>17</v>
      </c>
      <c r="U21" s="775">
        <f>H21</f>
        <v>100</v>
      </c>
      <c r="V21" s="774" t="s">
        <v>17</v>
      </c>
      <c r="W21" s="775">
        <f>J21</f>
        <v>100</v>
      </c>
      <c r="X21" s="2966"/>
      <c r="Y21" s="3247"/>
      <c r="Z21" s="2967" t="str">
        <f>Q21</f>
        <v>基础设施水平</v>
      </c>
      <c r="AA21" s="2965">
        <f t="shared" ref="AA21" si="8">D21/F21</f>
        <v>1</v>
      </c>
      <c r="AB21" s="2965">
        <f t="shared" ref="AB21" si="9">D21/H21</f>
        <v>1</v>
      </c>
      <c r="AC21" s="2676">
        <f t="shared" ref="AC21" si="10">D21/J21</f>
        <v>1</v>
      </c>
    </row>
    <row r="22" spans="1:29" ht="15">
      <c r="A22" s="428"/>
      <c r="B22" s="633"/>
      <c r="C22" s="2678" t="s">
        <v>3304</v>
      </c>
      <c r="D22" s="448"/>
      <c r="E22" s="447" t="s">
        <v>3304</v>
      </c>
      <c r="F22" s="448"/>
      <c r="G22" s="2613" t="s">
        <v>3304</v>
      </c>
      <c r="H22" s="448"/>
      <c r="I22" s="2613" t="s">
        <v>3304</v>
      </c>
      <c r="J22" s="448"/>
      <c r="K22" s="1386"/>
      <c r="L22" s="1143"/>
      <c r="M22" s="1134"/>
      <c r="N22" s="1134"/>
      <c r="O22" s="1134"/>
      <c r="P22" s="3245"/>
      <c r="Q22" s="2964"/>
      <c r="R22" s="774"/>
      <c r="S22" s="775"/>
      <c r="T22" s="774"/>
      <c r="U22" s="775"/>
      <c r="V22" s="774"/>
      <c r="W22" s="775"/>
      <c r="X22" s="2966"/>
      <c r="Y22" s="3247"/>
      <c r="Z22" s="2967"/>
      <c r="AA22" s="2965">
        <v>1</v>
      </c>
      <c r="AB22" s="2965">
        <v>1</v>
      </c>
      <c r="AC22" s="2676">
        <v>1</v>
      </c>
    </row>
    <row r="23" spans="1:29" ht="128.25">
      <c r="A23" s="428"/>
      <c r="B23" s="631" t="s">
        <v>2687</v>
      </c>
      <c r="C23" s="2677" t="str">
        <f>估价对象房地状况!C9</f>
        <v>估价对象所在区域有团结湖公园，自然情况较好；有农业展览馆、北京联合大学机电学院等人文设施，人文情况较好；综合评价自然及人文环境较好。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45"/>
      <c r="Q23" s="2964" t="str">
        <f>B23</f>
        <v>环境质量</v>
      </c>
      <c r="R23" s="774" t="s">
        <v>17</v>
      </c>
      <c r="S23" s="775">
        <f>F23</f>
        <v>100</v>
      </c>
      <c r="T23" s="774" t="s">
        <v>17</v>
      </c>
      <c r="U23" s="775">
        <f>H23</f>
        <v>100</v>
      </c>
      <c r="V23" s="774" t="s">
        <v>17</v>
      </c>
      <c r="W23" s="775">
        <f>J23</f>
        <v>100</v>
      </c>
      <c r="X23" s="2966"/>
      <c r="Y23" s="3247"/>
      <c r="Z23" s="2967" t="str">
        <f>Q23</f>
        <v>环境质量</v>
      </c>
      <c r="AA23" s="2965">
        <f t="shared" si="3"/>
        <v>1</v>
      </c>
      <c r="AB23" s="2965">
        <f t="shared" si="4"/>
        <v>1</v>
      </c>
      <c r="AC23" s="2676">
        <f t="shared" si="5"/>
        <v>1</v>
      </c>
    </row>
    <row r="24" spans="1:29" ht="15">
      <c r="A24" s="428"/>
      <c r="B24" s="633"/>
      <c r="C24" s="2613" t="s">
        <v>3326</v>
      </c>
      <c r="D24" s="448"/>
      <c r="E24" s="2606" t="s">
        <v>3326</v>
      </c>
      <c r="F24" s="448"/>
      <c r="G24" s="2607" t="s">
        <v>3326</v>
      </c>
      <c r="H24" s="448"/>
      <c r="I24" s="2607" t="s">
        <v>3326</v>
      </c>
      <c r="J24" s="448"/>
      <c r="K24" s="615"/>
      <c r="L24" s="1143"/>
      <c r="M24" s="1134"/>
      <c r="N24" s="1134"/>
      <c r="O24" s="1134"/>
      <c r="P24" s="3245"/>
      <c r="Q24" s="2964"/>
      <c r="R24" s="774"/>
      <c r="S24" s="775"/>
      <c r="T24" s="774"/>
      <c r="U24" s="775"/>
      <c r="V24" s="774"/>
      <c r="W24" s="775"/>
      <c r="X24" s="2966"/>
      <c r="Y24" s="3247"/>
      <c r="Z24" s="2967"/>
      <c r="AA24" s="2965">
        <v>1</v>
      </c>
      <c r="AB24" s="2965">
        <v>1</v>
      </c>
      <c r="AC24" s="2676">
        <v>1</v>
      </c>
    </row>
    <row r="25" spans="1:29" ht="27">
      <c r="A25" s="404"/>
      <c r="B25" s="631" t="s">
        <v>2688</v>
      </c>
      <c r="C25" s="2617"/>
      <c r="D25" s="435">
        <v>100</v>
      </c>
      <c r="E25" s="434"/>
      <c r="F25" s="435">
        <f>SUMIF(87:87,E26,88:88)-SUMIF(87:87,C26,88:88)+100</f>
        <v>100</v>
      </c>
      <c r="G25" s="2617"/>
      <c r="H25" s="435">
        <f>SUMIF(87:87,G26,88:88)-SUMIF(87:87,C26,88:88)+100</f>
        <v>100</v>
      </c>
      <c r="I25" s="434"/>
      <c r="J25" s="435">
        <f>SUMIF(87:87,I26,88:88)-SUMIF(87:87,C26,88:88)+100</f>
        <v>100</v>
      </c>
      <c r="K25" s="614">
        <v>2</v>
      </c>
      <c r="L25" s="1143"/>
      <c r="M25" s="1134"/>
      <c r="N25" s="1134"/>
      <c r="O25" s="1134"/>
      <c r="P25" s="3245"/>
      <c r="Q25" s="2964" t="str">
        <f>B25</f>
        <v>毗邻道路的类型与等级</v>
      </c>
      <c r="R25" s="774" t="s">
        <v>17</v>
      </c>
      <c r="S25" s="775">
        <f>F25</f>
        <v>100</v>
      </c>
      <c r="T25" s="774" t="s">
        <v>17</v>
      </c>
      <c r="U25" s="775">
        <f>H25</f>
        <v>100</v>
      </c>
      <c r="V25" s="774" t="s">
        <v>17</v>
      </c>
      <c r="W25" s="775">
        <f>J25</f>
        <v>100</v>
      </c>
      <c r="X25" s="2966"/>
      <c r="Y25" s="3247"/>
      <c r="Z25" s="2967" t="str">
        <f>Q25</f>
        <v>毗邻道路的类型与等级</v>
      </c>
      <c r="AA25" s="2965">
        <f t="shared" si="3"/>
        <v>1</v>
      </c>
      <c r="AB25" s="2965">
        <f t="shared" si="4"/>
        <v>1</v>
      </c>
      <c r="AC25" s="2676">
        <f t="shared" si="5"/>
        <v>1</v>
      </c>
    </row>
    <row r="26" spans="1:29" ht="15">
      <c r="A26" s="404"/>
      <c r="B26" s="632"/>
      <c r="C26" s="634" t="s">
        <v>3290</v>
      </c>
      <c r="D26" s="435"/>
      <c r="E26" s="616" t="s">
        <v>3290</v>
      </c>
      <c r="F26" s="435"/>
      <c r="G26" s="634" t="s">
        <v>3290</v>
      </c>
      <c r="H26" s="435"/>
      <c r="I26" s="616" t="s">
        <v>3290</v>
      </c>
      <c r="J26" s="435"/>
      <c r="K26" s="615"/>
      <c r="L26" s="1143"/>
      <c r="M26" s="1134"/>
      <c r="N26" s="1134"/>
      <c r="O26" s="1134"/>
      <c r="P26" s="3245"/>
      <c r="Q26" s="2964"/>
      <c r="R26" s="774"/>
      <c r="S26" s="775"/>
      <c r="T26" s="774"/>
      <c r="U26" s="775"/>
      <c r="V26" s="774"/>
      <c r="W26" s="775"/>
      <c r="X26" s="2966"/>
      <c r="Y26" s="3247"/>
      <c r="Z26" s="2967"/>
      <c r="AA26" s="2965">
        <v>1</v>
      </c>
      <c r="AB26" s="2965">
        <v>1</v>
      </c>
      <c r="AC26" s="2676">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5"/>
      <c r="Q27" s="2964" t="str">
        <f t="shared" ref="Q27:Q47" si="11">B27</f>
        <v>楼层</v>
      </c>
      <c r="R27" s="774" t="s">
        <v>17</v>
      </c>
      <c r="S27" s="775">
        <f>F27</f>
        <v>100</v>
      </c>
      <c r="T27" s="774" t="s">
        <v>17</v>
      </c>
      <c r="U27" s="775">
        <f>H27</f>
        <v>100</v>
      </c>
      <c r="V27" s="774" t="s">
        <v>17</v>
      </c>
      <c r="W27" s="775">
        <f>J27</f>
        <v>100</v>
      </c>
      <c r="X27" s="2966"/>
      <c r="Y27" s="3247"/>
      <c r="Z27" s="2967" t="str">
        <f>Q27</f>
        <v>楼层</v>
      </c>
      <c r="AA27" s="2965">
        <f t="shared" si="3"/>
        <v>1</v>
      </c>
      <c r="AB27" s="2965">
        <f t="shared" si="4"/>
        <v>1</v>
      </c>
      <c r="AC27" s="2676">
        <f t="shared" si="5"/>
        <v>1</v>
      </c>
    </row>
    <row r="28" spans="1:29" s="116" customFormat="1" ht="15">
      <c r="A28" s="431"/>
      <c r="B28" s="631" t="s">
        <v>2689</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45"/>
      <c r="Q28" s="2941" t="str">
        <f t="shared" si="11"/>
        <v>朝向</v>
      </c>
      <c r="R28" s="770" t="s">
        <v>17</v>
      </c>
      <c r="S28" s="771">
        <f>F28</f>
        <v>100</v>
      </c>
      <c r="T28" s="770" t="s">
        <v>17</v>
      </c>
      <c r="U28" s="771">
        <f>H28</f>
        <v>100</v>
      </c>
      <c r="V28" s="770" t="s">
        <v>17</v>
      </c>
      <c r="W28" s="771">
        <f>J28</f>
        <v>100</v>
      </c>
      <c r="X28" s="772"/>
      <c r="Y28" s="3247"/>
      <c r="Z28" s="2943" t="str">
        <f>Q28</f>
        <v>朝向</v>
      </c>
      <c r="AA28" s="2965">
        <f>D28/F28</f>
        <v>1</v>
      </c>
      <c r="AB28" s="2965">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45"/>
      <c r="Q29" s="2964">
        <f t="shared" si="11"/>
        <v>111</v>
      </c>
      <c r="R29" s="774" t="s">
        <v>17</v>
      </c>
      <c r="S29" s="775">
        <f t="shared" ref="S29:S47" si="12">F29</f>
        <v>100</v>
      </c>
      <c r="T29" s="774" t="s">
        <v>17</v>
      </c>
      <c r="U29" s="775">
        <f t="shared" ref="U29:U47" si="13">H29</f>
        <v>100</v>
      </c>
      <c r="V29" s="774" t="s">
        <v>17</v>
      </c>
      <c r="W29" s="775">
        <f t="shared" ref="W29:W47" si="14">J29</f>
        <v>100</v>
      </c>
      <c r="X29" s="2966"/>
      <c r="Y29" s="3247"/>
      <c r="Z29" s="2967">
        <f t="shared" ref="Z29:Z47" si="15">Q29</f>
        <v>111</v>
      </c>
      <c r="AA29" s="2965">
        <f t="shared" si="3"/>
        <v>1</v>
      </c>
      <c r="AB29" s="2965">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45"/>
      <c r="Q30" s="2964">
        <f t="shared" si="11"/>
        <v>111</v>
      </c>
      <c r="R30" s="774" t="s">
        <v>17</v>
      </c>
      <c r="S30" s="775">
        <f t="shared" si="12"/>
        <v>100</v>
      </c>
      <c r="T30" s="774" t="s">
        <v>17</v>
      </c>
      <c r="U30" s="775">
        <f t="shared" si="13"/>
        <v>100</v>
      </c>
      <c r="V30" s="774" t="s">
        <v>17</v>
      </c>
      <c r="W30" s="775">
        <f t="shared" si="14"/>
        <v>100</v>
      </c>
      <c r="X30" s="2966"/>
      <c r="Y30" s="3247"/>
      <c r="Z30" s="2967">
        <f t="shared" si="15"/>
        <v>111</v>
      </c>
      <c r="AA30" s="2965">
        <f t="shared" si="3"/>
        <v>1</v>
      </c>
      <c r="AB30" s="2965">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45"/>
      <c r="Q31" s="2964">
        <f t="shared" si="11"/>
        <v>111</v>
      </c>
      <c r="R31" s="774" t="s">
        <v>17</v>
      </c>
      <c r="S31" s="775">
        <f t="shared" si="12"/>
        <v>100</v>
      </c>
      <c r="T31" s="774" t="s">
        <v>17</v>
      </c>
      <c r="U31" s="775">
        <f t="shared" si="13"/>
        <v>100</v>
      </c>
      <c r="V31" s="774" t="s">
        <v>17</v>
      </c>
      <c r="W31" s="775">
        <f t="shared" si="14"/>
        <v>100</v>
      </c>
      <c r="X31" s="2966"/>
      <c r="Y31" s="3247"/>
      <c r="Z31" s="2967">
        <f t="shared" si="15"/>
        <v>111</v>
      </c>
      <c r="AA31" s="2965">
        <f t="shared" si="3"/>
        <v>1</v>
      </c>
      <c r="AB31" s="2965">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45"/>
      <c r="Q32" s="2964">
        <f t="shared" si="11"/>
        <v>111</v>
      </c>
      <c r="R32" s="774" t="s">
        <v>17</v>
      </c>
      <c r="S32" s="775">
        <f t="shared" si="12"/>
        <v>100</v>
      </c>
      <c r="T32" s="774" t="s">
        <v>17</v>
      </c>
      <c r="U32" s="775">
        <f t="shared" si="13"/>
        <v>100</v>
      </c>
      <c r="V32" s="774" t="s">
        <v>17</v>
      </c>
      <c r="W32" s="775">
        <f t="shared" si="14"/>
        <v>100</v>
      </c>
      <c r="X32" s="2966"/>
      <c r="Y32" s="3247"/>
      <c r="Z32" s="2967">
        <f t="shared" si="15"/>
        <v>111</v>
      </c>
      <c r="AA32" s="2965">
        <f t="shared" si="3"/>
        <v>1</v>
      </c>
      <c r="AB32" s="2965">
        <f t="shared" si="4"/>
        <v>1</v>
      </c>
      <c r="AC32" s="2676">
        <f t="shared" si="5"/>
        <v>1</v>
      </c>
    </row>
    <row r="33" spans="1:29" ht="15">
      <c r="A33" s="440" t="s">
        <v>2560</v>
      </c>
      <c r="B33" s="3386" t="s">
        <v>2690</v>
      </c>
      <c r="C33" s="2681" t="s">
        <v>3059</v>
      </c>
      <c r="D33" s="467">
        <v>100</v>
      </c>
      <c r="E33" s="2681" t="s">
        <v>3059</v>
      </c>
      <c r="F33" s="461">
        <f>SUMIF(101:101,E33,102:102)-SUMIF(101:101,C33,102:102)+100</f>
        <v>100</v>
      </c>
      <c r="G33" s="2681" t="s">
        <v>3059</v>
      </c>
      <c r="H33" s="435">
        <f>SUMIF(101:101,G33,102:102)-SUMIF(101:101,C33,102:102)+100</f>
        <v>100</v>
      </c>
      <c r="I33" s="2681" t="s">
        <v>3059</v>
      </c>
      <c r="J33" s="467">
        <f>SUMIF(101:101,I33,102:102)-SUMIF(101:101,C33,102:102)+100</f>
        <v>100</v>
      </c>
      <c r="K33" s="612">
        <v>2</v>
      </c>
      <c r="L33" s="1143"/>
      <c r="M33" s="1134"/>
      <c r="N33" s="1134"/>
      <c r="O33" s="1134"/>
      <c r="P33" s="3248" t="s">
        <v>2562</v>
      </c>
      <c r="Q33" s="2964" t="str">
        <f t="shared" si="11"/>
        <v>建筑类型</v>
      </c>
      <c r="R33" s="774" t="s">
        <v>17</v>
      </c>
      <c r="S33" s="775">
        <f t="shared" si="12"/>
        <v>100</v>
      </c>
      <c r="T33" s="774" t="s">
        <v>17</v>
      </c>
      <c r="U33" s="775">
        <f t="shared" si="13"/>
        <v>100</v>
      </c>
      <c r="V33" s="774" t="s">
        <v>17</v>
      </c>
      <c r="W33" s="775">
        <f t="shared" si="14"/>
        <v>100</v>
      </c>
      <c r="X33" s="2966"/>
      <c r="Y33" s="3251" t="s">
        <v>2562</v>
      </c>
      <c r="Z33" s="2967" t="str">
        <f t="shared" si="15"/>
        <v>建筑类型</v>
      </c>
      <c r="AA33" s="2965">
        <f t="shared" si="3"/>
        <v>1</v>
      </c>
      <c r="AB33" s="2965">
        <f t="shared" si="4"/>
        <v>1</v>
      </c>
      <c r="AC33" s="2676">
        <f t="shared" si="5"/>
        <v>1</v>
      </c>
    </row>
    <row r="34" spans="1:29" s="471" customFormat="1" ht="15">
      <c r="A34" s="468"/>
      <c r="B34" s="2953" t="s">
        <v>2563</v>
      </c>
      <c r="C34" s="469">
        <f>'数据-汇总表'!F19</f>
        <v>0</v>
      </c>
      <c r="D34" s="135">
        <v>100</v>
      </c>
      <c r="E34" s="430">
        <v>315680</v>
      </c>
      <c r="F34" s="425">
        <f>LOOKUP(E34,104:104,105:105)-LOOKUP(C34,104:104,105:105)+100</f>
        <v>105</v>
      </c>
      <c r="G34" s="429">
        <v>212000</v>
      </c>
      <c r="H34" s="135">
        <f>LOOKUP(G34,104:104,105:105)-LOOKUP(C34,104:104,105:105)+100</f>
        <v>104</v>
      </c>
      <c r="I34" s="429">
        <v>46626</v>
      </c>
      <c r="J34" s="135">
        <f>LOOKUP(I34,104:104,105:105)-LOOKUP(C34,104:104,105:105)+100</f>
        <v>100</v>
      </c>
      <c r="K34" s="613"/>
      <c r="L34" s="1141"/>
      <c r="M34" s="1144"/>
      <c r="N34" s="1144"/>
      <c r="O34" s="1144"/>
      <c r="P34" s="3249"/>
      <c r="Q34" s="776" t="str">
        <f t="shared" si="11"/>
        <v>项目建筑规模</v>
      </c>
      <c r="R34" s="777" t="s">
        <v>17</v>
      </c>
      <c r="S34" s="778">
        <f t="shared" si="12"/>
        <v>105</v>
      </c>
      <c r="T34" s="777" t="s">
        <v>17</v>
      </c>
      <c r="U34" s="778">
        <f t="shared" si="13"/>
        <v>104</v>
      </c>
      <c r="V34" s="777" t="s">
        <v>17</v>
      </c>
      <c r="W34" s="778">
        <f t="shared" si="14"/>
        <v>100</v>
      </c>
      <c r="X34" s="779"/>
      <c r="Y34" s="3251"/>
      <c r="Z34" s="780" t="str">
        <f t="shared" si="15"/>
        <v>项目建筑规模</v>
      </c>
      <c r="AA34" s="2965">
        <f t="shared" si="3"/>
        <v>0.95238095238095233</v>
      </c>
      <c r="AB34" s="2965">
        <f t="shared" si="4"/>
        <v>0.96153846153846156</v>
      </c>
      <c r="AC34" s="2676">
        <f t="shared" si="5"/>
        <v>1</v>
      </c>
    </row>
    <row r="35" spans="1:29" ht="15">
      <c r="A35" s="472"/>
      <c r="B35" s="2953" t="s">
        <v>2564</v>
      </c>
      <c r="C35" s="460" t="s">
        <v>3073</v>
      </c>
      <c r="D35" s="435">
        <v>100</v>
      </c>
      <c r="E35" s="460" t="s">
        <v>3073</v>
      </c>
      <c r="F35" s="461">
        <f>SUMIF(106:106,E35,107:107)-SUMIF(106:106,C35,107:107)+100</f>
        <v>100</v>
      </c>
      <c r="G35" s="460" t="s">
        <v>3073</v>
      </c>
      <c r="H35" s="435">
        <f>SUMIF(106:106,G35,107:107)-SUMIF(106:106,C35,107:107)+100</f>
        <v>100</v>
      </c>
      <c r="I35" s="460" t="s">
        <v>3073</v>
      </c>
      <c r="J35" s="435">
        <f>SUMIF(106:106,I35,107:107)-SUMIF(106:106,C35,107:107)+100</f>
        <v>100</v>
      </c>
      <c r="K35" s="612">
        <v>2</v>
      </c>
      <c r="L35" s="1143"/>
      <c r="M35" s="1134"/>
      <c r="N35" s="1134"/>
      <c r="O35" s="1134"/>
      <c r="P35" s="3249"/>
      <c r="Q35" s="2964" t="str">
        <f t="shared" si="11"/>
        <v>建筑结构</v>
      </c>
      <c r="R35" s="774" t="s">
        <v>17</v>
      </c>
      <c r="S35" s="775">
        <f t="shared" si="12"/>
        <v>100</v>
      </c>
      <c r="T35" s="774" t="s">
        <v>17</v>
      </c>
      <c r="U35" s="775">
        <f t="shared" si="13"/>
        <v>100</v>
      </c>
      <c r="V35" s="774" t="s">
        <v>17</v>
      </c>
      <c r="W35" s="775">
        <f t="shared" si="14"/>
        <v>100</v>
      </c>
      <c r="X35" s="2966"/>
      <c r="Y35" s="3251"/>
      <c r="Z35" s="2967" t="str">
        <f t="shared" si="15"/>
        <v>建筑结构</v>
      </c>
      <c r="AA35" s="2965">
        <f t="shared" si="3"/>
        <v>1</v>
      </c>
      <c r="AB35" s="2965">
        <f t="shared" si="4"/>
        <v>1</v>
      </c>
      <c r="AC35" s="2676">
        <f t="shared" si="5"/>
        <v>1</v>
      </c>
    </row>
    <row r="36" spans="1:29" ht="15">
      <c r="A36" s="472"/>
      <c r="B36" s="2953" t="s">
        <v>2658</v>
      </c>
      <c r="C36" s="460" t="s">
        <v>3296</v>
      </c>
      <c r="D36" s="435">
        <v>100</v>
      </c>
      <c r="E36" s="460" t="s">
        <v>3296</v>
      </c>
      <c r="F36" s="461">
        <f>SUMIF(108:108,E36,109:109)-SUMIF(108:108,C36,109:109)+100</f>
        <v>100</v>
      </c>
      <c r="G36" s="460" t="s">
        <v>3296</v>
      </c>
      <c r="H36" s="435">
        <f>SUMIF(108:108,G36,109:109)-SUMIF(108:108,C36,109:109)+100</f>
        <v>100</v>
      </c>
      <c r="I36" s="460" t="s">
        <v>3296</v>
      </c>
      <c r="J36" s="435">
        <f>SUMIF(108:108,I36,109:109)-SUMIF(108:108,C36,109:109)+100</f>
        <v>100</v>
      </c>
      <c r="K36" s="612">
        <v>2</v>
      </c>
      <c r="L36" s="1143"/>
      <c r="M36" s="1134"/>
      <c r="N36" s="1134"/>
      <c r="O36" s="1134"/>
      <c r="P36" s="3249"/>
      <c r="Q36" s="2964" t="str">
        <f t="shared" si="11"/>
        <v>公共部分装修</v>
      </c>
      <c r="R36" s="774" t="s">
        <v>17</v>
      </c>
      <c r="S36" s="775">
        <f t="shared" si="12"/>
        <v>100</v>
      </c>
      <c r="T36" s="774" t="s">
        <v>17</v>
      </c>
      <c r="U36" s="775">
        <f t="shared" si="13"/>
        <v>100</v>
      </c>
      <c r="V36" s="774" t="s">
        <v>17</v>
      </c>
      <c r="W36" s="775">
        <f t="shared" si="14"/>
        <v>100</v>
      </c>
      <c r="X36" s="2966"/>
      <c r="Y36" s="3251"/>
      <c r="Z36" s="2967" t="str">
        <f t="shared" si="15"/>
        <v>公共部分装修</v>
      </c>
      <c r="AA36" s="2965">
        <f t="shared" si="3"/>
        <v>1</v>
      </c>
      <c r="AB36" s="2965">
        <f t="shared" si="4"/>
        <v>1</v>
      </c>
      <c r="AC36" s="2676">
        <f t="shared" si="5"/>
        <v>1</v>
      </c>
    </row>
    <row r="37" spans="1:29" ht="15">
      <c r="A37" s="472"/>
      <c r="B37" s="2953" t="s">
        <v>2659</v>
      </c>
      <c r="C37" s="474">
        <f>市场租金整理!A5</f>
        <v>0.75</v>
      </c>
      <c r="D37" s="435">
        <v>100</v>
      </c>
      <c r="E37" s="474">
        <f>ROUND(1-(2017-2008)/60,2)</f>
        <v>0.85</v>
      </c>
      <c r="F37" s="461">
        <f>LOOKUP(E37,111:111,112:112)-LOOKUP(C37,111:111,112:112)+100</f>
        <v>102</v>
      </c>
      <c r="G37" s="474">
        <f>ROUND(1-(2017-2010)/60,2)</f>
        <v>0.88</v>
      </c>
      <c r="H37" s="461">
        <f>LOOKUP(G37,111:111,112:112)-LOOKUP(C37,111:111,112:112)+100</f>
        <v>102</v>
      </c>
      <c r="I37" s="474">
        <f>ROUND(1-(2017-1999)/60,2)</f>
        <v>0.7</v>
      </c>
      <c r="J37" s="435">
        <f>LOOKUP(I37,111:111,112:112)-LOOKUP(C37,111:111,112:112)+100</f>
        <v>100</v>
      </c>
      <c r="K37" s="612">
        <v>2</v>
      </c>
      <c r="L37" s="1143"/>
      <c r="M37" s="1134"/>
      <c r="N37" s="1134"/>
      <c r="O37" s="1134"/>
      <c r="P37" s="3249"/>
      <c r="Q37" s="2964" t="str">
        <f t="shared" si="11"/>
        <v>成新度</v>
      </c>
      <c r="R37" s="774" t="s">
        <v>17</v>
      </c>
      <c r="S37" s="775">
        <f t="shared" si="12"/>
        <v>102</v>
      </c>
      <c r="T37" s="774" t="s">
        <v>17</v>
      </c>
      <c r="U37" s="775">
        <f t="shared" si="13"/>
        <v>102</v>
      </c>
      <c r="V37" s="774" t="s">
        <v>17</v>
      </c>
      <c r="W37" s="775">
        <f t="shared" si="14"/>
        <v>100</v>
      </c>
      <c r="X37" s="2966"/>
      <c r="Y37" s="3251"/>
      <c r="Z37" s="2967" t="str">
        <f t="shared" si="15"/>
        <v>成新度</v>
      </c>
      <c r="AA37" s="2965">
        <f t="shared" si="3"/>
        <v>0.98039215686274506</v>
      </c>
      <c r="AB37" s="2965">
        <f t="shared" si="4"/>
        <v>0.98039215686274506</v>
      </c>
      <c r="AC37" s="2676">
        <f t="shared" si="5"/>
        <v>1</v>
      </c>
    </row>
    <row r="38" spans="1:29" s="116" customFormat="1" ht="15">
      <c r="A38" s="473"/>
      <c r="B38" s="2953" t="s">
        <v>2691</v>
      </c>
      <c r="C38" s="460" t="s">
        <v>3319</v>
      </c>
      <c r="D38" s="135">
        <v>100</v>
      </c>
      <c r="E38" s="460" t="s">
        <v>3315</v>
      </c>
      <c r="F38" s="461">
        <f>SUMIF(113:113,E38,114:114)-SUMIF(113:113,C38,114:114)+100</f>
        <v>106</v>
      </c>
      <c r="G38" s="460" t="s">
        <v>3315</v>
      </c>
      <c r="H38" s="435">
        <f>SUMIF(113:113,G38,114:114)-SUMIF(113:113,C38,114:114)+100</f>
        <v>106</v>
      </c>
      <c r="I38" s="460" t="s">
        <v>3315</v>
      </c>
      <c r="J38" s="435">
        <f>SUMIF(113:113,I38,114:114)-SUMIF(113:113,C38,114:114)+100</f>
        <v>106</v>
      </c>
      <c r="K38" s="612">
        <v>2</v>
      </c>
      <c r="L38" s="1135"/>
      <c r="M38" s="1136"/>
      <c r="N38" s="1136"/>
      <c r="O38" s="1136"/>
      <c r="P38" s="3249"/>
      <c r="Q38" s="2941" t="str">
        <f t="shared" si="11"/>
        <v>写字楼等级</v>
      </c>
      <c r="R38" s="770" t="s">
        <v>17</v>
      </c>
      <c r="S38" s="771">
        <f t="shared" si="12"/>
        <v>106</v>
      </c>
      <c r="T38" s="770" t="s">
        <v>17</v>
      </c>
      <c r="U38" s="771">
        <f t="shared" si="13"/>
        <v>106</v>
      </c>
      <c r="V38" s="770" t="s">
        <v>17</v>
      </c>
      <c r="W38" s="771">
        <f t="shared" si="14"/>
        <v>106</v>
      </c>
      <c r="X38" s="772"/>
      <c r="Y38" s="3251"/>
      <c r="Z38" s="2943" t="str">
        <f t="shared" si="15"/>
        <v>写字楼等级</v>
      </c>
      <c r="AA38" s="773">
        <f t="shared" si="3"/>
        <v>0.94339622641509435</v>
      </c>
      <c r="AB38" s="773">
        <f t="shared" si="4"/>
        <v>0.94339622641509435</v>
      </c>
      <c r="AC38" s="2673">
        <f t="shared" si="5"/>
        <v>0.94339622641509435</v>
      </c>
    </row>
    <row r="39" spans="1:29" ht="15">
      <c r="A39" s="472"/>
      <c r="B39" s="2953" t="s">
        <v>2692</v>
      </c>
      <c r="C39" s="460" t="s">
        <v>3301</v>
      </c>
      <c r="D39" s="435">
        <v>100</v>
      </c>
      <c r="E39" s="460" t="s">
        <v>3301</v>
      </c>
      <c r="F39" s="461">
        <f>SUMIF(115:115,E39,116:116)-SUMIF(115:115,C39,116:116)+100</f>
        <v>100</v>
      </c>
      <c r="G39" s="460" t="s">
        <v>3301</v>
      </c>
      <c r="H39" s="435">
        <f>SUMIF(115:115,G39,116:116)-SUMIF(115:115,C39,116:116)+100</f>
        <v>100</v>
      </c>
      <c r="I39" s="460" t="s">
        <v>3301</v>
      </c>
      <c r="J39" s="435">
        <f>SUMIF(115:115,I39,116:116)-SUMIF(115:115,C39,116:116)+100</f>
        <v>100</v>
      </c>
      <c r="K39" s="612">
        <v>2</v>
      </c>
      <c r="L39" s="1143"/>
      <c r="M39" s="1134"/>
      <c r="N39" s="1134"/>
      <c r="O39" s="1134"/>
      <c r="P39" s="3249" t="s">
        <v>2562</v>
      </c>
      <c r="Q39" s="2964" t="str">
        <f t="shared" si="11"/>
        <v>物业管理</v>
      </c>
      <c r="R39" s="774" t="s">
        <v>17</v>
      </c>
      <c r="S39" s="775">
        <f t="shared" si="12"/>
        <v>100</v>
      </c>
      <c r="T39" s="774" t="s">
        <v>17</v>
      </c>
      <c r="U39" s="775">
        <f t="shared" si="13"/>
        <v>100</v>
      </c>
      <c r="V39" s="774" t="s">
        <v>17</v>
      </c>
      <c r="W39" s="775">
        <f t="shared" si="14"/>
        <v>100</v>
      </c>
      <c r="X39" s="2966"/>
      <c r="Y39" s="3251" t="s">
        <v>2562</v>
      </c>
      <c r="Z39" s="2967" t="str">
        <f t="shared" si="15"/>
        <v>物业管理</v>
      </c>
      <c r="AA39" s="2965">
        <f t="shared" si="3"/>
        <v>1</v>
      </c>
      <c r="AB39" s="2965">
        <f t="shared" si="4"/>
        <v>1</v>
      </c>
      <c r="AC39" s="2676">
        <f t="shared" si="5"/>
        <v>1</v>
      </c>
    </row>
    <row r="40" spans="1:29" ht="15">
      <c r="A40" s="472"/>
      <c r="B40" s="2953" t="s">
        <v>2660</v>
      </c>
      <c r="C40" s="460" t="s">
        <v>3307</v>
      </c>
      <c r="D40" s="435">
        <v>100</v>
      </c>
      <c r="E40" s="460" t="s">
        <v>3307</v>
      </c>
      <c r="F40" s="461">
        <f>SUMIF(117:117,E40,118:118)-SUMIF(117:117,C40,118:118)+100</f>
        <v>100</v>
      </c>
      <c r="G40" s="460" t="s">
        <v>3307</v>
      </c>
      <c r="H40" s="435">
        <f>SUMIF(117:117,G40,118:118)-SUMIF(117:117,C40,118:118)+100</f>
        <v>100</v>
      </c>
      <c r="I40" s="460" t="s">
        <v>3307</v>
      </c>
      <c r="J40" s="435">
        <f>SUMIF(117:117,I40,118:118)-SUMIF(117:117,C40,118:118)+100</f>
        <v>100</v>
      </c>
      <c r="K40" s="612">
        <v>2</v>
      </c>
      <c r="L40" s="1143"/>
      <c r="M40" s="1134"/>
      <c r="N40" s="1134"/>
      <c r="O40" s="1134"/>
      <c r="P40" s="3249"/>
      <c r="Q40" s="2964" t="str">
        <f t="shared" si="11"/>
        <v>市政基础设施</v>
      </c>
      <c r="R40" s="774" t="s">
        <v>17</v>
      </c>
      <c r="S40" s="775">
        <f t="shared" si="12"/>
        <v>100</v>
      </c>
      <c r="T40" s="774" t="s">
        <v>17</v>
      </c>
      <c r="U40" s="775">
        <f t="shared" si="13"/>
        <v>100</v>
      </c>
      <c r="V40" s="774" t="s">
        <v>17</v>
      </c>
      <c r="W40" s="775">
        <f t="shared" si="14"/>
        <v>100</v>
      </c>
      <c r="X40" s="2966"/>
      <c r="Y40" s="3251"/>
      <c r="Z40" s="2967" t="str">
        <f t="shared" si="15"/>
        <v>市政基础设施</v>
      </c>
      <c r="AA40" s="2965">
        <f t="shared" si="3"/>
        <v>1</v>
      </c>
      <c r="AB40" s="2965">
        <f t="shared" si="4"/>
        <v>1</v>
      </c>
      <c r="AC40" s="2676">
        <f t="shared" si="5"/>
        <v>1</v>
      </c>
    </row>
    <row r="41" spans="1:29" ht="15">
      <c r="A41" s="472"/>
      <c r="B41" s="2953" t="s">
        <v>2662</v>
      </c>
      <c r="C41" s="616" t="s">
        <v>3311</v>
      </c>
      <c r="D41" s="435">
        <v>100</v>
      </c>
      <c r="E41" s="616" t="s">
        <v>3311</v>
      </c>
      <c r="F41" s="461">
        <f>SUMIF(119:119,E41,120:120)-SUMIF(119:119,C41,120:120)+100</f>
        <v>100</v>
      </c>
      <c r="G41" s="616" t="s">
        <v>3311</v>
      </c>
      <c r="H41" s="435">
        <f>SUMIF(119:119,G41,120:120)-SUMIF(119:119,C41,120:120)+100</f>
        <v>100</v>
      </c>
      <c r="I41" s="616" t="s">
        <v>3311</v>
      </c>
      <c r="J41" s="435">
        <f>SUMIF(119:119,I41,120:120)-SUMIF(119:119,C41,120:120)+100</f>
        <v>100</v>
      </c>
      <c r="K41" s="612">
        <v>2</v>
      </c>
      <c r="L41" s="1143"/>
      <c r="M41" s="1134"/>
      <c r="N41" s="1134"/>
      <c r="O41" s="1134"/>
      <c r="P41" s="3249"/>
      <c r="Q41" s="2964" t="str">
        <f t="shared" si="11"/>
        <v>层高</v>
      </c>
      <c r="R41" s="774" t="s">
        <v>17</v>
      </c>
      <c r="S41" s="775">
        <f t="shared" si="12"/>
        <v>100</v>
      </c>
      <c r="T41" s="774" t="s">
        <v>17</v>
      </c>
      <c r="U41" s="775">
        <f t="shared" si="13"/>
        <v>100</v>
      </c>
      <c r="V41" s="774" t="s">
        <v>17</v>
      </c>
      <c r="W41" s="775">
        <f t="shared" si="14"/>
        <v>100</v>
      </c>
      <c r="X41" s="2966"/>
      <c r="Y41" s="3251"/>
      <c r="Z41" s="2967" t="str">
        <f t="shared" si="15"/>
        <v>层高</v>
      </c>
      <c r="AA41" s="2965">
        <f t="shared" si="3"/>
        <v>1</v>
      </c>
      <c r="AB41" s="2965">
        <f t="shared" si="4"/>
        <v>1</v>
      </c>
      <c r="AC41" s="2676">
        <f t="shared" si="5"/>
        <v>1</v>
      </c>
    </row>
    <row r="42" spans="1:29" s="471" customFormat="1" ht="15">
      <c r="A42" s="468"/>
      <c r="B42" s="2963"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9"/>
      <c r="Q42" s="776" t="str">
        <f t="shared" si="11"/>
        <v>单套建筑面积</v>
      </c>
      <c r="R42" s="777" t="s">
        <v>17</v>
      </c>
      <c r="S42" s="778">
        <f t="shared" si="12"/>
        <v>100</v>
      </c>
      <c r="T42" s="777" t="s">
        <v>17</v>
      </c>
      <c r="U42" s="778">
        <f t="shared" si="13"/>
        <v>100</v>
      </c>
      <c r="V42" s="777" t="s">
        <v>17</v>
      </c>
      <c r="W42" s="778">
        <f t="shared" si="14"/>
        <v>100</v>
      </c>
      <c r="X42" s="779"/>
      <c r="Y42" s="3251"/>
      <c r="Z42" s="780" t="str">
        <f t="shared" si="15"/>
        <v>单套建筑面积</v>
      </c>
      <c r="AA42" s="2965">
        <f t="shared" si="3"/>
        <v>1</v>
      </c>
      <c r="AB42" s="2965">
        <f t="shared" si="4"/>
        <v>1</v>
      </c>
      <c r="AC42" s="2676">
        <f t="shared" si="5"/>
        <v>1</v>
      </c>
    </row>
    <row r="43" spans="1:29" ht="15">
      <c r="A43" s="472"/>
      <c r="B43" s="2953" t="s">
        <v>2665</v>
      </c>
      <c r="C43" s="460" t="s">
        <v>3296</v>
      </c>
      <c r="D43" s="435">
        <v>100</v>
      </c>
      <c r="E43" s="460" t="s">
        <v>3296</v>
      </c>
      <c r="F43" s="461">
        <f>SUMIF(123:123,E43,124:124)-SUMIF(123:123,C43,124:124)+100</f>
        <v>100</v>
      </c>
      <c r="G43" s="460" t="s">
        <v>3296</v>
      </c>
      <c r="H43" s="435">
        <f>SUMIF(123:123,G43,124:124)-SUMIF(123:123,C43,124:124)+100</f>
        <v>100</v>
      </c>
      <c r="I43" s="460" t="s">
        <v>3296</v>
      </c>
      <c r="J43" s="435">
        <f>SUMIF(123:123,I43,124:124)-SUMIF(123:123,C43,124:124)+100</f>
        <v>100</v>
      </c>
      <c r="K43" s="612">
        <v>2</v>
      </c>
      <c r="L43" s="1143"/>
      <c r="M43" s="1134"/>
      <c r="N43" s="1134"/>
      <c r="O43" s="1134"/>
      <c r="P43" s="3249"/>
      <c r="Q43" s="2964" t="str">
        <f t="shared" si="11"/>
        <v>内部装修</v>
      </c>
      <c r="R43" s="774" t="s">
        <v>17</v>
      </c>
      <c r="S43" s="775">
        <f t="shared" si="12"/>
        <v>100</v>
      </c>
      <c r="T43" s="774" t="s">
        <v>17</v>
      </c>
      <c r="U43" s="775">
        <f t="shared" si="13"/>
        <v>100</v>
      </c>
      <c r="V43" s="774" t="s">
        <v>17</v>
      </c>
      <c r="W43" s="775">
        <f t="shared" si="14"/>
        <v>100</v>
      </c>
      <c r="X43" s="2966"/>
      <c r="Y43" s="3251"/>
      <c r="Z43" s="2967" t="str">
        <f t="shared" si="15"/>
        <v>内部装修</v>
      </c>
      <c r="AA43" s="2965">
        <f t="shared" si="3"/>
        <v>1</v>
      </c>
      <c r="AB43" s="2965">
        <f t="shared" si="4"/>
        <v>1</v>
      </c>
      <c r="AC43" s="2676">
        <f t="shared" si="5"/>
        <v>1</v>
      </c>
    </row>
    <row r="44" spans="1:29" ht="15">
      <c r="A44" s="472"/>
      <c r="B44" s="2953" t="s">
        <v>2573</v>
      </c>
      <c r="C44" s="460" t="s">
        <v>3326</v>
      </c>
      <c r="D44" s="435">
        <v>100</v>
      </c>
      <c r="E44" s="2615" t="s">
        <v>3326</v>
      </c>
      <c r="F44" s="461">
        <f>SUMIF(125:125,E44,126:126)-SUMIF(125:125,C44,126:126)+100</f>
        <v>100</v>
      </c>
      <c r="G44" s="2615" t="s">
        <v>3326</v>
      </c>
      <c r="H44" s="435">
        <f>SUMIF(125:125,G44,126:126)-SUMIF(125:125,C44,126:126)+100</f>
        <v>100</v>
      </c>
      <c r="I44" s="2615" t="s">
        <v>3326</v>
      </c>
      <c r="J44" s="435">
        <f>SUMIF(125:125,I44,126:126)-SUMIF(125:125,C44,126:126)+100</f>
        <v>100</v>
      </c>
      <c r="K44" s="612">
        <v>2</v>
      </c>
      <c r="L44" s="1143"/>
      <c r="M44" s="1134"/>
      <c r="N44" s="1134"/>
      <c r="O44" s="1134"/>
      <c r="P44" s="3249"/>
      <c r="Q44" s="2964" t="str">
        <f t="shared" si="11"/>
        <v>内部装修维护情况</v>
      </c>
      <c r="R44" s="774" t="s">
        <v>17</v>
      </c>
      <c r="S44" s="775">
        <f t="shared" si="12"/>
        <v>100</v>
      </c>
      <c r="T44" s="774" t="s">
        <v>17</v>
      </c>
      <c r="U44" s="775">
        <f t="shared" si="13"/>
        <v>100</v>
      </c>
      <c r="V44" s="774" t="s">
        <v>17</v>
      </c>
      <c r="W44" s="775">
        <f t="shared" si="14"/>
        <v>100</v>
      </c>
      <c r="X44" s="2966"/>
      <c r="Y44" s="3251"/>
      <c r="Z44" s="2967" t="str">
        <f t="shared" si="15"/>
        <v>内部装修维护情况</v>
      </c>
      <c r="AA44" s="2965">
        <f t="shared" si="3"/>
        <v>1</v>
      </c>
      <c r="AB44" s="2965">
        <f t="shared" si="4"/>
        <v>1</v>
      </c>
      <c r="AC44" s="2676">
        <f t="shared" si="5"/>
        <v>1</v>
      </c>
    </row>
    <row r="45" spans="1:29" s="116" customFormat="1" ht="15">
      <c r="A45" s="473"/>
      <c r="B45" s="1389">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5"/>
      <c r="M45" s="1136"/>
      <c r="N45" s="1136"/>
      <c r="O45" s="1136"/>
      <c r="P45" s="3249"/>
      <c r="Q45" s="2941">
        <f t="shared" si="11"/>
        <v>111</v>
      </c>
      <c r="R45" s="770" t="s">
        <v>17</v>
      </c>
      <c r="S45" s="771">
        <f t="shared" si="12"/>
        <v>100</v>
      </c>
      <c r="T45" s="770" t="s">
        <v>17</v>
      </c>
      <c r="U45" s="771">
        <f t="shared" si="13"/>
        <v>100</v>
      </c>
      <c r="V45" s="770" t="s">
        <v>17</v>
      </c>
      <c r="W45" s="771">
        <f t="shared" si="14"/>
        <v>100</v>
      </c>
      <c r="X45" s="772"/>
      <c r="Y45" s="3251"/>
      <c r="Z45" s="2943">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9"/>
      <c r="Q46" s="2964">
        <f t="shared" si="11"/>
        <v>111</v>
      </c>
      <c r="R46" s="774" t="s">
        <v>17</v>
      </c>
      <c r="S46" s="775">
        <f t="shared" si="12"/>
        <v>100</v>
      </c>
      <c r="T46" s="774" t="s">
        <v>17</v>
      </c>
      <c r="U46" s="775">
        <f t="shared" si="13"/>
        <v>100</v>
      </c>
      <c r="V46" s="774" t="s">
        <v>17</v>
      </c>
      <c r="W46" s="775">
        <f t="shared" si="14"/>
        <v>100</v>
      </c>
      <c r="X46" s="2966"/>
      <c r="Y46" s="3251"/>
      <c r="Z46" s="2967">
        <f t="shared" si="15"/>
        <v>111</v>
      </c>
      <c r="AA46" s="2965">
        <f t="shared" si="3"/>
        <v>1</v>
      </c>
      <c r="AB46" s="2965">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0"/>
      <c r="Q47" s="2964">
        <f t="shared" si="11"/>
        <v>111</v>
      </c>
      <c r="R47" s="774" t="s">
        <v>17</v>
      </c>
      <c r="S47" s="775">
        <f t="shared" si="12"/>
        <v>100</v>
      </c>
      <c r="T47" s="774" t="s">
        <v>17</v>
      </c>
      <c r="U47" s="775">
        <f t="shared" si="13"/>
        <v>100</v>
      </c>
      <c r="V47" s="774" t="s">
        <v>17</v>
      </c>
      <c r="W47" s="775">
        <f t="shared" si="14"/>
        <v>100</v>
      </c>
      <c r="X47" s="2966"/>
      <c r="Y47" s="3252"/>
      <c r="Z47" s="2967">
        <f t="shared" si="15"/>
        <v>111</v>
      </c>
      <c r="AA47" s="2965">
        <f t="shared" si="3"/>
        <v>1</v>
      </c>
      <c r="AB47" s="2965">
        <f t="shared" si="4"/>
        <v>1</v>
      </c>
      <c r="AC47" s="2676">
        <f t="shared" si="5"/>
        <v>1</v>
      </c>
    </row>
    <row r="48" spans="1:29" ht="15">
      <c r="A48" s="479" t="s">
        <v>2574</v>
      </c>
      <c r="B48" s="480"/>
      <c r="C48" s="1410" t="s">
        <v>1</v>
      </c>
      <c r="D48" s="1411"/>
      <c r="E48" s="1412">
        <v>7</v>
      </c>
      <c r="F48" s="1413"/>
      <c r="G48" s="1414">
        <v>7.5</v>
      </c>
      <c r="H48" s="1415"/>
      <c r="I48" s="1412">
        <v>6</v>
      </c>
      <c r="J48" s="485"/>
      <c r="K48" s="783"/>
      <c r="L48" s="1146"/>
      <c r="M48" s="1134"/>
      <c r="N48" s="1134"/>
      <c r="O48" s="1134"/>
      <c r="P48" s="3238" t="str">
        <f>A48</f>
        <v>成交单价（元/平方米）</v>
      </c>
      <c r="Q48" s="3239"/>
      <c r="R48" s="3240">
        <f>E48</f>
        <v>7</v>
      </c>
      <c r="S48" s="3240"/>
      <c r="T48" s="3240">
        <f>G48</f>
        <v>7.5</v>
      </c>
      <c r="U48" s="3240"/>
      <c r="V48" s="3240">
        <f>I48</f>
        <v>6</v>
      </c>
      <c r="W48" s="3240"/>
      <c r="X48" s="446"/>
      <c r="Y48" s="781"/>
      <c r="Z48" s="446"/>
      <c r="AA48" s="446"/>
      <c r="AB48" s="446"/>
      <c r="AC48" s="630"/>
    </row>
    <row r="49" spans="1:29" ht="15.75" thickBot="1">
      <c r="A49" s="486" t="s">
        <v>2575</v>
      </c>
      <c r="B49" s="487"/>
      <c r="C49" s="1416">
        <f>R50</f>
        <v>5.4</v>
      </c>
      <c r="D49" s="1417"/>
      <c r="E49" s="1418">
        <f>R49</f>
        <v>5.4</v>
      </c>
      <c r="F49" s="1418"/>
      <c r="G49" s="1416">
        <f>T49</f>
        <v>5.8</v>
      </c>
      <c r="H49" s="1417"/>
      <c r="I49" s="1418">
        <f>V49</f>
        <v>4.9000000000000004</v>
      </c>
      <c r="J49" s="489"/>
      <c r="K49" s="784"/>
      <c r="L49" s="1146"/>
      <c r="M49" s="1134"/>
      <c r="N49" s="1134"/>
      <c r="O49" s="1134"/>
      <c r="P49" s="3238" t="str">
        <f>A49</f>
        <v>比较价值（元/平方米）</v>
      </c>
      <c r="Q49" s="3239"/>
      <c r="R49" s="3240">
        <f>IF(F1="售价",ROUND(PRODUCT(R48,AA7:AA47),0),ROUND(PRODUCT(R48,AA7:AA47),1))</f>
        <v>5.4</v>
      </c>
      <c r="S49" s="3240"/>
      <c r="T49" s="3240">
        <f>IF(F1="售价",ROUND(PRODUCT(T48,AB7:AB47),0),ROUND(PRODUCT(T48,AB7:AB47),1))</f>
        <v>5.8</v>
      </c>
      <c r="U49" s="3240"/>
      <c r="V49" s="3240">
        <f>IF(F1="售价",ROUND(PRODUCT(V48,AC7:AC47),0),ROUND(PRODUCT(V48,AC7:AC47),1))</f>
        <v>4.9000000000000004</v>
      </c>
      <c r="W49" s="3240"/>
      <c r="X49" s="446"/>
      <c r="Y49" s="446"/>
      <c r="Z49" s="446"/>
      <c r="AA49" s="446"/>
      <c r="AB49" s="446"/>
      <c r="AC49" s="630"/>
    </row>
    <row r="50" spans="1:29" ht="15.75" thickBot="1">
      <c r="A50" s="492" t="s">
        <v>2576</v>
      </c>
      <c r="B50" s="493"/>
      <c r="C50" s="1420">
        <f>R50</f>
        <v>5.4</v>
      </c>
      <c r="D50" s="1420"/>
      <c r="E50" s="1420"/>
      <c r="F50" s="1420"/>
      <c r="G50" s="1420"/>
      <c r="H50" s="1420"/>
      <c r="I50" s="1420"/>
      <c r="J50" s="494"/>
      <c r="K50" s="785"/>
      <c r="L50" s="1146"/>
      <c r="M50" s="1134"/>
      <c r="N50" s="1134"/>
      <c r="O50" s="1134"/>
      <c r="P50" s="3241" t="str">
        <f>A50</f>
        <v>估价对象XX用房的比较价值（楼面单价，元/平方米）</v>
      </c>
      <c r="Q50" s="3242"/>
      <c r="R50" s="3243">
        <f>IF(F1="售价",ROUND(AVERAGE(R49:V49),0),ROUND(AVERAGE(R49:V49),1))</f>
        <v>5.4</v>
      </c>
      <c r="S50" s="3243"/>
      <c r="T50" s="3243"/>
      <c r="U50" s="3243"/>
      <c r="V50" s="3243"/>
      <c r="W50" s="3243"/>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2577</v>
      </c>
      <c r="D53" s="498"/>
      <c r="E53" s="499">
        <f>IF(E48&lt;E49,E49/E48-1,E48/E49-1)</f>
        <v>0.29629629629629628</v>
      </c>
      <c r="F53" s="500" t="str">
        <f>IF(OR(E53&gt;=0.3,E53&lt;=-0.3),"超过30%","")</f>
        <v/>
      </c>
      <c r="G53" s="499">
        <f>IF(G48&lt;G49,G49/G48-1,G48/G49-1)</f>
        <v>0.2931034482758621</v>
      </c>
      <c r="H53" s="500" t="str">
        <f>IF(OR(G53&gt;=0.3,G53&lt;=-0.3),"超过30%","")</f>
        <v/>
      </c>
      <c r="I53" s="499">
        <f>IF(I48&lt;I49,I49/I48-1,I48/I49-1)</f>
        <v>0.22448979591836715</v>
      </c>
      <c r="J53" s="500" t="str">
        <f>IF(OR(I53&gt;=0.3,I53&lt;=-0.3),"超过30%","")</f>
        <v/>
      </c>
      <c r="K53" s="1108"/>
      <c r="L53" s="1109"/>
      <c r="M53" s="1147"/>
      <c r="N53" s="1147"/>
      <c r="O53" s="1147"/>
    </row>
    <row r="54" spans="1:29" ht="13.5" customHeight="1">
      <c r="A54" s="1147"/>
      <c r="B54" s="1147"/>
      <c r="C54" s="497" t="s">
        <v>2578</v>
      </c>
      <c r="D54" s="501"/>
      <c r="E54" s="499">
        <f>IF(E49&lt;G49,G49/E49-1,E49/G49-1)</f>
        <v>7.4074074074073959E-2</v>
      </c>
      <c r="F54" s="500" t="str">
        <f>IF(OR(E54&gt;=0.2,E54&lt;=-0.2),"超过20%","")</f>
        <v/>
      </c>
      <c r="G54" s="499">
        <f>IF(G49&lt;I49,I49/G49-1,G49/I49-1)</f>
        <v>0.18367346938775508</v>
      </c>
      <c r="H54" s="500" t="str">
        <f>IF(OR(G54&gt;=0.2,G54&lt;=-0.2),"超过20%","")</f>
        <v/>
      </c>
      <c r="I54" s="499">
        <f>IF(I49&lt;E49,E49/I49-1,I49/E49-1)</f>
        <v>0.1020408163265305</v>
      </c>
      <c r="J54" s="500" t="str">
        <f>IF(OR(I54&gt;=0.2,I54&lt;=-0.2),"超过20%","")</f>
        <v/>
      </c>
      <c r="K54" s="1108"/>
      <c r="L54" s="1109"/>
      <c r="M54" s="1147"/>
      <c r="N54" s="1147"/>
      <c r="O54" s="1147"/>
    </row>
    <row r="55" spans="1:29" s="502" customFormat="1" ht="13.5" customHeight="1">
      <c r="A55" s="1148"/>
      <c r="B55" s="1148"/>
      <c r="C55" s="497" t="s">
        <v>2579</v>
      </c>
      <c r="D55" s="501"/>
      <c r="E55" s="499">
        <f>IF(E48&lt;G48,G48/E48-1,E48/G48-1)</f>
        <v>7.1428571428571397E-2</v>
      </c>
      <c r="F55" s="500" t="str">
        <f>IF(OR(E55&gt;=0.3,E55&lt;=-0.3),"超过30%","")</f>
        <v/>
      </c>
      <c r="G55" s="499">
        <f>IF(G48&lt;I48,I48/G48-1,G48/I48-1)</f>
        <v>0.25</v>
      </c>
      <c r="H55" s="500" t="str">
        <f>IF(OR(G55&gt;=0.3,G55&lt;=-0.3),"超过30%","")</f>
        <v/>
      </c>
      <c r="I55" s="499">
        <f>IF(I48&lt;E48,E48/I48-1,I48/E48-1)</f>
        <v>0.16666666666666674</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2580</v>
      </c>
      <c r="B58" s="759"/>
      <c r="C58" s="764"/>
      <c r="D58" s="764"/>
      <c r="E58" s="764"/>
      <c r="F58" s="765"/>
      <c r="G58" s="765"/>
      <c r="H58" s="764"/>
      <c r="I58" s="764"/>
      <c r="J58" s="764"/>
      <c r="K58" s="766"/>
      <c r="L58" s="1164"/>
      <c r="M58" s="1162"/>
      <c r="N58" s="1162"/>
      <c r="O58" s="1162"/>
      <c r="P58" s="2683"/>
      <c r="Q58" s="504"/>
    </row>
    <row r="59" spans="1:29" s="508" customFormat="1" ht="15">
      <c r="A59" s="505" t="s">
        <v>2545</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6" customFormat="1" ht="15">
      <c r="A60" s="509"/>
      <c r="B60" s="510"/>
      <c r="C60" s="1577">
        <v>100</v>
      </c>
      <c r="D60" s="512">
        <v>99</v>
      </c>
      <c r="E60" s="512">
        <v>98</v>
      </c>
      <c r="F60" s="512">
        <v>97</v>
      </c>
      <c r="G60" s="512">
        <v>96</v>
      </c>
      <c r="H60" s="512">
        <v>95</v>
      </c>
      <c r="I60" s="512">
        <v>94</v>
      </c>
      <c r="J60" s="512">
        <v>93</v>
      </c>
      <c r="K60" s="512">
        <v>92</v>
      </c>
      <c r="L60" s="512">
        <v>91</v>
      </c>
      <c r="M60" s="512">
        <v>90</v>
      </c>
      <c r="N60" s="512">
        <v>89</v>
      </c>
      <c r="O60" s="512">
        <v>88</v>
      </c>
      <c r="P60" s="2684"/>
    </row>
    <row r="61" spans="1:29" s="116" customFormat="1" ht="15.75" thickBot="1">
      <c r="A61" s="515" t="s">
        <v>2582</v>
      </c>
      <c r="B61" s="516"/>
      <c r="C61" s="517"/>
      <c r="D61" s="518"/>
      <c r="E61" s="518"/>
      <c r="F61" s="518"/>
      <c r="G61" s="518"/>
      <c r="H61" s="518"/>
      <c r="I61" s="518"/>
      <c r="J61" s="518"/>
      <c r="K61" s="518"/>
      <c r="L61" s="518"/>
      <c r="M61" s="519"/>
      <c r="N61" s="518"/>
      <c r="O61" s="519"/>
      <c r="P61" s="2684"/>
      <c r="Q61" s="504"/>
    </row>
    <row r="62" spans="1:29" s="116" customFormat="1" ht="15">
      <c r="A62" s="521" t="s">
        <v>2547</v>
      </c>
      <c r="B62" s="510"/>
      <c r="C62" s="522" t="s">
        <v>2584</v>
      </c>
      <c r="D62" s="523"/>
      <c r="E62" s="523"/>
      <c r="F62" s="523"/>
      <c r="G62" s="523"/>
      <c r="H62" s="523"/>
      <c r="I62" s="523"/>
      <c r="J62" s="523"/>
      <c r="K62" s="523"/>
      <c r="L62" s="524"/>
      <c r="M62" s="525"/>
      <c r="N62" s="1154"/>
      <c r="O62" s="1154"/>
      <c r="P62" s="2685"/>
      <c r="Q62" s="504"/>
    </row>
    <row r="63" spans="1:29" s="116"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2585</v>
      </c>
      <c r="B64" s="528" t="s">
        <v>2551</v>
      </c>
      <c r="C64" s="529" t="str">
        <f>C9</f>
        <v>工业</v>
      </c>
      <c r="D64" s="3044" t="s">
        <v>3285</v>
      </c>
      <c r="E64" s="530"/>
      <c r="F64" s="530"/>
      <c r="G64" s="530"/>
      <c r="H64" s="530"/>
      <c r="I64" s="530"/>
      <c r="J64" s="530"/>
      <c r="K64" s="531"/>
      <c r="L64" s="532"/>
      <c r="M64" s="533"/>
      <c r="N64" s="1155"/>
      <c r="O64" s="1155"/>
      <c r="P64" s="2686"/>
      <c r="Q64" s="504"/>
    </row>
    <row r="65" spans="1:17" ht="15.75" thickBot="1">
      <c r="A65" s="534"/>
      <c r="B65" s="535"/>
      <c r="C65" s="536">
        <v>100</v>
      </c>
      <c r="D65" s="3045">
        <v>115</v>
      </c>
      <c r="E65" s="536"/>
      <c r="F65" s="536"/>
      <c r="G65" s="536"/>
      <c r="H65" s="536"/>
      <c r="I65" s="536"/>
      <c r="J65" s="536"/>
      <c r="K65" s="536"/>
      <c r="L65" s="536"/>
      <c r="M65" s="537"/>
      <c r="N65" s="1156"/>
      <c r="O65" s="1156"/>
      <c r="P65" s="2686"/>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6"/>
      <c r="Q67" s="504"/>
    </row>
    <row r="68" spans="1:17" ht="15.75" thickTop="1">
      <c r="A68" s="534"/>
      <c r="B68" s="546" t="s">
        <v>2555</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0</v>
      </c>
      <c r="D69" s="549">
        <v>1</v>
      </c>
      <c r="E69" s="549">
        <v>2</v>
      </c>
      <c r="F69" s="549">
        <v>3</v>
      </c>
      <c r="G69" s="549">
        <v>4</v>
      </c>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0"/>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6"/>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6"/>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6"/>
      <c r="Q86" s="504"/>
    </row>
    <row r="87" spans="1:17" s="116" customFormat="1" ht="27.75" thickTop="1">
      <c r="A87" s="579"/>
      <c r="B87" s="538" t="s">
        <v>2696</v>
      </c>
      <c r="C87" s="3046" t="s">
        <v>3286</v>
      </c>
      <c r="D87" s="3046" t="s">
        <v>3287</v>
      </c>
      <c r="E87" s="3046" t="s">
        <v>3288</v>
      </c>
      <c r="F87" s="3046" t="s">
        <v>3289</v>
      </c>
      <c r="G87" s="3046" t="s">
        <v>3291</v>
      </c>
      <c r="H87" s="554"/>
      <c r="I87" s="554"/>
      <c r="J87" s="554"/>
      <c r="K87" s="554"/>
      <c r="L87" s="580"/>
      <c r="M87" s="581"/>
      <c r="N87" s="1154"/>
      <c r="O87" s="1154"/>
      <c r="P87" s="2686"/>
      <c r="Q87" s="504"/>
    </row>
    <row r="88" spans="1:17" s="116"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6"/>
      <c r="Q88" s="504"/>
    </row>
    <row r="89" spans="1:17" s="116"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2560</v>
      </c>
      <c r="B101" s="528" t="s">
        <v>2609</v>
      </c>
      <c r="C101" s="3044" t="s">
        <v>3292</v>
      </c>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6"/>
      <c r="O102" s="1156"/>
      <c r="P102" s="2686"/>
      <c r="Q102" s="504"/>
    </row>
    <row r="103" spans="1:17" ht="29.25" thickTop="1">
      <c r="A103" s="534"/>
      <c r="B103" s="538" t="s">
        <v>2610</v>
      </c>
      <c r="C103" s="578" t="str">
        <f>C104&amp;"(含)"&amp;"-"&amp;D104</f>
        <v>0(含)-50000</v>
      </c>
      <c r="D103" s="578" t="str">
        <f t="shared" ref="D103:L103" si="23">D104&amp;"(含)"&amp;"-"&amp;E104</f>
        <v>50000(含)-100000</v>
      </c>
      <c r="E103" s="578" t="str">
        <f t="shared" si="23"/>
        <v>100000(含)-150000</v>
      </c>
      <c r="F103" s="578" t="str">
        <f t="shared" si="23"/>
        <v>150000(含)-200000</v>
      </c>
      <c r="G103" s="578" t="str">
        <f t="shared" si="23"/>
        <v>200000(含)-250000</v>
      </c>
      <c r="H103" s="578" t="str">
        <f t="shared" si="23"/>
        <v>250000(含)-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v>0</v>
      </c>
      <c r="D104" s="595">
        <v>50000</v>
      </c>
      <c r="E104" s="595">
        <v>100000</v>
      </c>
      <c r="F104" s="595">
        <v>150000</v>
      </c>
      <c r="G104" s="595">
        <v>200000</v>
      </c>
      <c r="H104" s="595">
        <v>250000</v>
      </c>
      <c r="I104" s="595"/>
      <c r="J104" s="596"/>
      <c r="K104" s="596"/>
      <c r="L104" s="597"/>
      <c r="M104" s="598"/>
      <c r="N104" s="1157"/>
      <c r="O104" s="1157"/>
      <c r="P104" s="2687"/>
      <c r="Q104" s="559"/>
    </row>
    <row r="105" spans="1:17" s="471" customFormat="1" ht="15.75" thickBot="1">
      <c r="A105" s="553"/>
      <c r="B105" s="543"/>
      <c r="C105" s="560">
        <v>100</v>
      </c>
      <c r="D105" s="536">
        <v>101</v>
      </c>
      <c r="E105" s="536">
        <v>102</v>
      </c>
      <c r="F105" s="536">
        <v>103</v>
      </c>
      <c r="G105" s="536">
        <v>104</v>
      </c>
      <c r="H105" s="536">
        <v>105</v>
      </c>
      <c r="I105" s="536"/>
      <c r="J105" s="536"/>
      <c r="K105" s="536"/>
      <c r="L105" s="536"/>
      <c r="M105" s="537"/>
      <c r="N105" s="1156"/>
      <c r="O105" s="1156"/>
      <c r="P105" s="2687"/>
      <c r="Q105" s="559"/>
    </row>
    <row r="106" spans="1:17" ht="15" thickTop="1">
      <c r="A106" s="599"/>
      <c r="B106" s="538" t="s">
        <v>2611</v>
      </c>
      <c r="C106" s="3046" t="s">
        <v>3293</v>
      </c>
      <c r="D106" s="3046" t="s">
        <v>3294</v>
      </c>
      <c r="E106" s="3047" t="s">
        <v>3295</v>
      </c>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6"/>
      <c r="Q107" s="504"/>
    </row>
    <row r="108" spans="1:17" ht="15" thickTop="1">
      <c r="A108" s="599"/>
      <c r="B108" s="538" t="s">
        <v>2613</v>
      </c>
      <c r="C108" s="3046" t="s">
        <v>3297</v>
      </c>
      <c r="D108" s="3046" t="s">
        <v>3298</v>
      </c>
      <c r="E108" s="3046" t="s">
        <v>3299</v>
      </c>
      <c r="F108" s="3047" t="s">
        <v>3300</v>
      </c>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6"/>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6"/>
      <c r="Q112" s="504"/>
    </row>
    <row r="113" spans="1:17" s="471" customFormat="1" ht="15" thickTop="1">
      <c r="A113" s="593"/>
      <c r="B113" s="538" t="s">
        <v>2697</v>
      </c>
      <c r="C113" s="3046" t="s">
        <v>3316</v>
      </c>
      <c r="D113" s="3046" t="s">
        <v>3317</v>
      </c>
      <c r="E113" s="3046" t="s">
        <v>3318</v>
      </c>
      <c r="F113" s="3046" t="s">
        <v>3320</v>
      </c>
      <c r="G113" s="554"/>
      <c r="H113" s="583"/>
      <c r="I113" s="583"/>
      <c r="J113" s="583"/>
      <c r="K113" s="584"/>
      <c r="L113" s="585"/>
      <c r="M113" s="586"/>
      <c r="N113" s="1157"/>
      <c r="O113" s="1157"/>
      <c r="P113" s="268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7"/>
      <c r="Q114" s="559"/>
    </row>
    <row r="115" spans="1:17" ht="15" thickTop="1">
      <c r="A115" s="599"/>
      <c r="B115" s="538" t="s">
        <v>2614</v>
      </c>
      <c r="C115" s="3046" t="s">
        <v>3302</v>
      </c>
      <c r="D115" s="3046" t="s">
        <v>3303</v>
      </c>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6"/>
      <c r="Q116" s="504"/>
    </row>
    <row r="117" spans="1:17" ht="15" thickTop="1">
      <c r="A117" s="599"/>
      <c r="B117" s="538" t="s">
        <v>2615</v>
      </c>
      <c r="C117" s="3046" t="s">
        <v>3305</v>
      </c>
      <c r="D117" s="3046" t="s">
        <v>3306</v>
      </c>
      <c r="E117" s="3046" t="s">
        <v>3308</v>
      </c>
      <c r="F117" s="3046" t="s">
        <v>3309</v>
      </c>
      <c r="G117" s="3046" t="s">
        <v>3310</v>
      </c>
      <c r="H117" s="583"/>
      <c r="I117" s="583"/>
      <c r="J117" s="583"/>
      <c r="K117" s="584"/>
      <c r="L117" s="585"/>
      <c r="M117" s="586"/>
      <c r="N117" s="1155"/>
      <c r="O117" s="1155"/>
      <c r="P117" s="268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6"/>
      <c r="Q118" s="504"/>
    </row>
    <row r="119" spans="1:17" ht="15" thickTop="1">
      <c r="A119" s="599"/>
      <c r="B119" s="636" t="s">
        <v>2698</v>
      </c>
      <c r="C119" s="3047" t="s">
        <v>3312</v>
      </c>
      <c r="D119" s="3047" t="s">
        <v>3313</v>
      </c>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6"/>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2617</v>
      </c>
      <c r="C123" s="3046" t="s">
        <v>3297</v>
      </c>
      <c r="D123" s="3046" t="s">
        <v>3298</v>
      </c>
      <c r="E123" s="3046" t="s">
        <v>3299</v>
      </c>
      <c r="F123" s="3047" t="s">
        <v>3300</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6"/>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1623</v>
      </c>
      <c r="B1" s="1963"/>
      <c r="C1" s="1963"/>
      <c r="D1" s="1963"/>
      <c r="E1" s="1963"/>
    </row>
    <row r="2" spans="1:5" ht="78" customHeight="1">
      <c r="A2" s="30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57"/>
      <c r="C2" s="3057"/>
      <c r="D2" s="3057"/>
      <c r="E2" s="3057"/>
    </row>
    <row r="3" spans="1:5" ht="18">
      <c r="A3" s="3058" t="str">
        <f>IF(项目基本情况!B9="房地产市场价值","估价结果一览表（市场价值不需“结果表-1”）","估价结果一览表")</f>
        <v>估价结果一览表（市场价值不需“结果表-1”）</v>
      </c>
      <c r="B3" s="3058"/>
      <c r="C3" s="3058"/>
      <c r="D3" s="3058"/>
      <c r="E3" s="3058"/>
    </row>
    <row r="4" spans="1:5" ht="19.5" thickBot="1">
      <c r="A4" s="1965"/>
      <c r="B4" s="3056" t="s">
        <v>1632</v>
      </c>
      <c r="C4" s="3056"/>
      <c r="D4" s="3056"/>
      <c r="E4" s="1965"/>
    </row>
    <row r="5" spans="1:5" ht="16.5" thickTop="1">
      <c r="A5" s="1963"/>
      <c r="B5" s="3054" t="s">
        <v>1624</v>
      </c>
      <c r="C5" s="1966" t="s">
        <v>1625</v>
      </c>
      <c r="D5" s="1043" t="e">
        <f ca="1">'结果表-凯富'!H101</f>
        <v>#N/A</v>
      </c>
      <c r="E5" s="1963"/>
    </row>
    <row r="6" spans="1:5" ht="15.75">
      <c r="A6" s="1963"/>
      <c r="B6" s="3054"/>
      <c r="C6" s="1966" t="s">
        <v>1626</v>
      </c>
      <c r="D6" s="1043" t="e">
        <f ca="1">NUMBERSTRING(INT(D5*10000),2)&amp;"元整"</f>
        <v>#N/A</v>
      </c>
      <c r="E6" s="1963"/>
    </row>
    <row r="7" spans="1:5" ht="15.75">
      <c r="A7" s="1963"/>
      <c r="B7" s="3059"/>
      <c r="C7" s="1967" t="s">
        <v>1627</v>
      </c>
      <c r="D7" s="1044" t="e">
        <f ca="1">'结果表-凯富'!H102</f>
        <v>#N/A</v>
      </c>
      <c r="E7" s="1963"/>
    </row>
    <row r="8" spans="1:5" ht="15.75">
      <c r="A8" s="1963"/>
      <c r="B8" s="3060" t="str">
        <f>'结果表-凯富'!E103</f>
        <v>2.估价师知悉的法定优先受偿款</v>
      </c>
      <c r="C8" s="1968" t="s">
        <v>1628</v>
      </c>
      <c r="D8" s="1044">
        <f>'结果表-凯富'!H103</f>
        <v>0</v>
      </c>
      <c r="E8" s="1963"/>
    </row>
    <row r="9" spans="1:5" ht="15.75">
      <c r="A9" s="1963"/>
      <c r="B9" s="3062"/>
      <c r="C9" s="1966" t="s">
        <v>1626</v>
      </c>
      <c r="D9" s="1043" t="str">
        <f>NUMBERSTRING(INT(D8*10000),2)&amp;"元整"</f>
        <v>零元整</v>
      </c>
      <c r="E9" s="1963"/>
    </row>
    <row r="10" spans="1:5" ht="15">
      <c r="A10" s="1963"/>
      <c r="B10" s="1969" t="s">
        <v>1631</v>
      </c>
      <c r="C10" s="1970" t="s">
        <v>1629</v>
      </c>
      <c r="D10" s="1045">
        <f>'结果表-凯富'!H104</f>
        <v>0</v>
      </c>
      <c r="E10" s="1963"/>
    </row>
    <row r="11" spans="1:5" ht="15">
      <c r="A11" s="1963"/>
      <c r="B11" s="1969" t="s">
        <v>1633</v>
      </c>
      <c r="C11" s="1970" t="s">
        <v>1634</v>
      </c>
      <c r="D11" s="1045">
        <f>'结果表-凯富'!H105</f>
        <v>0</v>
      </c>
      <c r="E11" s="1963"/>
    </row>
    <row r="12" spans="1:5" ht="15">
      <c r="A12" s="1963"/>
      <c r="B12" s="1969" t="s">
        <v>1635</v>
      </c>
      <c r="C12" s="1970" t="s">
        <v>1634</v>
      </c>
      <c r="D12" s="1045">
        <f>'结果表-凯富'!H106</f>
        <v>0</v>
      </c>
      <c r="E12" s="1963"/>
    </row>
    <row r="13" spans="1:5" ht="15.75">
      <c r="A13" s="1963"/>
      <c r="B13" s="3053" t="str">
        <f>'结果表-凯富'!E107</f>
        <v>3.房地产抵押价值</v>
      </c>
      <c r="C13" s="1971" t="s">
        <v>1625</v>
      </c>
      <c r="D13" s="1046" t="e">
        <f ca="1">'结果表-凯富'!H107</f>
        <v>#N/A</v>
      </c>
      <c r="E13" s="1963"/>
    </row>
    <row r="14" spans="1:5" ht="15.75">
      <c r="A14" s="1963"/>
      <c r="B14" s="3054"/>
      <c r="C14" s="1966" t="s">
        <v>1626</v>
      </c>
      <c r="D14" s="1043" t="e">
        <f ca="1">NUMBERSTRING(INT(D13*10000),2)&amp;"元整"</f>
        <v>#N/A</v>
      </c>
      <c r="E14" s="1963"/>
    </row>
    <row r="15" spans="1:5" ht="15">
      <c r="A15" s="1963"/>
      <c r="B15" s="3059"/>
      <c r="C15" s="1967" t="s">
        <v>1636</v>
      </c>
      <c r="D15" s="1055" t="e">
        <f ca="1">'结果表-凯富'!H108</f>
        <v>#N/A</v>
      </c>
      <c r="E15" s="1963"/>
    </row>
    <row r="16" spans="1:5" ht="15">
      <c r="A16" s="1963"/>
      <c r="B16" s="3060" t="str">
        <f>'结果表-凯富'!E109</f>
        <v>——</v>
      </c>
      <c r="C16" s="1971" t="s">
        <v>1637</v>
      </c>
      <c r="D16" s="1972" t="str">
        <f>'结果表-凯富'!H109</f>
        <v>——</v>
      </c>
      <c r="E16" s="1963"/>
    </row>
    <row r="17" spans="1:5" ht="15.75">
      <c r="A17" s="1963"/>
      <c r="B17" s="3061"/>
      <c r="C17" s="1966" t="s">
        <v>1638</v>
      </c>
      <c r="D17" s="1043" t="e">
        <f>NUMBERSTRING(INT(D16*10000),2)&amp;"元整"</f>
        <v>#VALUE!</v>
      </c>
      <c r="E17" s="1963"/>
    </row>
    <row r="18" spans="1:5" ht="15">
      <c r="A18" s="1963"/>
      <c r="B18" s="3062"/>
      <c r="C18" s="1967" t="s">
        <v>1627</v>
      </c>
      <c r="D18" s="1055" t="str">
        <f>'结果表-凯富'!H110</f>
        <v>——</v>
      </c>
      <c r="E18" s="1963"/>
    </row>
    <row r="19" spans="1:5" ht="15.75">
      <c r="A19" s="1963"/>
      <c r="B19" s="3053" t="str">
        <f>'结果表-凯富'!E111</f>
        <v>——</v>
      </c>
      <c r="C19" s="1971" t="s">
        <v>1625</v>
      </c>
      <c r="D19" s="1044" t="str">
        <f>'结果表-凯富'!H111</f>
        <v>——</v>
      </c>
      <c r="E19" s="1963"/>
    </row>
    <row r="20" spans="1:5" ht="15.75">
      <c r="A20" s="1963"/>
      <c r="B20" s="3054"/>
      <c r="C20" s="1966" t="s">
        <v>1638</v>
      </c>
      <c r="D20" s="1043" t="e">
        <f>NUMBERSTRING(INT(D19*10000),2)&amp;"元整"</f>
        <v>#VALUE!</v>
      </c>
      <c r="E20" s="1963"/>
    </row>
    <row r="21" spans="1:5" ht="15.75" thickBot="1">
      <c r="A21" s="1963"/>
      <c r="B21" s="3055"/>
      <c r="C21" s="1973" t="s">
        <v>1636</v>
      </c>
      <c r="D21" s="1056" t="str">
        <f>'结果表-凯富'!H112</f>
        <v>——</v>
      </c>
      <c r="E21" s="1963"/>
    </row>
    <row r="22" spans="1:5" ht="15" thickTop="1">
      <c r="A22" s="1963"/>
      <c r="B22" s="1974" t="s">
        <v>1639</v>
      </c>
      <c r="C22" s="1963"/>
      <c r="D22" s="1963"/>
      <c r="E22" s="1963"/>
    </row>
    <row r="23" spans="1:5">
      <c r="A23" s="1963"/>
      <c r="B23" s="1963"/>
      <c r="C23" s="1963"/>
      <c r="D23" s="1963"/>
      <c r="E23" s="1963"/>
    </row>
    <row r="24" spans="1:5" ht="18.75">
      <c r="A24" s="1975"/>
      <c r="B24" s="1976" t="s">
        <v>1630</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60" t="s">
        <v>183</v>
      </c>
      <c r="B18" s="882" t="s">
        <v>560</v>
      </c>
      <c r="C18" s="883" t="s">
        <v>561</v>
      </c>
      <c r="D18" s="884"/>
      <c r="E18" s="882">
        <v>1</v>
      </c>
      <c r="F18" s="885" t="s">
        <v>562</v>
      </c>
      <c r="G18" s="886"/>
      <c r="H18" s="878"/>
      <c r="I18" s="878"/>
    </row>
    <row r="19" spans="1:9" s="887" customFormat="1" ht="19.5" customHeight="1">
      <c r="A19" s="3360"/>
      <c r="B19" s="3360" t="s">
        <v>563</v>
      </c>
      <c r="C19" s="883" t="s">
        <v>564</v>
      </c>
      <c r="D19" s="884"/>
      <c r="E19" s="882">
        <v>0.9</v>
      </c>
      <c r="F19" s="885" t="s">
        <v>565</v>
      </c>
      <c r="G19" s="886"/>
      <c r="H19" s="878"/>
      <c r="I19" s="878"/>
    </row>
    <row r="20" spans="1:9" s="887" customFormat="1" ht="19.5" customHeight="1">
      <c r="A20" s="3360"/>
      <c r="B20" s="3360"/>
      <c r="C20" s="883" t="s">
        <v>566</v>
      </c>
      <c r="D20" s="884"/>
      <c r="E20" s="882">
        <v>1.1000000000000001</v>
      </c>
      <c r="F20" s="885" t="s">
        <v>567</v>
      </c>
      <c r="G20" s="886"/>
      <c r="H20" s="878"/>
      <c r="I20" s="878"/>
    </row>
    <row r="21" spans="1:9" s="887" customFormat="1" ht="19.5" customHeight="1">
      <c r="A21" s="3360"/>
      <c r="B21" s="3360"/>
      <c r="C21" s="883" t="s">
        <v>568</v>
      </c>
      <c r="D21" s="884"/>
      <c r="E21" s="882">
        <v>0.8</v>
      </c>
      <c r="F21" s="885" t="s">
        <v>569</v>
      </c>
      <c r="G21" s="886"/>
      <c r="H21" s="878"/>
      <c r="I21" s="878"/>
    </row>
    <row r="22" spans="1:9" s="887" customFormat="1" ht="19.5" customHeight="1">
      <c r="A22" s="3360"/>
      <c r="B22" s="3360"/>
      <c r="C22" s="883" t="s">
        <v>570</v>
      </c>
      <c r="D22" s="884"/>
      <c r="E22" s="882">
        <v>0.5</v>
      </c>
      <c r="F22" s="885"/>
      <c r="G22" s="886"/>
      <c r="H22" s="878"/>
      <c r="I22" s="878"/>
    </row>
    <row r="23" spans="1:9" s="887" customFormat="1" ht="19.5" customHeight="1">
      <c r="A23" s="3360" t="s">
        <v>184</v>
      </c>
      <c r="B23" s="882" t="s">
        <v>560</v>
      </c>
      <c r="C23" s="883" t="s">
        <v>571</v>
      </c>
      <c r="D23" s="884"/>
      <c r="E23" s="882">
        <v>1</v>
      </c>
      <c r="F23" s="885" t="s">
        <v>572</v>
      </c>
      <c r="G23" s="886"/>
      <c r="H23" s="878"/>
      <c r="I23" s="878"/>
    </row>
    <row r="24" spans="1:9" s="887" customFormat="1" ht="19.5" customHeight="1">
      <c r="A24" s="3360"/>
      <c r="B24" s="3360" t="s">
        <v>563</v>
      </c>
      <c r="C24" s="883" t="s">
        <v>573</v>
      </c>
      <c r="D24" s="884"/>
      <c r="E24" s="882">
        <v>0.5</v>
      </c>
      <c r="F24" s="885"/>
      <c r="G24" s="886"/>
      <c r="H24" s="878"/>
      <c r="I24" s="878"/>
    </row>
    <row r="25" spans="1:9" s="887" customFormat="1" ht="19.5" customHeight="1">
      <c r="A25" s="3360"/>
      <c r="B25" s="3360"/>
      <c r="C25" s="883" t="s">
        <v>574</v>
      </c>
      <c r="D25" s="884"/>
      <c r="E25" s="882">
        <v>1.1000000000000001</v>
      </c>
      <c r="F25" s="885"/>
      <c r="G25" s="886"/>
      <c r="H25" s="878"/>
      <c r="I25" s="878"/>
    </row>
    <row r="26" spans="1:9" s="887" customFormat="1" ht="19.5" customHeight="1">
      <c r="A26" s="3360"/>
      <c r="B26" s="3360"/>
      <c r="C26" s="883" t="s">
        <v>575</v>
      </c>
      <c r="D26" s="884"/>
      <c r="E26" s="882">
        <v>1.1000000000000001</v>
      </c>
      <c r="F26" s="885"/>
      <c r="G26" s="886"/>
      <c r="H26" s="878"/>
      <c r="I26" s="878"/>
    </row>
    <row r="27" spans="1:9" s="887" customFormat="1" ht="19.5" customHeight="1">
      <c r="A27" s="3360"/>
      <c r="B27" s="3360"/>
      <c r="C27" s="883" t="s">
        <v>576</v>
      </c>
      <c r="D27" s="884"/>
      <c r="E27" s="882">
        <v>0.9</v>
      </c>
      <c r="F27" s="885" t="s">
        <v>577</v>
      </c>
      <c r="G27" s="886"/>
      <c r="H27" s="878"/>
      <c r="I27" s="878"/>
    </row>
    <row r="28" spans="1:9" s="887" customFormat="1" ht="19.5" customHeight="1">
      <c r="A28" s="3360"/>
      <c r="B28" s="3360"/>
      <c r="C28" s="883" t="s">
        <v>578</v>
      </c>
      <c r="D28" s="884"/>
      <c r="E28" s="882">
        <v>0.9</v>
      </c>
      <c r="F28" s="885" t="s">
        <v>579</v>
      </c>
      <c r="G28" s="886"/>
      <c r="H28" s="878"/>
      <c r="I28" s="878"/>
    </row>
    <row r="29" spans="1:9" s="887" customFormat="1" ht="19.5" customHeight="1">
      <c r="A29" s="3360"/>
      <c r="B29" s="3360"/>
      <c r="C29" s="883" t="s">
        <v>580</v>
      </c>
      <c r="D29" s="884"/>
      <c r="E29" s="882">
        <v>0.9</v>
      </c>
      <c r="F29" s="885" t="s">
        <v>581</v>
      </c>
      <c r="G29" s="886"/>
      <c r="H29" s="878"/>
      <c r="I29" s="878"/>
    </row>
    <row r="30" spans="1:9" s="887" customFormat="1" ht="19.5" customHeight="1">
      <c r="A30" s="3360"/>
      <c r="B30" s="3360"/>
      <c r="C30" s="883" t="s">
        <v>582</v>
      </c>
      <c r="D30" s="884"/>
      <c r="E30" s="882">
        <v>0.9</v>
      </c>
      <c r="F30" s="885" t="s">
        <v>583</v>
      </c>
      <c r="G30" s="886"/>
      <c r="H30" s="878"/>
      <c r="I30" s="878"/>
    </row>
    <row r="31" spans="1:9" s="887" customFormat="1" ht="19.5" customHeight="1">
      <c r="A31" s="3360"/>
      <c r="B31" s="3360"/>
      <c r="C31" s="883" t="s">
        <v>584</v>
      </c>
      <c r="D31" s="884"/>
      <c r="E31" s="882">
        <v>0.8</v>
      </c>
      <c r="F31" s="885" t="s">
        <v>585</v>
      </c>
      <c r="G31" s="886"/>
      <c r="H31" s="878"/>
      <c r="I31" s="878"/>
    </row>
    <row r="32" spans="1:9" s="887" customFormat="1" ht="19.5" customHeight="1">
      <c r="A32" s="3360"/>
      <c r="B32" s="3360"/>
      <c r="C32" s="883" t="s">
        <v>586</v>
      </c>
      <c r="D32" s="884"/>
      <c r="E32" s="882">
        <v>0.8</v>
      </c>
      <c r="F32" s="885" t="s">
        <v>587</v>
      </c>
      <c r="G32" s="886"/>
      <c r="H32" s="878"/>
      <c r="I32" s="878"/>
    </row>
    <row r="33" spans="1:9" s="887" customFormat="1" ht="19.5" customHeight="1">
      <c r="A33" s="3360" t="s">
        <v>185</v>
      </c>
      <c r="B33" s="882" t="s">
        <v>560</v>
      </c>
      <c r="C33" s="883" t="s">
        <v>588</v>
      </c>
      <c r="D33" s="884"/>
      <c r="E33" s="882">
        <v>1</v>
      </c>
      <c r="F33" s="885" t="s">
        <v>589</v>
      </c>
      <c r="G33" s="886"/>
      <c r="H33" s="878"/>
      <c r="I33" s="878"/>
    </row>
    <row r="34" spans="1:9" s="887" customFormat="1" ht="19.5" customHeight="1">
      <c r="A34" s="3360"/>
      <c r="B34" s="882" t="s">
        <v>563</v>
      </c>
      <c r="C34" s="883" t="s">
        <v>590</v>
      </c>
      <c r="D34" s="884"/>
      <c r="E34" s="882">
        <v>1.5</v>
      </c>
      <c r="F34" s="885" t="s">
        <v>591</v>
      </c>
      <c r="G34" s="886"/>
      <c r="H34" s="878"/>
      <c r="I34" s="878"/>
    </row>
    <row r="35" spans="1:9" s="887" customFormat="1" ht="19.5" customHeight="1">
      <c r="A35" s="3360" t="s">
        <v>186</v>
      </c>
      <c r="B35" s="882" t="s">
        <v>560</v>
      </c>
      <c r="C35" s="883" t="s">
        <v>592</v>
      </c>
      <c r="D35" s="884"/>
      <c r="E35" s="882">
        <v>1</v>
      </c>
      <c r="F35" s="885" t="s">
        <v>593</v>
      </c>
      <c r="G35" s="886"/>
      <c r="H35" s="878"/>
      <c r="I35" s="878"/>
    </row>
    <row r="36" spans="1:9" s="887" customFormat="1" ht="19.5" customHeight="1">
      <c r="A36" s="3360"/>
      <c r="B36" s="3360" t="s">
        <v>563</v>
      </c>
      <c r="C36" s="883" t="s">
        <v>594</v>
      </c>
      <c r="D36" s="884"/>
      <c r="E36" s="882">
        <v>1</v>
      </c>
      <c r="F36" s="885" t="s">
        <v>595</v>
      </c>
      <c r="G36" s="886"/>
      <c r="H36" s="878"/>
      <c r="I36" s="878"/>
    </row>
    <row r="37" spans="1:9" s="887" customFormat="1" ht="19.5" customHeight="1">
      <c r="A37" s="3360"/>
      <c r="B37" s="3360"/>
      <c r="C37" s="883" t="s">
        <v>596</v>
      </c>
      <c r="D37" s="884"/>
      <c r="E37" s="882">
        <v>1.5</v>
      </c>
      <c r="F37" s="885" t="s">
        <v>597</v>
      </c>
      <c r="G37" s="886"/>
      <c r="H37" s="878"/>
      <c r="I37" s="878"/>
    </row>
    <row r="38" spans="1:9" s="887" customFormat="1" ht="19.5" customHeight="1">
      <c r="A38" s="3360"/>
      <c r="B38" s="3360"/>
      <c r="C38" s="883" t="s">
        <v>598</v>
      </c>
      <c r="D38" s="884"/>
      <c r="E38" s="882">
        <v>1</v>
      </c>
      <c r="F38" s="885" t="s">
        <v>599</v>
      </c>
      <c r="G38" s="886"/>
      <c r="H38" s="878"/>
      <c r="I38" s="878"/>
    </row>
    <row r="39" spans="1:9" s="887" customFormat="1" ht="19.5" customHeight="1">
      <c r="A39" s="3360"/>
      <c r="B39" s="336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60" t="s">
        <v>614</v>
      </c>
      <c r="C61" s="818" t="s">
        <v>615</v>
      </c>
      <c r="D61" s="818" t="s">
        <v>616</v>
      </c>
      <c r="E61" s="895">
        <v>0.5</v>
      </c>
      <c r="F61" s="882">
        <v>80</v>
      </c>
    </row>
    <row r="62" spans="1:8" s="878" customFormat="1" ht="24">
      <c r="A62" s="882">
        <v>2</v>
      </c>
      <c r="B62" s="3360"/>
      <c r="C62" s="818" t="s">
        <v>617</v>
      </c>
      <c r="D62" s="818" t="s">
        <v>618</v>
      </c>
      <c r="E62" s="895">
        <v>0.5</v>
      </c>
      <c r="F62" s="882">
        <v>80</v>
      </c>
    </row>
    <row r="63" spans="1:8" s="878" customFormat="1" ht="36">
      <c r="A63" s="882">
        <v>3</v>
      </c>
      <c r="B63" s="3360"/>
      <c r="C63" s="818" t="s">
        <v>619</v>
      </c>
      <c r="D63" s="818" t="s">
        <v>620</v>
      </c>
      <c r="E63" s="895">
        <v>0.5</v>
      </c>
      <c r="F63" s="882">
        <v>80</v>
      </c>
    </row>
    <row r="64" spans="1:8" s="878" customFormat="1" ht="36">
      <c r="A64" s="882">
        <v>4</v>
      </c>
      <c r="B64" s="3360"/>
      <c r="C64" s="818" t="s">
        <v>621</v>
      </c>
      <c r="D64" s="818" t="s">
        <v>622</v>
      </c>
      <c r="E64" s="895">
        <v>0.4</v>
      </c>
      <c r="F64" s="882">
        <v>60</v>
      </c>
    </row>
    <row r="65" spans="1:6" s="878" customFormat="1" ht="36">
      <c r="A65" s="882">
        <v>5</v>
      </c>
      <c r="B65" s="3360"/>
      <c r="C65" s="818" t="s">
        <v>623</v>
      </c>
      <c r="D65" s="818" t="s">
        <v>624</v>
      </c>
      <c r="E65" s="895">
        <v>0.2</v>
      </c>
      <c r="F65" s="882">
        <v>30</v>
      </c>
    </row>
    <row r="66" spans="1:6" s="878" customFormat="1" ht="36">
      <c r="A66" s="882">
        <v>6</v>
      </c>
      <c r="B66" s="3360"/>
      <c r="C66" s="818" t="s">
        <v>625</v>
      </c>
      <c r="D66" s="818" t="s">
        <v>626</v>
      </c>
      <c r="E66" s="895">
        <v>0.3</v>
      </c>
      <c r="F66" s="882">
        <v>50</v>
      </c>
    </row>
    <row r="67" spans="1:6" s="878" customFormat="1" ht="36">
      <c r="A67" s="882">
        <v>7</v>
      </c>
      <c r="B67" s="3360"/>
      <c r="C67" s="818" t="s">
        <v>627</v>
      </c>
      <c r="D67" s="818" t="s">
        <v>628</v>
      </c>
      <c r="E67" s="895">
        <v>0.2</v>
      </c>
      <c r="F67" s="882">
        <v>30</v>
      </c>
    </row>
    <row r="68" spans="1:6" s="878" customFormat="1" ht="36">
      <c r="A68" s="882">
        <v>8</v>
      </c>
      <c r="B68" s="3360"/>
      <c r="C68" s="818" t="s">
        <v>629</v>
      </c>
      <c r="D68" s="818" t="s">
        <v>630</v>
      </c>
      <c r="E68" s="895">
        <v>0.2</v>
      </c>
      <c r="F68" s="882">
        <v>30</v>
      </c>
    </row>
    <row r="69" spans="1:6" s="878" customFormat="1" ht="36">
      <c r="A69" s="882">
        <v>9</v>
      </c>
      <c r="B69" s="3360"/>
      <c r="C69" s="818" t="s">
        <v>631</v>
      </c>
      <c r="D69" s="818" t="s">
        <v>632</v>
      </c>
      <c r="E69" s="895">
        <v>0.2</v>
      </c>
      <c r="F69" s="882">
        <v>30</v>
      </c>
    </row>
    <row r="70" spans="1:6" s="878" customFormat="1" ht="48">
      <c r="A70" s="882">
        <v>10</v>
      </c>
      <c r="B70" s="3360"/>
      <c r="C70" s="818" t="s">
        <v>633</v>
      </c>
      <c r="D70" s="818" t="s">
        <v>634</v>
      </c>
      <c r="E70" s="895">
        <v>0.2</v>
      </c>
      <c r="F70" s="882">
        <v>30</v>
      </c>
    </row>
    <row r="71" spans="1:6" s="878" customFormat="1" ht="48">
      <c r="A71" s="882">
        <v>11</v>
      </c>
      <c r="B71" s="3360"/>
      <c r="C71" s="818" t="s">
        <v>635</v>
      </c>
      <c r="D71" s="818" t="s">
        <v>636</v>
      </c>
      <c r="E71" s="895">
        <v>0.2</v>
      </c>
      <c r="F71" s="882">
        <v>30</v>
      </c>
    </row>
    <row r="72" spans="1:6" s="878" customFormat="1" ht="36">
      <c r="A72" s="882">
        <v>12</v>
      </c>
      <c r="B72" s="3360"/>
      <c r="C72" s="818" t="s">
        <v>637</v>
      </c>
      <c r="D72" s="818" t="s">
        <v>638</v>
      </c>
      <c r="E72" s="895">
        <v>0.5</v>
      </c>
      <c r="F72" s="882">
        <v>80</v>
      </c>
    </row>
    <row r="73" spans="1:6" s="878" customFormat="1" ht="24">
      <c r="A73" s="882">
        <v>13</v>
      </c>
      <c r="B73" s="3360"/>
      <c r="C73" s="818" t="s">
        <v>639</v>
      </c>
      <c r="D73" s="818" t="s">
        <v>640</v>
      </c>
      <c r="E73" s="895">
        <v>0.4</v>
      </c>
      <c r="F73" s="882">
        <v>60</v>
      </c>
    </row>
    <row r="74" spans="1:6" s="878" customFormat="1" ht="24">
      <c r="A74" s="882">
        <v>14</v>
      </c>
      <c r="B74" s="3360"/>
      <c r="C74" s="818" t="s">
        <v>641</v>
      </c>
      <c r="D74" s="818" t="s">
        <v>642</v>
      </c>
      <c r="E74" s="895">
        <v>0.2</v>
      </c>
      <c r="F74" s="882">
        <v>30</v>
      </c>
    </row>
    <row r="75" spans="1:6" s="878" customFormat="1" ht="24">
      <c r="A75" s="882">
        <v>15</v>
      </c>
      <c r="B75" s="3360"/>
      <c r="C75" s="818" t="s">
        <v>643</v>
      </c>
      <c r="D75" s="818" t="s">
        <v>644</v>
      </c>
      <c r="E75" s="895">
        <v>0.2</v>
      </c>
      <c r="F75" s="882">
        <v>30</v>
      </c>
    </row>
    <row r="76" spans="1:6" s="878" customFormat="1" ht="24">
      <c r="A76" s="882">
        <v>16</v>
      </c>
      <c r="B76" s="3360" t="s">
        <v>645</v>
      </c>
      <c r="C76" s="818" t="s">
        <v>646</v>
      </c>
      <c r="D76" s="818" t="s">
        <v>647</v>
      </c>
      <c r="E76" s="895">
        <v>0.5</v>
      </c>
      <c r="F76" s="882">
        <v>80</v>
      </c>
    </row>
    <row r="77" spans="1:6" s="878" customFormat="1" ht="24">
      <c r="A77" s="882">
        <v>17</v>
      </c>
      <c r="B77" s="3360"/>
      <c r="C77" s="818" t="s">
        <v>648</v>
      </c>
      <c r="D77" s="818" t="s">
        <v>649</v>
      </c>
      <c r="E77" s="895">
        <v>0.5</v>
      </c>
      <c r="F77" s="882">
        <v>80</v>
      </c>
    </row>
    <row r="78" spans="1:6" s="878" customFormat="1" ht="24">
      <c r="A78" s="882">
        <v>18</v>
      </c>
      <c r="B78" s="3360"/>
      <c r="C78" s="818" t="s">
        <v>650</v>
      </c>
      <c r="D78" s="818" t="s">
        <v>651</v>
      </c>
      <c r="E78" s="895">
        <v>0.2</v>
      </c>
      <c r="F78" s="882">
        <v>30</v>
      </c>
    </row>
    <row r="79" spans="1:6" s="878" customFormat="1" ht="24">
      <c r="A79" s="882">
        <v>19</v>
      </c>
      <c r="B79" s="3360"/>
      <c r="C79" s="818" t="s">
        <v>652</v>
      </c>
      <c r="D79" s="818" t="s">
        <v>653</v>
      </c>
      <c r="E79" s="895">
        <v>0.5</v>
      </c>
      <c r="F79" s="882">
        <v>80</v>
      </c>
    </row>
    <row r="80" spans="1:6" s="878" customFormat="1" ht="36">
      <c r="A80" s="882">
        <v>20</v>
      </c>
      <c r="B80" s="3360"/>
      <c r="C80" s="818" t="s">
        <v>654</v>
      </c>
      <c r="D80" s="818" t="s">
        <v>655</v>
      </c>
      <c r="E80" s="895">
        <v>0.2</v>
      </c>
      <c r="F80" s="882">
        <v>30</v>
      </c>
    </row>
    <row r="81" spans="1:6" s="878" customFormat="1" ht="36">
      <c r="A81" s="882">
        <v>21</v>
      </c>
      <c r="B81" s="3360"/>
      <c r="C81" s="818" t="s">
        <v>656</v>
      </c>
      <c r="D81" s="818" t="s">
        <v>657</v>
      </c>
      <c r="E81" s="895">
        <v>0.2</v>
      </c>
      <c r="F81" s="882">
        <v>30</v>
      </c>
    </row>
    <row r="82" spans="1:6" s="878" customFormat="1" ht="48">
      <c r="A82" s="882">
        <v>22</v>
      </c>
      <c r="B82" s="3360"/>
      <c r="C82" s="818" t="s">
        <v>658</v>
      </c>
      <c r="D82" s="818" t="s">
        <v>659</v>
      </c>
      <c r="E82" s="895">
        <v>0.2</v>
      </c>
      <c r="F82" s="882">
        <v>30</v>
      </c>
    </row>
    <row r="83" spans="1:6" s="878" customFormat="1" ht="48">
      <c r="A83" s="882">
        <v>23</v>
      </c>
      <c r="B83" s="3360"/>
      <c r="C83" s="818" t="s">
        <v>660</v>
      </c>
      <c r="D83" s="818" t="s">
        <v>661</v>
      </c>
      <c r="E83" s="895">
        <v>0.2</v>
      </c>
      <c r="F83" s="882">
        <v>30</v>
      </c>
    </row>
    <row r="84" spans="1:6" s="878" customFormat="1" ht="36">
      <c r="A84" s="882">
        <v>24</v>
      </c>
      <c r="B84" s="3360"/>
      <c r="C84" s="818" t="s">
        <v>662</v>
      </c>
      <c r="D84" s="818" t="s">
        <v>663</v>
      </c>
      <c r="E84" s="895">
        <v>0.2</v>
      </c>
      <c r="F84" s="882">
        <v>30</v>
      </c>
    </row>
    <row r="85" spans="1:6" s="878" customFormat="1" ht="36">
      <c r="A85" s="882">
        <v>25</v>
      </c>
      <c r="B85" s="3360"/>
      <c r="C85" s="818" t="s">
        <v>664</v>
      </c>
      <c r="D85" s="818" t="s">
        <v>665</v>
      </c>
      <c r="E85" s="895">
        <v>0.5</v>
      </c>
      <c r="F85" s="882">
        <v>80</v>
      </c>
    </row>
    <row r="86" spans="1:6" s="878" customFormat="1" ht="36">
      <c r="A86" s="882">
        <v>26</v>
      </c>
      <c r="B86" s="3360"/>
      <c r="C86" s="818" t="s">
        <v>666</v>
      </c>
      <c r="D86" s="818" t="s">
        <v>667</v>
      </c>
      <c r="E86" s="895">
        <v>0.2</v>
      </c>
      <c r="F86" s="882">
        <v>30</v>
      </c>
    </row>
    <row r="87" spans="1:6" s="878" customFormat="1" ht="36">
      <c r="A87" s="882">
        <v>27</v>
      </c>
      <c r="B87" s="3360"/>
      <c r="C87" s="818" t="s">
        <v>668</v>
      </c>
      <c r="D87" s="818" t="s">
        <v>669</v>
      </c>
      <c r="E87" s="895">
        <v>0.2</v>
      </c>
      <c r="F87" s="882">
        <v>30</v>
      </c>
    </row>
    <row r="88" spans="1:6" s="878" customFormat="1" ht="36">
      <c r="A88" s="882">
        <v>28</v>
      </c>
      <c r="B88" s="3360"/>
      <c r="C88" s="818" t="s">
        <v>670</v>
      </c>
      <c r="D88" s="818" t="s">
        <v>671</v>
      </c>
      <c r="E88" s="895">
        <v>0.2</v>
      </c>
      <c r="F88" s="882">
        <v>30</v>
      </c>
    </row>
    <row r="89" spans="1:6" s="878" customFormat="1" ht="24">
      <c r="A89" s="882">
        <v>29</v>
      </c>
      <c r="B89" s="3360"/>
      <c r="C89" s="818" t="s">
        <v>672</v>
      </c>
      <c r="D89" s="818" t="s">
        <v>673</v>
      </c>
      <c r="E89" s="895">
        <v>0.2</v>
      </c>
      <c r="F89" s="882">
        <v>30</v>
      </c>
    </row>
    <row r="90" spans="1:6" s="878" customFormat="1" ht="24">
      <c r="A90" s="882">
        <v>30</v>
      </c>
      <c r="B90" s="3360"/>
      <c r="C90" s="818" t="s">
        <v>674</v>
      </c>
      <c r="D90" s="818" t="s">
        <v>675</v>
      </c>
      <c r="E90" s="895">
        <v>0.2</v>
      </c>
      <c r="F90" s="882">
        <v>30</v>
      </c>
    </row>
    <row r="91" spans="1:6" s="878" customFormat="1" ht="36">
      <c r="A91" s="882">
        <v>31</v>
      </c>
      <c r="B91" s="3360"/>
      <c r="C91" s="818" t="s">
        <v>676</v>
      </c>
      <c r="D91" s="818" t="s">
        <v>677</v>
      </c>
      <c r="E91" s="895">
        <v>0.2</v>
      </c>
      <c r="F91" s="882">
        <v>30</v>
      </c>
    </row>
    <row r="92" spans="1:6" s="878" customFormat="1" ht="24">
      <c r="A92" s="882">
        <v>32</v>
      </c>
      <c r="B92" s="3360" t="s">
        <v>678</v>
      </c>
      <c r="C92" s="882" t="s">
        <v>679</v>
      </c>
      <c r="D92" s="818" t="s">
        <v>680</v>
      </c>
      <c r="E92" s="895">
        <v>0.2</v>
      </c>
      <c r="F92" s="882">
        <v>30</v>
      </c>
    </row>
    <row r="93" spans="1:6" s="878" customFormat="1" ht="36">
      <c r="A93" s="882">
        <v>33</v>
      </c>
      <c r="B93" s="3360"/>
      <c r="C93" s="882" t="s">
        <v>681</v>
      </c>
      <c r="D93" s="818" t="s">
        <v>682</v>
      </c>
      <c r="E93" s="895">
        <v>0.2</v>
      </c>
      <c r="F93" s="882">
        <v>30</v>
      </c>
    </row>
    <row r="94" spans="1:6" s="878" customFormat="1" ht="48">
      <c r="A94" s="882">
        <v>34</v>
      </c>
      <c r="B94" s="3360"/>
      <c r="C94" s="882" t="s">
        <v>683</v>
      </c>
      <c r="D94" s="818" t="s">
        <v>684</v>
      </c>
      <c r="E94" s="895">
        <v>0.2</v>
      </c>
      <c r="F94" s="882">
        <v>30</v>
      </c>
    </row>
    <row r="95" spans="1:6" s="878" customFormat="1" ht="36">
      <c r="A95" s="882">
        <v>35</v>
      </c>
      <c r="B95" s="3360"/>
      <c r="C95" s="882" t="s">
        <v>685</v>
      </c>
      <c r="D95" s="818" t="s">
        <v>686</v>
      </c>
      <c r="E95" s="895">
        <v>0.2</v>
      </c>
      <c r="F95" s="882">
        <v>30</v>
      </c>
    </row>
    <row r="96" spans="1:6" s="878" customFormat="1" ht="48">
      <c r="A96" s="882">
        <v>36</v>
      </c>
      <c r="B96" s="3360"/>
      <c r="C96" s="818" t="s">
        <v>687</v>
      </c>
      <c r="D96" s="818" t="s">
        <v>688</v>
      </c>
      <c r="E96" s="895">
        <v>0.2</v>
      </c>
      <c r="F96" s="882">
        <v>30</v>
      </c>
    </row>
    <row r="97" spans="1:6" s="878" customFormat="1" ht="36">
      <c r="A97" s="882">
        <v>37</v>
      </c>
      <c r="B97" s="3360"/>
      <c r="C97" s="882" t="s">
        <v>689</v>
      </c>
      <c r="D97" s="818" t="s">
        <v>690</v>
      </c>
      <c r="E97" s="895">
        <v>0.2</v>
      </c>
      <c r="F97" s="882">
        <v>30</v>
      </c>
    </row>
    <row r="98" spans="1:6" s="878" customFormat="1" ht="36">
      <c r="A98" s="882">
        <v>38</v>
      </c>
      <c r="B98" s="3360"/>
      <c r="C98" s="882" t="s">
        <v>691</v>
      </c>
      <c r="D98" s="818" t="s">
        <v>692</v>
      </c>
      <c r="E98" s="895">
        <v>0.2</v>
      </c>
      <c r="F98" s="882">
        <v>30</v>
      </c>
    </row>
    <row r="99" spans="1:6" s="878" customFormat="1" ht="36">
      <c r="A99" s="882">
        <v>39</v>
      </c>
      <c r="B99" s="3360" t="s">
        <v>693</v>
      </c>
      <c r="C99" s="882" t="s">
        <v>694</v>
      </c>
      <c r="D99" s="818" t="s">
        <v>695</v>
      </c>
      <c r="E99" s="895">
        <v>0.3</v>
      </c>
      <c r="F99" s="882">
        <v>50</v>
      </c>
    </row>
    <row r="100" spans="1:6" s="878" customFormat="1" ht="24">
      <c r="A100" s="882">
        <v>40</v>
      </c>
      <c r="B100" s="3360"/>
      <c r="C100" s="882" t="s">
        <v>696</v>
      </c>
      <c r="D100" s="818" t="s">
        <v>697</v>
      </c>
      <c r="E100" s="895">
        <v>0.2</v>
      </c>
      <c r="F100" s="882">
        <v>30</v>
      </c>
    </row>
    <row r="101" spans="1:6" s="878" customFormat="1" ht="36">
      <c r="A101" s="882">
        <v>41</v>
      </c>
      <c r="B101" s="336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60" t="s">
        <v>708</v>
      </c>
      <c r="C105" s="882" t="s">
        <v>709</v>
      </c>
      <c r="D105" s="818" t="s">
        <v>710</v>
      </c>
      <c r="E105" s="895">
        <v>0.2</v>
      </c>
      <c r="F105" s="882">
        <v>30</v>
      </c>
    </row>
    <row r="106" spans="1:6" s="878" customFormat="1" ht="36">
      <c r="A106" s="882">
        <v>46</v>
      </c>
      <c r="B106" s="3360"/>
      <c r="C106" s="882" t="s">
        <v>711</v>
      </c>
      <c r="D106" s="818" t="s">
        <v>712</v>
      </c>
      <c r="E106" s="895">
        <v>0.2</v>
      </c>
      <c r="F106" s="882">
        <v>30</v>
      </c>
    </row>
    <row r="107" spans="1:6" s="878" customFormat="1" ht="36">
      <c r="A107" s="882">
        <v>47</v>
      </c>
      <c r="B107" s="3360" t="s">
        <v>713</v>
      </c>
      <c r="C107" s="882" t="s">
        <v>714</v>
      </c>
      <c r="D107" s="818" t="s">
        <v>715</v>
      </c>
      <c r="E107" s="895">
        <v>0.3</v>
      </c>
      <c r="F107" s="882">
        <v>50</v>
      </c>
    </row>
    <row r="108" spans="1:6" s="878" customFormat="1" ht="36">
      <c r="A108" s="882">
        <v>48</v>
      </c>
      <c r="B108" s="336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60" t="s">
        <v>724</v>
      </c>
      <c r="C111" s="882" t="s">
        <v>725</v>
      </c>
      <c r="D111" s="818" t="s">
        <v>726</v>
      </c>
      <c r="E111" s="895">
        <v>0.2</v>
      </c>
      <c r="F111" s="882">
        <v>30</v>
      </c>
    </row>
    <row r="112" spans="1:6" s="878" customFormat="1" ht="24">
      <c r="A112" s="882">
        <v>52</v>
      </c>
      <c r="B112" s="3360"/>
      <c r="C112" s="882" t="s">
        <v>727</v>
      </c>
      <c r="D112" s="818" t="s">
        <v>728</v>
      </c>
      <c r="E112" s="895">
        <v>0.2</v>
      </c>
      <c r="F112" s="882">
        <v>30</v>
      </c>
    </row>
    <row r="113" spans="1:6" s="878" customFormat="1" ht="24">
      <c r="A113" s="882">
        <v>53</v>
      </c>
      <c r="B113" s="336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60" t="s">
        <v>737</v>
      </c>
      <c r="C116" s="882" t="s">
        <v>738</v>
      </c>
      <c r="D116" s="818" t="s">
        <v>739</v>
      </c>
      <c r="E116" s="895">
        <v>0.2</v>
      </c>
      <c r="F116" s="882">
        <v>30</v>
      </c>
    </row>
    <row r="117" spans="1:6" ht="36">
      <c r="A117" s="882">
        <v>57</v>
      </c>
      <c r="B117" s="336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2.2888000000000002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3" t="s">
        <v>2998</v>
      </c>
    </row>
    <row r="2" spans="1:5" ht="15.75">
      <c r="A2" s="2912" t="s">
        <v>2990</v>
      </c>
      <c r="B2" s="2913">
        <f ca="1">SUMIF(B6:B13,"&lt;&gt;#ref!",B6:B13)</f>
        <v>45831</v>
      </c>
      <c r="C2" s="2912" t="s">
        <v>2991</v>
      </c>
      <c r="D2" s="2912" t="s">
        <v>2992</v>
      </c>
      <c r="E2" s="2913" t="e">
        <f ca="1">SUM(E6:E13)</f>
        <v>#REF!</v>
      </c>
    </row>
    <row r="3" spans="1:5" ht="15.75">
      <c r="A3" s="2912" t="s">
        <v>2993</v>
      </c>
      <c r="B3" s="2913" t="e">
        <f ca="1">ROUND(B2*10000/E2,0)</f>
        <v>#REF!</v>
      </c>
      <c r="C3" s="2912" t="s">
        <v>2999</v>
      </c>
      <c r="D3" s="2914"/>
      <c r="E3" s="2914"/>
    </row>
    <row r="4" spans="1:5" ht="15.75">
      <c r="A4" s="2915"/>
      <c r="B4" s="2914"/>
      <c r="C4" s="2914"/>
      <c r="D4" s="2914"/>
      <c r="E4" s="2914"/>
    </row>
    <row r="5" spans="1:5" ht="28.5">
      <c r="A5" s="2916" t="s">
        <v>2994</v>
      </c>
      <c r="B5" s="2912" t="s">
        <v>2995</v>
      </c>
      <c r="C5" s="2913"/>
      <c r="D5" s="2914"/>
      <c r="E5" s="2912" t="s">
        <v>2996</v>
      </c>
    </row>
    <row r="6" spans="1:5" ht="15.75">
      <c r="A6" s="2917" t="s">
        <v>2997</v>
      </c>
      <c r="B6" s="2913">
        <f ca="1">SUMIF(INDIRECT("'"&amp;A6&amp;"'"&amp;"!A:A"),"总价",INDIRECT("'"&amp;A6&amp;"'"&amp;"!B:B"))</f>
        <v>45831</v>
      </c>
      <c r="C6" s="2912" t="s">
        <v>2991</v>
      </c>
      <c r="D6" s="2914"/>
      <c r="E6" s="2577">
        <f ca="1">SUMIF(INDIRECT("'"&amp;A6&amp;"'"&amp;"!C:C"),"建筑面积",INDIRECT("'"&amp;A6&amp;"'"&amp;"!D:D"))</f>
        <v>25430.709999999995</v>
      </c>
    </row>
    <row r="7" spans="1:5" ht="15.75">
      <c r="A7" s="2917"/>
      <c r="B7" s="2913" t="e">
        <f ca="1">SUMIF(INDIRECT("'"&amp;A7&amp;"'"&amp;"!A:A"),"总价",INDIRECT("'"&amp;A7&amp;"'"&amp;"!B:B"))</f>
        <v>#REF!</v>
      </c>
      <c r="C7" s="2912" t="s">
        <v>2991</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2991</v>
      </c>
      <c r="D8" s="2914"/>
      <c r="E8" s="2577" t="e">
        <f t="shared" ca="1" si="0"/>
        <v>#REF!</v>
      </c>
    </row>
    <row r="9" spans="1:5" ht="15.75">
      <c r="A9" s="2917"/>
      <c r="B9" s="2913" t="e">
        <f t="shared" ca="1" si="1"/>
        <v>#REF!</v>
      </c>
      <c r="C9" s="2912" t="s">
        <v>2991</v>
      </c>
      <c r="D9" s="2914"/>
      <c r="E9" s="2577" t="e">
        <f t="shared" ca="1" si="0"/>
        <v>#REF!</v>
      </c>
    </row>
    <row r="10" spans="1:5" ht="15.75">
      <c r="A10" s="2917"/>
      <c r="B10" s="2913" t="e">
        <f t="shared" ca="1" si="1"/>
        <v>#REF!</v>
      </c>
      <c r="C10" s="2912" t="s">
        <v>2991</v>
      </c>
      <c r="D10" s="2914"/>
      <c r="E10" s="2577" t="e">
        <f t="shared" ca="1" si="0"/>
        <v>#REF!</v>
      </c>
    </row>
    <row r="11" spans="1:5" ht="15.75">
      <c r="A11" s="2917"/>
      <c r="B11" s="2913" t="e">
        <f t="shared" ca="1" si="1"/>
        <v>#REF!</v>
      </c>
      <c r="C11" s="2912" t="s">
        <v>2991</v>
      </c>
      <c r="D11" s="2914"/>
      <c r="E11" s="2577" t="e">
        <f t="shared" ca="1" si="0"/>
        <v>#REF!</v>
      </c>
    </row>
    <row r="12" spans="1:5" ht="15.75">
      <c r="A12" s="2917"/>
      <c r="B12" s="2913" t="e">
        <f t="shared" ca="1" si="1"/>
        <v>#REF!</v>
      </c>
      <c r="C12" s="2912" t="s">
        <v>2991</v>
      </c>
      <c r="D12" s="2914"/>
      <c r="E12" s="2577" t="e">
        <f t="shared" ca="1" si="0"/>
        <v>#REF!</v>
      </c>
    </row>
    <row r="13" spans="1:5" ht="15.75">
      <c r="A13" s="2917"/>
      <c r="B13" s="2913" t="e">
        <f t="shared" ca="1" si="1"/>
        <v>#REF!</v>
      </c>
      <c r="C13" s="2912" t="s">
        <v>2991</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topLeftCell="A10"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366" t="s">
        <v>1150</v>
      </c>
      <c r="C1" s="3366"/>
      <c r="D1" s="3366"/>
      <c r="E1" s="3366"/>
      <c r="F1" s="3366"/>
      <c r="G1" s="3365" t="s">
        <v>1151</v>
      </c>
      <c r="H1" s="3365"/>
      <c r="I1" s="3365"/>
      <c r="J1" s="3365"/>
      <c r="K1" s="3365"/>
      <c r="L1" s="3365"/>
      <c r="N1" s="3365" t="s">
        <v>1152</v>
      </c>
      <c r="O1" s="3365"/>
      <c r="P1" s="3365"/>
      <c r="Q1" s="3365"/>
      <c r="R1" s="1449"/>
      <c r="S1" s="3365" t="s">
        <v>1153</v>
      </c>
      <c r="T1" s="3365"/>
      <c r="U1" s="3365"/>
      <c r="V1" s="3365"/>
      <c r="X1" s="3364" t="s">
        <v>1154</v>
      </c>
      <c r="Y1" s="3365"/>
      <c r="Z1" s="3365"/>
      <c r="AA1" s="3365"/>
      <c r="AB1" s="3365"/>
      <c r="AD1" s="3364" t="s">
        <v>1155</v>
      </c>
      <c r="AE1" s="3365"/>
      <c r="AF1" s="3365"/>
      <c r="AG1" s="3365"/>
      <c r="AH1" s="3365"/>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6"/>
      <c r="J3" s="2926"/>
      <c r="K3" s="2926"/>
      <c r="L3" s="2926"/>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3035</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6">
        <f>ROUND(AVERAGE(I5:I20),2)</f>
        <v>2.4900000000000002</v>
      </c>
      <c r="J4" s="2926">
        <f t="shared" ref="J4:L4" si="7">ROUND(AVERAGE(J5:J20),2)</f>
        <v>1.64</v>
      </c>
      <c r="K4" s="2926">
        <f t="shared" si="7"/>
        <v>2.78</v>
      </c>
      <c r="L4" s="2926">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3033</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3">
        <v>2017</v>
      </c>
      <c r="H5" s="1734">
        <v>4</v>
      </c>
      <c r="I5" s="2927">
        <f>ROUND(AVERAGE(I6:I20),2)</f>
        <v>2.4900000000000002</v>
      </c>
      <c r="J5" s="2927">
        <f>ROUND(AVERAGE(J6:J20),2)</f>
        <v>1.64</v>
      </c>
      <c r="K5" s="2927">
        <f>ROUND(AVERAGE(K6:K20),2)</f>
        <v>2.78</v>
      </c>
      <c r="L5" s="2927">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3034</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5"/>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4"/>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5"/>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367">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362"/>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362"/>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363"/>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361">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362"/>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362"/>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363"/>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361">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362"/>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362"/>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363"/>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368">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369"/>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369"/>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370"/>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361">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362"/>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362"/>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363"/>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361">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362">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362">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363">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361">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362">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362">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363">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361">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362">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362">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363">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361">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362">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362">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363">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361">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362">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362">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363">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361">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362">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362">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363">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361">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362">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362">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363">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361">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362">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362">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363">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361">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362">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362">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363">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361">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362">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362">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363">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2"/>
    <col min="19" max="19" width="9" style="138"/>
    <col min="20" max="45" width="9" style="795"/>
    <col min="46" max="16384" width="9" style="138"/>
  </cols>
  <sheetData>
    <row r="1" spans="1:45" ht="14.25" customHeight="1" thickBot="1">
      <c r="A1" s="155"/>
      <c r="B1" s="1207" t="s">
        <v>3000</v>
      </c>
      <c r="C1" s="3372" t="s">
        <v>3001</v>
      </c>
      <c r="D1" s="3373"/>
      <c r="E1" s="3373"/>
      <c r="F1" s="3373"/>
      <c r="G1" s="3373"/>
      <c r="H1" s="3373"/>
      <c r="I1" s="3373"/>
      <c r="J1" s="3373"/>
      <c r="K1" s="3373"/>
      <c r="L1" s="3373"/>
      <c r="M1" s="3373"/>
      <c r="N1" s="3373"/>
      <c r="O1" s="3373"/>
      <c r="P1" s="3373"/>
      <c r="Q1" s="3373"/>
      <c r="R1" s="3373"/>
      <c r="S1" s="3374"/>
      <c r="T1" s="1207" t="s">
        <v>3002</v>
      </c>
    </row>
    <row r="2" spans="1:45" s="707" customFormat="1">
      <c r="A2" s="1208"/>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8"/>
      <c r="B5" s="1773" t="s">
        <v>3004</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8"/>
      <c r="B7" s="1774" t="s">
        <v>3005</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8"/>
      <c r="B9" s="1774" t="s">
        <v>3006</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8"/>
      <c r="B11" s="1773" t="s">
        <v>3007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8"/>
      <c r="B13" s="1773" t="s">
        <v>3008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8"/>
      <c r="B15" s="1773" t="s">
        <v>3009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3010</v>
      </c>
      <c r="B17" s="2919" t="s">
        <v>3011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7"/>
      <c r="B19" s="168"/>
      <c r="C19" s="168"/>
      <c r="D19" s="2920" t="s">
        <v>3012</v>
      </c>
      <c r="E19" s="1796"/>
      <c r="F19" s="1796"/>
      <c r="G19" s="1796"/>
      <c r="H19" s="1283"/>
      <c r="I19" s="168"/>
      <c r="J19" s="168"/>
      <c r="K19" s="168"/>
      <c r="L19" s="168"/>
      <c r="M19" s="168"/>
      <c r="N19" s="168"/>
      <c r="O19" s="168"/>
      <c r="P19" s="168"/>
      <c r="Q19" s="168"/>
      <c r="R19" s="788"/>
      <c r="S19" s="137"/>
    </row>
    <row r="20" spans="1:45" ht="16.5" thickBot="1">
      <c r="A20" s="715" t="s">
        <v>3013</v>
      </c>
      <c r="B20" s="338" t="e">
        <f ca="1">IF(D20="——",S22,S22-F20)</f>
        <v>#REF!</v>
      </c>
      <c r="C20" s="168"/>
      <c r="D20" s="2921" t="s">
        <v>3014</v>
      </c>
      <c r="E20" s="1797"/>
      <c r="F20" s="1207" t="e">
        <f ca="1">SUMIF(INDIRECT("'"&amp;H20&amp;"'"&amp;"!A:A"),"承租人权益价值",INDIRECT("'"&amp;H20&amp;"'"&amp;"!c:c"))</f>
        <v>#REF!</v>
      </c>
      <c r="G20" s="1207" t="s">
        <v>3015</v>
      </c>
      <c r="H20" s="2922"/>
      <c r="I20" s="168"/>
      <c r="J20" s="168"/>
      <c r="K20" s="168"/>
      <c r="L20" s="168"/>
      <c r="M20" s="168"/>
      <c r="N20" s="168"/>
      <c r="O20" s="168"/>
      <c r="P20" s="168"/>
      <c r="Q20" s="168"/>
      <c r="R20" s="788"/>
      <c r="S20" s="137"/>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7"/>
    </row>
    <row r="22" spans="1:45">
      <c r="A22" s="361" t="s">
        <v>3017</v>
      </c>
      <c r="B22" s="23">
        <f>SUM(B24:B10000)</f>
        <v>100</v>
      </c>
      <c r="C22" s="3233" t="s">
        <v>33</v>
      </c>
      <c r="D22" s="3234"/>
      <c r="E22" s="3234"/>
      <c r="F22" s="3234"/>
      <c r="G22" s="3234"/>
      <c r="H22" s="3234"/>
      <c r="I22" s="3234"/>
      <c r="J22" s="3234"/>
      <c r="K22" s="3234"/>
      <c r="L22" s="3234"/>
      <c r="M22" s="3234"/>
      <c r="N22" s="3234"/>
      <c r="O22" s="3234"/>
      <c r="P22" s="3234"/>
      <c r="Q22" s="3371"/>
      <c r="R22" s="716">
        <f>ROUND(S22*10000/B22,0)</f>
        <v>10000</v>
      </c>
      <c r="S22" s="23">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8"/>
      <c r="C25" s="23">
        <f>IF(B25="",1,(LOOKUP(B25,$3:$3,$4:$4)-LOOKUP($B$24,$3:$3,$4:$4)+100)/100)</f>
        <v>1</v>
      </c>
      <c r="D25" s="720"/>
      <c r="E25" s="23">
        <f>(SUMIF($5:$5,D25,$6:$6)-SUMIF($5:$5,$D$24,$6:$6)+100)/100</f>
        <v>1</v>
      </c>
      <c r="F25" s="720"/>
      <c r="G25" s="23">
        <f>(SUMIF($7:$7,F25,$8:$8)-SUMIF($7:$7,$F$24,$8:$8)+100)/100</f>
        <v>1</v>
      </c>
      <c r="H25" s="720"/>
      <c r="I25" s="23">
        <f>(SUMIF($9:$9,H25,$10:$10)-SUMIF($9:$9,$H$24,$10:$10)+100)/100</f>
        <v>1</v>
      </c>
      <c r="J25" s="720"/>
      <c r="K25" s="23">
        <f>(SUMIF($11:$11,J25,$12:$12)-SUMIF($11:$11,$J$24,$12:$12)+100)/100</f>
        <v>1</v>
      </c>
      <c r="L25" s="720"/>
      <c r="M25" s="23">
        <f>(SUMIF($13:$13,L25,$14:$14)-SUMIF($13:$13,$L$24,$14:$14)+100)/100</f>
        <v>1</v>
      </c>
      <c r="N25" s="720"/>
      <c r="O25" s="23">
        <f>(SUMIF($15:$15,N25,$16:$16)-SUMIF($15:$15,$N$24,$16:$16)+100)/100</f>
        <v>1</v>
      </c>
      <c r="P25" s="720"/>
      <c r="Q25" s="23">
        <f>(SUMIF($17:$17,P25,$18:$18)-SUMIF($17:$17,$P$24,$18:$18)+100)/100</f>
        <v>1</v>
      </c>
      <c r="R25" s="716">
        <f>IF(B25="",0,ROUND($R$24*C25*E25*G25*I25*K25*M25*O25*Q25,0))</f>
        <v>0</v>
      </c>
      <c r="S25" s="361">
        <f t="shared" si="11"/>
        <v>0</v>
      </c>
    </row>
    <row r="26" spans="1:45">
      <c r="A26" s="159"/>
      <c r="B26" s="58"/>
      <c r="C26" s="23">
        <f t="shared" ref="C26:C89" si="12">IF(B26="",1,(LOOKUP(B26,$3:$3,$4:$4)-LOOKUP($B$24,$3:$3,$4:$4)+100)/100)</f>
        <v>1</v>
      </c>
      <c r="D26" s="720"/>
      <c r="E26" s="23">
        <f t="shared" ref="E26:E89" si="13">(SUMIF($5:$5,D26,$6:$6)-SUMIF($5:$5,$D$24,$6:$6)+100)/100</f>
        <v>1</v>
      </c>
      <c r="F26" s="720"/>
      <c r="G26" s="23">
        <f t="shared" ref="G26:G89" si="14">(SUMIF($7:$7,F26,$8:$8)-SUMIF($7:$7,$F$24,$8:$8)+100)/100</f>
        <v>1</v>
      </c>
      <c r="H26" s="720"/>
      <c r="I26" s="23">
        <f t="shared" ref="I26:I89" si="15">(SUMIF($9:$9,H26,$10:$10)-SUMIF($9:$9,$H$24,$10:$10)+100)/100</f>
        <v>1</v>
      </c>
      <c r="J26" s="720"/>
      <c r="K26" s="23">
        <f t="shared" ref="K26:K89" si="16">(SUMIF($11:$11,J26,$12:$12)-SUMIF($11:$11,$J$24,$12:$12)+100)/100</f>
        <v>1</v>
      </c>
      <c r="L26" s="720"/>
      <c r="M26" s="23">
        <f t="shared" ref="M26:M89" si="17">(SUMIF($13:$13,L26,$14:$14)-SUMIF($13:$13,$L$24,$14:$14)+100)/100</f>
        <v>1</v>
      </c>
      <c r="N26" s="720"/>
      <c r="O26" s="23">
        <f t="shared" ref="O26:O89" si="18">(SUMIF($15:$15,N26,$16:$16)-SUMIF($15:$15,$N$24,$16:$16)+100)/100</f>
        <v>1</v>
      </c>
      <c r="P26" s="720"/>
      <c r="Q26" s="23">
        <f t="shared" ref="Q26:Q89" si="19">(SUMIF($17:$17,P26,$18:$18)-SUMIF($17:$17,$P$24,$18:$18)+100)/100</f>
        <v>1</v>
      </c>
      <c r="R26" s="716">
        <f t="shared" ref="R26:R89" si="20">IF(B26="",0,ROUND($R$24*C26*E26*G26*I26*K26*M26*O26*Q26,0))</f>
        <v>0</v>
      </c>
      <c r="S26" s="361">
        <f t="shared" si="11"/>
        <v>0</v>
      </c>
    </row>
    <row r="27" spans="1:45">
      <c r="A27" s="159"/>
      <c r="B27" s="58"/>
      <c r="C27" s="23">
        <f t="shared" si="12"/>
        <v>1</v>
      </c>
      <c r="D27" s="720"/>
      <c r="E27" s="23">
        <f t="shared" si="13"/>
        <v>1</v>
      </c>
      <c r="F27" s="720"/>
      <c r="G27" s="23">
        <f t="shared" si="14"/>
        <v>1</v>
      </c>
      <c r="H27" s="720"/>
      <c r="I27" s="23">
        <f t="shared" si="15"/>
        <v>1</v>
      </c>
      <c r="J27" s="720"/>
      <c r="K27" s="23">
        <f t="shared" si="16"/>
        <v>1</v>
      </c>
      <c r="L27" s="720"/>
      <c r="M27" s="23">
        <f t="shared" si="17"/>
        <v>1</v>
      </c>
      <c r="N27" s="720"/>
      <c r="O27" s="23">
        <f t="shared" si="18"/>
        <v>1</v>
      </c>
      <c r="P27" s="720"/>
      <c r="Q27" s="23">
        <f t="shared" si="19"/>
        <v>1</v>
      </c>
      <c r="R27" s="716">
        <f t="shared" si="20"/>
        <v>0</v>
      </c>
      <c r="S27" s="361">
        <f t="shared" si="11"/>
        <v>0</v>
      </c>
    </row>
    <row r="28" spans="1:45">
      <c r="A28" s="159"/>
      <c r="B28" s="58"/>
      <c r="C28" s="23">
        <f t="shared" si="12"/>
        <v>1</v>
      </c>
      <c r="D28" s="720"/>
      <c r="E28" s="23">
        <f t="shared" si="13"/>
        <v>1</v>
      </c>
      <c r="F28" s="720"/>
      <c r="G28" s="23">
        <f t="shared" si="14"/>
        <v>1</v>
      </c>
      <c r="H28" s="720"/>
      <c r="I28" s="23">
        <f t="shared" si="15"/>
        <v>1</v>
      </c>
      <c r="J28" s="720"/>
      <c r="K28" s="23">
        <f t="shared" si="16"/>
        <v>1</v>
      </c>
      <c r="L28" s="720"/>
      <c r="M28" s="23">
        <f t="shared" si="17"/>
        <v>1</v>
      </c>
      <c r="N28" s="720"/>
      <c r="O28" s="23">
        <f t="shared" si="18"/>
        <v>1</v>
      </c>
      <c r="P28" s="720"/>
      <c r="Q28" s="23">
        <f t="shared" si="19"/>
        <v>1</v>
      </c>
      <c r="R28" s="716">
        <f t="shared" si="20"/>
        <v>0</v>
      </c>
      <c r="S28" s="361">
        <f t="shared" si="11"/>
        <v>0</v>
      </c>
    </row>
    <row r="29" spans="1:45">
      <c r="A29" s="159"/>
      <c r="B29" s="58"/>
      <c r="C29" s="23">
        <f t="shared" si="12"/>
        <v>1</v>
      </c>
      <c r="D29" s="720"/>
      <c r="E29" s="23">
        <f t="shared" si="13"/>
        <v>1</v>
      </c>
      <c r="F29" s="720"/>
      <c r="G29" s="23">
        <f t="shared" si="14"/>
        <v>1</v>
      </c>
      <c r="H29" s="720"/>
      <c r="I29" s="23">
        <f t="shared" si="15"/>
        <v>1</v>
      </c>
      <c r="J29" s="720"/>
      <c r="K29" s="23">
        <f t="shared" si="16"/>
        <v>1</v>
      </c>
      <c r="L29" s="720"/>
      <c r="M29" s="23">
        <f t="shared" si="17"/>
        <v>1</v>
      </c>
      <c r="N29" s="720"/>
      <c r="O29" s="23">
        <f t="shared" si="18"/>
        <v>1</v>
      </c>
      <c r="P29" s="720"/>
      <c r="Q29" s="23">
        <f t="shared" si="19"/>
        <v>1</v>
      </c>
      <c r="R29" s="716">
        <f t="shared" si="20"/>
        <v>0</v>
      </c>
      <c r="S29" s="361">
        <f t="shared" si="11"/>
        <v>0</v>
      </c>
    </row>
    <row r="30" spans="1:45">
      <c r="A30" s="159"/>
      <c r="B30" s="58"/>
      <c r="C30" s="23">
        <f t="shared" si="12"/>
        <v>1</v>
      </c>
      <c r="D30" s="720"/>
      <c r="E30" s="23">
        <f t="shared" si="13"/>
        <v>1</v>
      </c>
      <c r="F30" s="720"/>
      <c r="G30" s="23">
        <f t="shared" si="14"/>
        <v>1</v>
      </c>
      <c r="H30" s="720"/>
      <c r="I30" s="23">
        <f t="shared" si="15"/>
        <v>1</v>
      </c>
      <c r="J30" s="720"/>
      <c r="K30" s="23">
        <f t="shared" si="16"/>
        <v>1</v>
      </c>
      <c r="L30" s="720"/>
      <c r="M30" s="23">
        <f t="shared" si="17"/>
        <v>1</v>
      </c>
      <c r="N30" s="720"/>
      <c r="O30" s="23">
        <f t="shared" si="18"/>
        <v>1</v>
      </c>
      <c r="P30" s="720"/>
      <c r="Q30" s="23">
        <f t="shared" si="19"/>
        <v>1</v>
      </c>
      <c r="R30" s="716">
        <f t="shared" si="20"/>
        <v>0</v>
      </c>
      <c r="S30" s="361">
        <f t="shared" si="11"/>
        <v>0</v>
      </c>
    </row>
    <row r="31" spans="1:45">
      <c r="A31" s="159"/>
      <c r="B31" s="58"/>
      <c r="C31" s="23">
        <f t="shared" si="12"/>
        <v>1</v>
      </c>
      <c r="D31" s="720"/>
      <c r="E31" s="23">
        <f t="shared" si="13"/>
        <v>1</v>
      </c>
      <c r="F31" s="720"/>
      <c r="G31" s="23">
        <f t="shared" si="14"/>
        <v>1</v>
      </c>
      <c r="H31" s="720"/>
      <c r="I31" s="23">
        <f t="shared" si="15"/>
        <v>1</v>
      </c>
      <c r="J31" s="720"/>
      <c r="K31" s="23">
        <f t="shared" si="16"/>
        <v>1</v>
      </c>
      <c r="L31" s="720"/>
      <c r="M31" s="23">
        <f t="shared" si="17"/>
        <v>1</v>
      </c>
      <c r="N31" s="720"/>
      <c r="O31" s="23">
        <f t="shared" si="18"/>
        <v>1</v>
      </c>
      <c r="P31" s="720"/>
      <c r="Q31" s="23">
        <f t="shared" si="19"/>
        <v>1</v>
      </c>
      <c r="R31" s="716">
        <f t="shared" si="20"/>
        <v>0</v>
      </c>
      <c r="S31" s="361">
        <f t="shared" si="11"/>
        <v>0</v>
      </c>
    </row>
    <row r="32" spans="1:45">
      <c r="A32" s="159"/>
      <c r="B32" s="58"/>
      <c r="C32" s="23">
        <f t="shared" si="12"/>
        <v>1</v>
      </c>
      <c r="D32" s="720"/>
      <c r="E32" s="23">
        <f t="shared" si="13"/>
        <v>1</v>
      </c>
      <c r="F32" s="720"/>
      <c r="G32" s="23">
        <f t="shared" si="14"/>
        <v>1</v>
      </c>
      <c r="H32" s="720"/>
      <c r="I32" s="23">
        <f t="shared" si="15"/>
        <v>1</v>
      </c>
      <c r="J32" s="720"/>
      <c r="K32" s="23">
        <f t="shared" si="16"/>
        <v>1</v>
      </c>
      <c r="L32" s="720"/>
      <c r="M32" s="23">
        <f t="shared" si="17"/>
        <v>1</v>
      </c>
      <c r="N32" s="720"/>
      <c r="O32" s="23">
        <f t="shared" si="18"/>
        <v>1</v>
      </c>
      <c r="P32" s="720"/>
      <c r="Q32" s="23">
        <f t="shared" si="19"/>
        <v>1</v>
      </c>
      <c r="R32" s="716">
        <f t="shared" si="20"/>
        <v>0</v>
      </c>
      <c r="S32" s="361">
        <f t="shared" si="11"/>
        <v>0</v>
      </c>
    </row>
    <row r="33" spans="1:19">
      <c r="A33" s="159"/>
      <c r="B33" s="58"/>
      <c r="C33" s="23">
        <f t="shared" si="12"/>
        <v>1</v>
      </c>
      <c r="D33" s="720"/>
      <c r="E33" s="23">
        <f t="shared" si="13"/>
        <v>1</v>
      </c>
      <c r="F33" s="720"/>
      <c r="G33" s="23">
        <f t="shared" si="14"/>
        <v>1</v>
      </c>
      <c r="H33" s="720"/>
      <c r="I33" s="23">
        <f t="shared" si="15"/>
        <v>1</v>
      </c>
      <c r="J33" s="720"/>
      <c r="K33" s="23">
        <f t="shared" si="16"/>
        <v>1</v>
      </c>
      <c r="L33" s="720"/>
      <c r="M33" s="23">
        <f t="shared" si="17"/>
        <v>1</v>
      </c>
      <c r="N33" s="720"/>
      <c r="O33" s="23">
        <f t="shared" si="18"/>
        <v>1</v>
      </c>
      <c r="P33" s="720"/>
      <c r="Q33" s="23">
        <f t="shared" si="19"/>
        <v>1</v>
      </c>
      <c r="R33" s="716">
        <f t="shared" si="20"/>
        <v>0</v>
      </c>
      <c r="S33" s="361">
        <f t="shared" si="11"/>
        <v>0</v>
      </c>
    </row>
    <row r="34" spans="1:19">
      <c r="A34" s="159"/>
      <c r="B34" s="58"/>
      <c r="C34" s="23">
        <f t="shared" si="12"/>
        <v>1</v>
      </c>
      <c r="D34" s="720"/>
      <c r="E34" s="23">
        <f t="shared" si="13"/>
        <v>1</v>
      </c>
      <c r="F34" s="720"/>
      <c r="G34" s="23">
        <f t="shared" si="14"/>
        <v>1</v>
      </c>
      <c r="H34" s="720"/>
      <c r="I34" s="23">
        <f t="shared" si="15"/>
        <v>1</v>
      </c>
      <c r="J34" s="720"/>
      <c r="K34" s="23">
        <f t="shared" si="16"/>
        <v>1</v>
      </c>
      <c r="L34" s="720"/>
      <c r="M34" s="23">
        <f t="shared" si="17"/>
        <v>1</v>
      </c>
      <c r="N34" s="720"/>
      <c r="O34" s="23">
        <f t="shared" si="18"/>
        <v>1</v>
      </c>
      <c r="P34" s="720"/>
      <c r="Q34" s="23">
        <f t="shared" si="19"/>
        <v>1</v>
      </c>
      <c r="R34" s="716">
        <f t="shared" si="20"/>
        <v>0</v>
      </c>
      <c r="S34" s="361">
        <f t="shared" si="11"/>
        <v>0</v>
      </c>
    </row>
    <row r="35" spans="1:19">
      <c r="A35" s="159"/>
      <c r="B35" s="58"/>
      <c r="C35" s="23">
        <f t="shared" si="12"/>
        <v>1</v>
      </c>
      <c r="D35" s="720"/>
      <c r="E35" s="23">
        <f t="shared" si="13"/>
        <v>1</v>
      </c>
      <c r="F35" s="720"/>
      <c r="G35" s="23">
        <f t="shared" si="14"/>
        <v>1</v>
      </c>
      <c r="H35" s="720"/>
      <c r="I35" s="23">
        <f t="shared" si="15"/>
        <v>1</v>
      </c>
      <c r="J35" s="720"/>
      <c r="K35" s="23">
        <f t="shared" si="16"/>
        <v>1</v>
      </c>
      <c r="L35" s="720"/>
      <c r="M35" s="23">
        <f t="shared" si="17"/>
        <v>1</v>
      </c>
      <c r="N35" s="720"/>
      <c r="O35" s="23">
        <f t="shared" si="18"/>
        <v>1</v>
      </c>
      <c r="P35" s="720"/>
      <c r="Q35" s="23">
        <f t="shared" si="19"/>
        <v>1</v>
      </c>
      <c r="R35" s="716">
        <f t="shared" si="20"/>
        <v>0</v>
      </c>
      <c r="S35" s="361">
        <f t="shared" si="11"/>
        <v>0</v>
      </c>
    </row>
    <row r="36" spans="1:19">
      <c r="A36" s="159"/>
      <c r="B36" s="58"/>
      <c r="C36" s="23">
        <f t="shared" si="12"/>
        <v>1</v>
      </c>
      <c r="D36" s="720"/>
      <c r="E36" s="23">
        <f t="shared" si="13"/>
        <v>1</v>
      </c>
      <c r="F36" s="720"/>
      <c r="G36" s="23">
        <f t="shared" si="14"/>
        <v>1</v>
      </c>
      <c r="H36" s="720"/>
      <c r="I36" s="23">
        <f t="shared" si="15"/>
        <v>1</v>
      </c>
      <c r="J36" s="720"/>
      <c r="K36" s="23">
        <f t="shared" si="16"/>
        <v>1</v>
      </c>
      <c r="L36" s="720"/>
      <c r="M36" s="23">
        <f t="shared" si="17"/>
        <v>1</v>
      </c>
      <c r="N36" s="720"/>
      <c r="O36" s="23">
        <f t="shared" si="18"/>
        <v>1</v>
      </c>
      <c r="P36" s="720"/>
      <c r="Q36" s="23">
        <f t="shared" si="19"/>
        <v>1</v>
      </c>
      <c r="R36" s="716">
        <f t="shared" si="20"/>
        <v>0</v>
      </c>
      <c r="S36" s="361">
        <f t="shared" si="11"/>
        <v>0</v>
      </c>
    </row>
    <row r="37" spans="1:19">
      <c r="A37" s="159"/>
      <c r="B37" s="58"/>
      <c r="C37" s="23">
        <f t="shared" si="12"/>
        <v>1</v>
      </c>
      <c r="D37" s="720"/>
      <c r="E37" s="23">
        <f t="shared" si="13"/>
        <v>1</v>
      </c>
      <c r="F37" s="720"/>
      <c r="G37" s="23">
        <f t="shared" si="14"/>
        <v>1</v>
      </c>
      <c r="H37" s="720"/>
      <c r="I37" s="23">
        <f t="shared" si="15"/>
        <v>1</v>
      </c>
      <c r="J37" s="720"/>
      <c r="K37" s="23">
        <f t="shared" si="16"/>
        <v>1</v>
      </c>
      <c r="L37" s="720"/>
      <c r="M37" s="23">
        <f t="shared" si="17"/>
        <v>1</v>
      </c>
      <c r="N37" s="720"/>
      <c r="O37" s="23">
        <f t="shared" si="18"/>
        <v>1</v>
      </c>
      <c r="P37" s="720"/>
      <c r="Q37" s="23">
        <f t="shared" si="19"/>
        <v>1</v>
      </c>
      <c r="R37" s="716">
        <f t="shared" si="20"/>
        <v>0</v>
      </c>
      <c r="S37" s="361">
        <f t="shared" si="11"/>
        <v>0</v>
      </c>
    </row>
    <row r="38" spans="1:19">
      <c r="A38" s="159"/>
      <c r="B38" s="58"/>
      <c r="C38" s="23">
        <f t="shared" si="12"/>
        <v>1</v>
      </c>
      <c r="D38" s="720"/>
      <c r="E38" s="23">
        <f t="shared" si="13"/>
        <v>1</v>
      </c>
      <c r="F38" s="720"/>
      <c r="G38" s="23">
        <f t="shared" si="14"/>
        <v>1</v>
      </c>
      <c r="H38" s="720"/>
      <c r="I38" s="23">
        <f t="shared" si="15"/>
        <v>1</v>
      </c>
      <c r="J38" s="720"/>
      <c r="K38" s="23">
        <f t="shared" si="16"/>
        <v>1</v>
      </c>
      <c r="L38" s="720"/>
      <c r="M38" s="23">
        <f t="shared" si="17"/>
        <v>1</v>
      </c>
      <c r="N38" s="720"/>
      <c r="O38" s="23">
        <f t="shared" si="18"/>
        <v>1</v>
      </c>
      <c r="P38" s="720"/>
      <c r="Q38" s="23">
        <f t="shared" si="19"/>
        <v>1</v>
      </c>
      <c r="R38" s="716">
        <f t="shared" si="20"/>
        <v>0</v>
      </c>
      <c r="S38" s="361">
        <f t="shared" si="11"/>
        <v>0</v>
      </c>
    </row>
    <row r="39" spans="1:19">
      <c r="A39" s="159"/>
      <c r="B39" s="58"/>
      <c r="C39" s="23">
        <f t="shared" si="12"/>
        <v>1</v>
      </c>
      <c r="D39" s="720"/>
      <c r="E39" s="23">
        <f t="shared" si="13"/>
        <v>1</v>
      </c>
      <c r="F39" s="720"/>
      <c r="G39" s="23">
        <f t="shared" si="14"/>
        <v>1</v>
      </c>
      <c r="H39" s="720"/>
      <c r="I39" s="23">
        <f t="shared" si="15"/>
        <v>1</v>
      </c>
      <c r="J39" s="720"/>
      <c r="K39" s="23">
        <f t="shared" si="16"/>
        <v>1</v>
      </c>
      <c r="L39" s="720"/>
      <c r="M39" s="23">
        <f t="shared" si="17"/>
        <v>1</v>
      </c>
      <c r="N39" s="720"/>
      <c r="O39" s="23">
        <f t="shared" si="18"/>
        <v>1</v>
      </c>
      <c r="P39" s="720"/>
      <c r="Q39" s="23">
        <f t="shared" si="19"/>
        <v>1</v>
      </c>
      <c r="R39" s="716">
        <f t="shared" si="20"/>
        <v>0</v>
      </c>
      <c r="S39" s="361">
        <f t="shared" si="11"/>
        <v>0</v>
      </c>
    </row>
    <row r="40" spans="1:19">
      <c r="A40" s="159"/>
      <c r="B40" s="58"/>
      <c r="C40" s="23">
        <f t="shared" si="12"/>
        <v>1</v>
      </c>
      <c r="D40" s="720"/>
      <c r="E40" s="23">
        <f t="shared" si="13"/>
        <v>1</v>
      </c>
      <c r="F40" s="720"/>
      <c r="G40" s="23">
        <f t="shared" si="14"/>
        <v>1</v>
      </c>
      <c r="H40" s="720"/>
      <c r="I40" s="23">
        <f t="shared" si="15"/>
        <v>1</v>
      </c>
      <c r="J40" s="720"/>
      <c r="K40" s="23">
        <f t="shared" si="16"/>
        <v>1</v>
      </c>
      <c r="L40" s="720"/>
      <c r="M40" s="23">
        <f t="shared" si="17"/>
        <v>1</v>
      </c>
      <c r="N40" s="720"/>
      <c r="O40" s="23">
        <f t="shared" si="18"/>
        <v>1</v>
      </c>
      <c r="P40" s="720"/>
      <c r="Q40" s="23">
        <f t="shared" si="19"/>
        <v>1</v>
      </c>
      <c r="R40" s="716">
        <f t="shared" si="20"/>
        <v>0</v>
      </c>
      <c r="S40" s="361">
        <f t="shared" si="11"/>
        <v>0</v>
      </c>
    </row>
    <row r="41" spans="1:19">
      <c r="A41" s="159"/>
      <c r="B41" s="58"/>
      <c r="C41" s="23">
        <f t="shared" si="12"/>
        <v>1</v>
      </c>
      <c r="D41" s="720"/>
      <c r="E41" s="23">
        <f t="shared" si="13"/>
        <v>1</v>
      </c>
      <c r="F41" s="720"/>
      <c r="G41" s="23">
        <f t="shared" si="14"/>
        <v>1</v>
      </c>
      <c r="H41" s="720"/>
      <c r="I41" s="23">
        <f t="shared" si="15"/>
        <v>1</v>
      </c>
      <c r="J41" s="720"/>
      <c r="K41" s="23">
        <f t="shared" si="16"/>
        <v>1</v>
      </c>
      <c r="L41" s="720"/>
      <c r="M41" s="23">
        <f t="shared" si="17"/>
        <v>1</v>
      </c>
      <c r="N41" s="720"/>
      <c r="O41" s="23">
        <f t="shared" si="18"/>
        <v>1</v>
      </c>
      <c r="P41" s="720"/>
      <c r="Q41" s="23">
        <f t="shared" si="19"/>
        <v>1</v>
      </c>
      <c r="R41" s="716">
        <f t="shared" si="20"/>
        <v>0</v>
      </c>
      <c r="S41" s="361">
        <f t="shared" si="11"/>
        <v>0</v>
      </c>
    </row>
    <row r="42" spans="1:19">
      <c r="A42" s="159"/>
      <c r="B42" s="58"/>
      <c r="C42" s="23">
        <f t="shared" si="12"/>
        <v>1</v>
      </c>
      <c r="D42" s="720"/>
      <c r="E42" s="23">
        <f t="shared" si="13"/>
        <v>1</v>
      </c>
      <c r="F42" s="720"/>
      <c r="G42" s="23">
        <f t="shared" si="14"/>
        <v>1</v>
      </c>
      <c r="H42" s="720"/>
      <c r="I42" s="23">
        <f t="shared" si="15"/>
        <v>1</v>
      </c>
      <c r="J42" s="720"/>
      <c r="K42" s="23">
        <f t="shared" si="16"/>
        <v>1</v>
      </c>
      <c r="L42" s="720"/>
      <c r="M42" s="23">
        <f t="shared" si="17"/>
        <v>1</v>
      </c>
      <c r="N42" s="720"/>
      <c r="O42" s="23">
        <f t="shared" si="18"/>
        <v>1</v>
      </c>
      <c r="P42" s="720"/>
      <c r="Q42" s="23">
        <f t="shared" si="19"/>
        <v>1</v>
      </c>
      <c r="R42" s="716">
        <f t="shared" si="20"/>
        <v>0</v>
      </c>
      <c r="S42" s="361">
        <f t="shared" si="11"/>
        <v>0</v>
      </c>
    </row>
    <row r="43" spans="1:19">
      <c r="A43" s="159"/>
      <c r="B43" s="58"/>
      <c r="C43" s="23">
        <f t="shared" si="12"/>
        <v>1</v>
      </c>
      <c r="D43" s="720"/>
      <c r="E43" s="23">
        <f t="shared" si="13"/>
        <v>1</v>
      </c>
      <c r="F43" s="720"/>
      <c r="G43" s="23">
        <f t="shared" si="14"/>
        <v>1</v>
      </c>
      <c r="H43" s="720"/>
      <c r="I43" s="23">
        <f t="shared" si="15"/>
        <v>1</v>
      </c>
      <c r="J43" s="720"/>
      <c r="K43" s="23">
        <f t="shared" si="16"/>
        <v>1</v>
      </c>
      <c r="L43" s="720"/>
      <c r="M43" s="23">
        <f t="shared" si="17"/>
        <v>1</v>
      </c>
      <c r="N43" s="720"/>
      <c r="O43" s="23">
        <f t="shared" si="18"/>
        <v>1</v>
      </c>
      <c r="P43" s="720"/>
      <c r="Q43" s="23">
        <f t="shared" si="19"/>
        <v>1</v>
      </c>
      <c r="R43" s="716">
        <f t="shared" si="20"/>
        <v>0</v>
      </c>
      <c r="S43" s="361">
        <f t="shared" si="11"/>
        <v>0</v>
      </c>
    </row>
    <row r="44" spans="1:19">
      <c r="A44" s="159"/>
      <c r="B44" s="58"/>
      <c r="C44" s="23">
        <f t="shared" si="12"/>
        <v>1</v>
      </c>
      <c r="D44" s="720"/>
      <c r="E44" s="23">
        <f t="shared" si="13"/>
        <v>1</v>
      </c>
      <c r="F44" s="720"/>
      <c r="G44" s="23">
        <f t="shared" si="14"/>
        <v>1</v>
      </c>
      <c r="H44" s="720"/>
      <c r="I44" s="23">
        <f t="shared" si="15"/>
        <v>1</v>
      </c>
      <c r="J44" s="720"/>
      <c r="K44" s="23">
        <f t="shared" si="16"/>
        <v>1</v>
      </c>
      <c r="L44" s="720"/>
      <c r="M44" s="23">
        <f t="shared" si="17"/>
        <v>1</v>
      </c>
      <c r="N44" s="720"/>
      <c r="O44" s="23">
        <f t="shared" si="18"/>
        <v>1</v>
      </c>
      <c r="P44" s="720"/>
      <c r="Q44" s="23">
        <f t="shared" si="19"/>
        <v>1</v>
      </c>
      <c r="R44" s="716">
        <f t="shared" si="20"/>
        <v>0</v>
      </c>
      <c r="S44" s="361">
        <f t="shared" si="11"/>
        <v>0</v>
      </c>
    </row>
    <row r="45" spans="1:19">
      <c r="A45" s="159"/>
      <c r="B45" s="58"/>
      <c r="C45" s="23">
        <f t="shared" si="12"/>
        <v>1</v>
      </c>
      <c r="D45" s="720"/>
      <c r="E45" s="23">
        <f t="shared" si="13"/>
        <v>1</v>
      </c>
      <c r="F45" s="720"/>
      <c r="G45" s="23">
        <f t="shared" si="14"/>
        <v>1</v>
      </c>
      <c r="H45" s="720"/>
      <c r="I45" s="23">
        <f t="shared" si="15"/>
        <v>1</v>
      </c>
      <c r="J45" s="720"/>
      <c r="K45" s="23">
        <f t="shared" si="16"/>
        <v>1</v>
      </c>
      <c r="L45" s="720"/>
      <c r="M45" s="23">
        <f t="shared" si="17"/>
        <v>1</v>
      </c>
      <c r="N45" s="720"/>
      <c r="O45" s="23">
        <f t="shared" si="18"/>
        <v>1</v>
      </c>
      <c r="P45" s="720"/>
      <c r="Q45" s="23">
        <f t="shared" si="19"/>
        <v>1</v>
      </c>
      <c r="R45" s="716">
        <f t="shared" si="20"/>
        <v>0</v>
      </c>
      <c r="S45" s="361">
        <f t="shared" si="11"/>
        <v>0</v>
      </c>
    </row>
    <row r="46" spans="1:19">
      <c r="A46" s="159"/>
      <c r="B46" s="58"/>
      <c r="C46" s="23">
        <f t="shared" si="12"/>
        <v>1</v>
      </c>
      <c r="D46" s="720"/>
      <c r="E46" s="23">
        <f t="shared" si="13"/>
        <v>1</v>
      </c>
      <c r="F46" s="720"/>
      <c r="G46" s="23">
        <f t="shared" si="14"/>
        <v>1</v>
      </c>
      <c r="H46" s="720"/>
      <c r="I46" s="23">
        <f t="shared" si="15"/>
        <v>1</v>
      </c>
      <c r="J46" s="720"/>
      <c r="K46" s="23">
        <f t="shared" si="16"/>
        <v>1</v>
      </c>
      <c r="L46" s="720"/>
      <c r="M46" s="23">
        <f t="shared" si="17"/>
        <v>1</v>
      </c>
      <c r="N46" s="720"/>
      <c r="O46" s="23">
        <f t="shared" si="18"/>
        <v>1</v>
      </c>
      <c r="P46" s="720"/>
      <c r="Q46" s="23">
        <f t="shared" si="19"/>
        <v>1</v>
      </c>
      <c r="R46" s="716">
        <f t="shared" si="20"/>
        <v>0</v>
      </c>
      <c r="S46" s="361">
        <f t="shared" si="11"/>
        <v>0</v>
      </c>
    </row>
    <row r="47" spans="1:19">
      <c r="A47" s="159"/>
      <c r="B47" s="58"/>
      <c r="C47" s="23">
        <f t="shared" si="12"/>
        <v>1</v>
      </c>
      <c r="D47" s="720"/>
      <c r="E47" s="23">
        <f t="shared" si="13"/>
        <v>1</v>
      </c>
      <c r="F47" s="720"/>
      <c r="G47" s="23">
        <f t="shared" si="14"/>
        <v>1</v>
      </c>
      <c r="H47" s="720"/>
      <c r="I47" s="23">
        <f t="shared" si="15"/>
        <v>1</v>
      </c>
      <c r="J47" s="720"/>
      <c r="K47" s="23">
        <f t="shared" si="16"/>
        <v>1</v>
      </c>
      <c r="L47" s="720"/>
      <c r="M47" s="23">
        <f t="shared" si="17"/>
        <v>1</v>
      </c>
      <c r="N47" s="720"/>
      <c r="O47" s="23">
        <f t="shared" si="18"/>
        <v>1</v>
      </c>
      <c r="P47" s="720"/>
      <c r="Q47" s="23">
        <f t="shared" si="19"/>
        <v>1</v>
      </c>
      <c r="R47" s="716">
        <f t="shared" si="20"/>
        <v>0</v>
      </c>
      <c r="S47" s="361">
        <f t="shared" si="11"/>
        <v>0</v>
      </c>
    </row>
    <row r="48" spans="1:19">
      <c r="A48" s="159"/>
      <c r="B48" s="58"/>
      <c r="C48" s="23">
        <f t="shared" si="12"/>
        <v>1</v>
      </c>
      <c r="D48" s="720"/>
      <c r="E48" s="23">
        <f t="shared" si="13"/>
        <v>1</v>
      </c>
      <c r="F48" s="720"/>
      <c r="G48" s="23">
        <f t="shared" si="14"/>
        <v>1</v>
      </c>
      <c r="H48" s="720"/>
      <c r="I48" s="23">
        <f t="shared" si="15"/>
        <v>1</v>
      </c>
      <c r="J48" s="720"/>
      <c r="K48" s="23">
        <f t="shared" si="16"/>
        <v>1</v>
      </c>
      <c r="L48" s="720"/>
      <c r="M48" s="23">
        <f t="shared" si="17"/>
        <v>1</v>
      </c>
      <c r="N48" s="720"/>
      <c r="O48" s="23">
        <f t="shared" si="18"/>
        <v>1</v>
      </c>
      <c r="P48" s="720"/>
      <c r="Q48" s="23">
        <f t="shared" si="19"/>
        <v>1</v>
      </c>
      <c r="R48" s="716">
        <f t="shared" si="20"/>
        <v>0</v>
      </c>
      <c r="S48" s="361">
        <f t="shared" si="11"/>
        <v>0</v>
      </c>
    </row>
    <row r="49" spans="1:19">
      <c r="A49" s="159"/>
      <c r="B49" s="58"/>
      <c r="C49" s="23">
        <f t="shared" si="12"/>
        <v>1</v>
      </c>
      <c r="D49" s="720"/>
      <c r="E49" s="23">
        <f t="shared" si="13"/>
        <v>1</v>
      </c>
      <c r="F49" s="720"/>
      <c r="G49" s="23">
        <f t="shared" si="14"/>
        <v>1</v>
      </c>
      <c r="H49" s="720"/>
      <c r="I49" s="23">
        <f t="shared" si="15"/>
        <v>1</v>
      </c>
      <c r="J49" s="720"/>
      <c r="K49" s="23">
        <f t="shared" si="16"/>
        <v>1</v>
      </c>
      <c r="L49" s="720"/>
      <c r="M49" s="23">
        <f t="shared" si="17"/>
        <v>1</v>
      </c>
      <c r="N49" s="720"/>
      <c r="O49" s="23">
        <f t="shared" si="18"/>
        <v>1</v>
      </c>
      <c r="P49" s="720"/>
      <c r="Q49" s="23">
        <f t="shared" si="19"/>
        <v>1</v>
      </c>
      <c r="R49" s="716">
        <f t="shared" si="20"/>
        <v>0</v>
      </c>
      <c r="S49" s="361">
        <f t="shared" si="11"/>
        <v>0</v>
      </c>
    </row>
    <row r="50" spans="1:19">
      <c r="A50" s="159"/>
      <c r="B50" s="58"/>
      <c r="C50" s="23">
        <f t="shared" si="12"/>
        <v>1</v>
      </c>
      <c r="D50" s="720"/>
      <c r="E50" s="23">
        <f t="shared" si="13"/>
        <v>1</v>
      </c>
      <c r="F50" s="720"/>
      <c r="G50" s="23">
        <f t="shared" si="14"/>
        <v>1</v>
      </c>
      <c r="H50" s="720"/>
      <c r="I50" s="23">
        <f t="shared" si="15"/>
        <v>1</v>
      </c>
      <c r="J50" s="720"/>
      <c r="K50" s="23">
        <f t="shared" si="16"/>
        <v>1</v>
      </c>
      <c r="L50" s="720"/>
      <c r="M50" s="23">
        <f t="shared" si="17"/>
        <v>1</v>
      </c>
      <c r="N50" s="720"/>
      <c r="O50" s="23">
        <f t="shared" si="18"/>
        <v>1</v>
      </c>
      <c r="P50" s="720"/>
      <c r="Q50" s="23">
        <f t="shared" si="19"/>
        <v>1</v>
      </c>
      <c r="R50" s="716">
        <f t="shared" si="20"/>
        <v>0</v>
      </c>
      <c r="S50" s="361">
        <f t="shared" si="11"/>
        <v>0</v>
      </c>
    </row>
    <row r="51" spans="1:19">
      <c r="A51" s="159"/>
      <c r="B51" s="58"/>
      <c r="C51" s="23">
        <f t="shared" si="12"/>
        <v>1</v>
      </c>
      <c r="D51" s="720"/>
      <c r="E51" s="23">
        <f t="shared" si="13"/>
        <v>1</v>
      </c>
      <c r="F51" s="720"/>
      <c r="G51" s="23">
        <f t="shared" si="14"/>
        <v>1</v>
      </c>
      <c r="H51" s="720"/>
      <c r="I51" s="23">
        <f t="shared" si="15"/>
        <v>1</v>
      </c>
      <c r="J51" s="720"/>
      <c r="K51" s="23">
        <f t="shared" si="16"/>
        <v>1</v>
      </c>
      <c r="L51" s="720"/>
      <c r="M51" s="23">
        <f t="shared" si="17"/>
        <v>1</v>
      </c>
      <c r="N51" s="720"/>
      <c r="O51" s="23">
        <f t="shared" si="18"/>
        <v>1</v>
      </c>
      <c r="P51" s="720"/>
      <c r="Q51" s="23">
        <f t="shared" si="19"/>
        <v>1</v>
      </c>
      <c r="R51" s="716">
        <f t="shared" si="20"/>
        <v>0</v>
      </c>
      <c r="S51" s="361">
        <f t="shared" si="11"/>
        <v>0</v>
      </c>
    </row>
    <row r="52" spans="1:19">
      <c r="A52" s="159"/>
      <c r="B52" s="58"/>
      <c r="C52" s="23">
        <f t="shared" si="12"/>
        <v>1</v>
      </c>
      <c r="D52" s="720"/>
      <c r="E52" s="23">
        <f t="shared" si="13"/>
        <v>1</v>
      </c>
      <c r="F52" s="720"/>
      <c r="G52" s="23">
        <f t="shared" si="14"/>
        <v>1</v>
      </c>
      <c r="H52" s="720"/>
      <c r="I52" s="23">
        <f t="shared" si="15"/>
        <v>1</v>
      </c>
      <c r="J52" s="720"/>
      <c r="K52" s="23">
        <f t="shared" si="16"/>
        <v>1</v>
      </c>
      <c r="L52" s="720"/>
      <c r="M52" s="23">
        <f t="shared" si="17"/>
        <v>1</v>
      </c>
      <c r="N52" s="720"/>
      <c r="O52" s="23">
        <f t="shared" si="18"/>
        <v>1</v>
      </c>
      <c r="P52" s="720"/>
      <c r="Q52" s="23">
        <f t="shared" si="19"/>
        <v>1</v>
      </c>
      <c r="R52" s="716">
        <f t="shared" si="20"/>
        <v>0</v>
      </c>
      <c r="S52" s="361">
        <f t="shared" si="11"/>
        <v>0</v>
      </c>
    </row>
    <row r="53" spans="1:19">
      <c r="A53" s="159"/>
      <c r="B53" s="58"/>
      <c r="C53" s="23">
        <f t="shared" si="12"/>
        <v>1</v>
      </c>
      <c r="D53" s="720"/>
      <c r="E53" s="23">
        <f t="shared" si="13"/>
        <v>1</v>
      </c>
      <c r="F53" s="720"/>
      <c r="G53" s="23">
        <f t="shared" si="14"/>
        <v>1</v>
      </c>
      <c r="H53" s="720"/>
      <c r="I53" s="23">
        <f t="shared" si="15"/>
        <v>1</v>
      </c>
      <c r="J53" s="720"/>
      <c r="K53" s="23">
        <f t="shared" si="16"/>
        <v>1</v>
      </c>
      <c r="L53" s="720"/>
      <c r="M53" s="23">
        <f t="shared" si="17"/>
        <v>1</v>
      </c>
      <c r="N53" s="720"/>
      <c r="O53" s="23">
        <f t="shared" si="18"/>
        <v>1</v>
      </c>
      <c r="P53" s="720"/>
      <c r="Q53" s="23">
        <f t="shared" si="19"/>
        <v>1</v>
      </c>
      <c r="R53" s="716">
        <f t="shared" si="20"/>
        <v>0</v>
      </c>
      <c r="S53" s="361">
        <f t="shared" si="11"/>
        <v>0</v>
      </c>
    </row>
    <row r="54" spans="1:19">
      <c r="A54" s="159"/>
      <c r="B54" s="58"/>
      <c r="C54" s="23">
        <f t="shared" si="12"/>
        <v>1</v>
      </c>
      <c r="D54" s="720"/>
      <c r="E54" s="23">
        <f t="shared" si="13"/>
        <v>1</v>
      </c>
      <c r="F54" s="720"/>
      <c r="G54" s="23">
        <f t="shared" si="14"/>
        <v>1</v>
      </c>
      <c r="H54" s="720"/>
      <c r="I54" s="23">
        <f t="shared" si="15"/>
        <v>1</v>
      </c>
      <c r="J54" s="720"/>
      <c r="K54" s="23">
        <f t="shared" si="16"/>
        <v>1</v>
      </c>
      <c r="L54" s="720"/>
      <c r="M54" s="23">
        <f t="shared" si="17"/>
        <v>1</v>
      </c>
      <c r="N54" s="720"/>
      <c r="O54" s="23">
        <f t="shared" si="18"/>
        <v>1</v>
      </c>
      <c r="P54" s="720"/>
      <c r="Q54" s="23">
        <f t="shared" si="19"/>
        <v>1</v>
      </c>
      <c r="R54" s="716">
        <f t="shared" si="20"/>
        <v>0</v>
      </c>
      <c r="S54" s="361">
        <f t="shared" si="11"/>
        <v>0</v>
      </c>
    </row>
    <row r="55" spans="1:19">
      <c r="A55" s="159"/>
      <c r="B55" s="58"/>
      <c r="C55" s="23">
        <f t="shared" si="12"/>
        <v>1</v>
      </c>
      <c r="D55" s="720"/>
      <c r="E55" s="23">
        <f t="shared" si="13"/>
        <v>1</v>
      </c>
      <c r="F55" s="720"/>
      <c r="G55" s="23">
        <f t="shared" si="14"/>
        <v>1</v>
      </c>
      <c r="H55" s="720"/>
      <c r="I55" s="23">
        <f t="shared" si="15"/>
        <v>1</v>
      </c>
      <c r="J55" s="720"/>
      <c r="K55" s="23">
        <f t="shared" si="16"/>
        <v>1</v>
      </c>
      <c r="L55" s="720"/>
      <c r="M55" s="23">
        <f t="shared" si="17"/>
        <v>1</v>
      </c>
      <c r="N55" s="720"/>
      <c r="O55" s="23">
        <f t="shared" si="18"/>
        <v>1</v>
      </c>
      <c r="P55" s="720"/>
      <c r="Q55" s="23">
        <f t="shared" si="19"/>
        <v>1</v>
      </c>
      <c r="R55" s="716">
        <f t="shared" si="20"/>
        <v>0</v>
      </c>
      <c r="S55" s="361">
        <f t="shared" ref="S55:S77" si="21">ROUND(R55*B55/10000,0)</f>
        <v>0</v>
      </c>
    </row>
    <row r="56" spans="1:19">
      <c r="A56" s="159"/>
      <c r="B56" s="58"/>
      <c r="C56" s="23">
        <f t="shared" si="12"/>
        <v>1</v>
      </c>
      <c r="D56" s="720"/>
      <c r="E56" s="23">
        <f t="shared" si="13"/>
        <v>1</v>
      </c>
      <c r="F56" s="720"/>
      <c r="G56" s="23">
        <f t="shared" si="14"/>
        <v>1</v>
      </c>
      <c r="H56" s="720"/>
      <c r="I56" s="23">
        <f t="shared" si="15"/>
        <v>1</v>
      </c>
      <c r="J56" s="720"/>
      <c r="K56" s="23">
        <f t="shared" si="16"/>
        <v>1</v>
      </c>
      <c r="L56" s="720"/>
      <c r="M56" s="23">
        <f t="shared" si="17"/>
        <v>1</v>
      </c>
      <c r="N56" s="720"/>
      <c r="O56" s="23">
        <f t="shared" si="18"/>
        <v>1</v>
      </c>
      <c r="P56" s="720"/>
      <c r="Q56" s="23">
        <f t="shared" si="19"/>
        <v>1</v>
      </c>
      <c r="R56" s="716">
        <f t="shared" si="20"/>
        <v>0</v>
      </c>
      <c r="S56" s="361">
        <f t="shared" si="21"/>
        <v>0</v>
      </c>
    </row>
    <row r="57" spans="1:19">
      <c r="A57" s="159"/>
      <c r="B57" s="58"/>
      <c r="C57" s="23">
        <f t="shared" si="12"/>
        <v>1</v>
      </c>
      <c r="D57" s="720"/>
      <c r="E57" s="23">
        <f t="shared" si="13"/>
        <v>1</v>
      </c>
      <c r="F57" s="720"/>
      <c r="G57" s="23">
        <f t="shared" si="14"/>
        <v>1</v>
      </c>
      <c r="H57" s="720"/>
      <c r="I57" s="23">
        <f t="shared" si="15"/>
        <v>1</v>
      </c>
      <c r="J57" s="720"/>
      <c r="K57" s="23">
        <f t="shared" si="16"/>
        <v>1</v>
      </c>
      <c r="L57" s="720"/>
      <c r="M57" s="23">
        <f t="shared" si="17"/>
        <v>1</v>
      </c>
      <c r="N57" s="720"/>
      <c r="O57" s="23">
        <f t="shared" si="18"/>
        <v>1</v>
      </c>
      <c r="P57" s="720"/>
      <c r="Q57" s="23">
        <f t="shared" si="19"/>
        <v>1</v>
      </c>
      <c r="R57" s="716">
        <f t="shared" si="20"/>
        <v>0</v>
      </c>
      <c r="S57" s="361">
        <f t="shared" si="21"/>
        <v>0</v>
      </c>
    </row>
    <row r="58" spans="1:19">
      <c r="A58" s="159"/>
      <c r="B58" s="58"/>
      <c r="C58" s="23">
        <f t="shared" si="12"/>
        <v>1</v>
      </c>
      <c r="D58" s="720"/>
      <c r="E58" s="23">
        <f t="shared" si="13"/>
        <v>1</v>
      </c>
      <c r="F58" s="720"/>
      <c r="G58" s="23">
        <f t="shared" si="14"/>
        <v>1</v>
      </c>
      <c r="H58" s="720"/>
      <c r="I58" s="23">
        <f t="shared" si="15"/>
        <v>1</v>
      </c>
      <c r="J58" s="720"/>
      <c r="K58" s="23">
        <f t="shared" si="16"/>
        <v>1</v>
      </c>
      <c r="L58" s="720"/>
      <c r="M58" s="23">
        <f t="shared" si="17"/>
        <v>1</v>
      </c>
      <c r="N58" s="720"/>
      <c r="O58" s="23">
        <f t="shared" si="18"/>
        <v>1</v>
      </c>
      <c r="P58" s="720"/>
      <c r="Q58" s="23">
        <f t="shared" si="19"/>
        <v>1</v>
      </c>
      <c r="R58" s="716">
        <f t="shared" si="20"/>
        <v>0</v>
      </c>
      <c r="S58" s="361">
        <f t="shared" si="21"/>
        <v>0</v>
      </c>
    </row>
    <row r="59" spans="1:19">
      <c r="A59" s="159"/>
      <c r="B59" s="58"/>
      <c r="C59" s="23">
        <f t="shared" si="12"/>
        <v>1</v>
      </c>
      <c r="D59" s="720"/>
      <c r="E59" s="23">
        <f t="shared" si="13"/>
        <v>1</v>
      </c>
      <c r="F59" s="720"/>
      <c r="G59" s="23">
        <f t="shared" si="14"/>
        <v>1</v>
      </c>
      <c r="H59" s="720"/>
      <c r="I59" s="23">
        <f t="shared" si="15"/>
        <v>1</v>
      </c>
      <c r="J59" s="720"/>
      <c r="K59" s="23">
        <f t="shared" si="16"/>
        <v>1</v>
      </c>
      <c r="L59" s="720"/>
      <c r="M59" s="23">
        <f t="shared" si="17"/>
        <v>1</v>
      </c>
      <c r="N59" s="720"/>
      <c r="O59" s="23">
        <f t="shared" si="18"/>
        <v>1</v>
      </c>
      <c r="P59" s="720"/>
      <c r="Q59" s="23">
        <f t="shared" si="19"/>
        <v>1</v>
      </c>
      <c r="R59" s="716">
        <f t="shared" si="20"/>
        <v>0</v>
      </c>
      <c r="S59" s="361">
        <f t="shared" si="21"/>
        <v>0</v>
      </c>
    </row>
    <row r="60" spans="1:19">
      <c r="A60" s="159"/>
      <c r="B60" s="58"/>
      <c r="C60" s="23">
        <f t="shared" si="12"/>
        <v>1</v>
      </c>
      <c r="D60" s="720"/>
      <c r="E60" s="23">
        <f t="shared" si="13"/>
        <v>1</v>
      </c>
      <c r="F60" s="720"/>
      <c r="G60" s="23">
        <f t="shared" si="14"/>
        <v>1</v>
      </c>
      <c r="H60" s="720"/>
      <c r="I60" s="23">
        <f t="shared" si="15"/>
        <v>1</v>
      </c>
      <c r="J60" s="720"/>
      <c r="K60" s="23">
        <f t="shared" si="16"/>
        <v>1</v>
      </c>
      <c r="L60" s="720"/>
      <c r="M60" s="23">
        <f t="shared" si="17"/>
        <v>1</v>
      </c>
      <c r="N60" s="720"/>
      <c r="O60" s="23">
        <f t="shared" si="18"/>
        <v>1</v>
      </c>
      <c r="P60" s="720"/>
      <c r="Q60" s="23">
        <f t="shared" si="19"/>
        <v>1</v>
      </c>
      <c r="R60" s="716">
        <f t="shared" si="20"/>
        <v>0</v>
      </c>
      <c r="S60" s="361">
        <f t="shared" si="21"/>
        <v>0</v>
      </c>
    </row>
    <row r="61" spans="1:19">
      <c r="A61" s="159"/>
      <c r="B61" s="58"/>
      <c r="C61" s="23">
        <f t="shared" si="12"/>
        <v>1</v>
      </c>
      <c r="D61" s="720"/>
      <c r="E61" s="23">
        <f t="shared" si="13"/>
        <v>1</v>
      </c>
      <c r="F61" s="720"/>
      <c r="G61" s="23">
        <f t="shared" si="14"/>
        <v>1</v>
      </c>
      <c r="H61" s="720"/>
      <c r="I61" s="23">
        <f t="shared" si="15"/>
        <v>1</v>
      </c>
      <c r="J61" s="720"/>
      <c r="K61" s="23">
        <f t="shared" si="16"/>
        <v>1</v>
      </c>
      <c r="L61" s="720"/>
      <c r="M61" s="23">
        <f t="shared" si="17"/>
        <v>1</v>
      </c>
      <c r="N61" s="720"/>
      <c r="O61" s="23">
        <f t="shared" si="18"/>
        <v>1</v>
      </c>
      <c r="P61" s="720"/>
      <c r="Q61" s="23">
        <f t="shared" si="19"/>
        <v>1</v>
      </c>
      <c r="R61" s="716">
        <f t="shared" si="20"/>
        <v>0</v>
      </c>
      <c r="S61" s="361">
        <f t="shared" si="21"/>
        <v>0</v>
      </c>
    </row>
    <row r="62" spans="1:19">
      <c r="A62" s="159"/>
      <c r="B62" s="58"/>
      <c r="C62" s="23">
        <f t="shared" si="12"/>
        <v>1</v>
      </c>
      <c r="D62" s="720"/>
      <c r="E62" s="23">
        <f t="shared" si="13"/>
        <v>1</v>
      </c>
      <c r="F62" s="720"/>
      <c r="G62" s="23">
        <f t="shared" si="14"/>
        <v>1</v>
      </c>
      <c r="H62" s="720"/>
      <c r="I62" s="23">
        <f t="shared" si="15"/>
        <v>1</v>
      </c>
      <c r="J62" s="720"/>
      <c r="K62" s="23">
        <f t="shared" si="16"/>
        <v>1</v>
      </c>
      <c r="L62" s="720"/>
      <c r="M62" s="23">
        <f t="shared" si="17"/>
        <v>1</v>
      </c>
      <c r="N62" s="720"/>
      <c r="O62" s="23">
        <f t="shared" si="18"/>
        <v>1</v>
      </c>
      <c r="P62" s="720"/>
      <c r="Q62" s="23">
        <f t="shared" si="19"/>
        <v>1</v>
      </c>
      <c r="R62" s="716">
        <f t="shared" si="20"/>
        <v>0</v>
      </c>
      <c r="S62" s="361">
        <f t="shared" si="21"/>
        <v>0</v>
      </c>
    </row>
    <row r="63" spans="1:19">
      <c r="A63" s="159"/>
      <c r="B63" s="58"/>
      <c r="C63" s="23">
        <f t="shared" si="12"/>
        <v>1</v>
      </c>
      <c r="D63" s="720"/>
      <c r="E63" s="23">
        <f t="shared" si="13"/>
        <v>1</v>
      </c>
      <c r="F63" s="720"/>
      <c r="G63" s="23">
        <f t="shared" si="14"/>
        <v>1</v>
      </c>
      <c r="H63" s="720"/>
      <c r="I63" s="23">
        <f t="shared" si="15"/>
        <v>1</v>
      </c>
      <c r="J63" s="720"/>
      <c r="K63" s="23">
        <f t="shared" si="16"/>
        <v>1</v>
      </c>
      <c r="L63" s="720"/>
      <c r="M63" s="23">
        <f t="shared" si="17"/>
        <v>1</v>
      </c>
      <c r="N63" s="720"/>
      <c r="O63" s="23">
        <f t="shared" si="18"/>
        <v>1</v>
      </c>
      <c r="P63" s="720"/>
      <c r="Q63" s="23">
        <f t="shared" si="19"/>
        <v>1</v>
      </c>
      <c r="R63" s="716">
        <f t="shared" si="20"/>
        <v>0</v>
      </c>
      <c r="S63" s="361">
        <f t="shared" si="21"/>
        <v>0</v>
      </c>
    </row>
    <row r="64" spans="1:19">
      <c r="A64" s="159"/>
      <c r="B64" s="58"/>
      <c r="C64" s="23">
        <f t="shared" si="12"/>
        <v>1</v>
      </c>
      <c r="D64" s="720"/>
      <c r="E64" s="23">
        <f t="shared" si="13"/>
        <v>1</v>
      </c>
      <c r="F64" s="720"/>
      <c r="G64" s="23">
        <f t="shared" si="14"/>
        <v>1</v>
      </c>
      <c r="H64" s="720"/>
      <c r="I64" s="23">
        <f t="shared" si="15"/>
        <v>1</v>
      </c>
      <c r="J64" s="720"/>
      <c r="K64" s="23">
        <f t="shared" si="16"/>
        <v>1</v>
      </c>
      <c r="L64" s="720"/>
      <c r="M64" s="23">
        <f t="shared" si="17"/>
        <v>1</v>
      </c>
      <c r="N64" s="720"/>
      <c r="O64" s="23">
        <f t="shared" si="18"/>
        <v>1</v>
      </c>
      <c r="P64" s="720"/>
      <c r="Q64" s="23">
        <f t="shared" si="19"/>
        <v>1</v>
      </c>
      <c r="R64" s="716">
        <f t="shared" si="20"/>
        <v>0</v>
      </c>
      <c r="S64" s="361">
        <f t="shared" si="21"/>
        <v>0</v>
      </c>
    </row>
    <row r="65" spans="1:19">
      <c r="A65" s="159"/>
      <c r="B65" s="58"/>
      <c r="C65" s="23">
        <f t="shared" si="12"/>
        <v>1</v>
      </c>
      <c r="D65" s="720"/>
      <c r="E65" s="23">
        <f t="shared" si="13"/>
        <v>1</v>
      </c>
      <c r="F65" s="720"/>
      <c r="G65" s="23">
        <f t="shared" si="14"/>
        <v>1</v>
      </c>
      <c r="H65" s="720"/>
      <c r="I65" s="23">
        <f t="shared" si="15"/>
        <v>1</v>
      </c>
      <c r="J65" s="720"/>
      <c r="K65" s="23">
        <f t="shared" si="16"/>
        <v>1</v>
      </c>
      <c r="L65" s="720"/>
      <c r="M65" s="23">
        <f t="shared" si="17"/>
        <v>1</v>
      </c>
      <c r="N65" s="720"/>
      <c r="O65" s="23">
        <f t="shared" si="18"/>
        <v>1</v>
      </c>
      <c r="P65" s="720"/>
      <c r="Q65" s="23">
        <f t="shared" si="19"/>
        <v>1</v>
      </c>
      <c r="R65" s="716">
        <f t="shared" si="20"/>
        <v>0</v>
      </c>
      <c r="S65" s="361">
        <f t="shared" si="21"/>
        <v>0</v>
      </c>
    </row>
    <row r="66" spans="1:19">
      <c r="A66" s="159"/>
      <c r="B66" s="58"/>
      <c r="C66" s="23">
        <f t="shared" si="12"/>
        <v>1</v>
      </c>
      <c r="D66" s="720"/>
      <c r="E66" s="23">
        <f t="shared" si="13"/>
        <v>1</v>
      </c>
      <c r="F66" s="720"/>
      <c r="G66" s="23">
        <f t="shared" si="14"/>
        <v>1</v>
      </c>
      <c r="H66" s="720"/>
      <c r="I66" s="23">
        <f t="shared" si="15"/>
        <v>1</v>
      </c>
      <c r="J66" s="720"/>
      <c r="K66" s="23">
        <f t="shared" si="16"/>
        <v>1</v>
      </c>
      <c r="L66" s="720"/>
      <c r="M66" s="23">
        <f t="shared" si="17"/>
        <v>1</v>
      </c>
      <c r="N66" s="720"/>
      <c r="O66" s="23">
        <f t="shared" si="18"/>
        <v>1</v>
      </c>
      <c r="P66" s="720"/>
      <c r="Q66" s="23">
        <f t="shared" si="19"/>
        <v>1</v>
      </c>
      <c r="R66" s="716">
        <f t="shared" si="20"/>
        <v>0</v>
      </c>
      <c r="S66" s="361">
        <f t="shared" si="21"/>
        <v>0</v>
      </c>
    </row>
    <row r="67" spans="1:19">
      <c r="A67" s="159"/>
      <c r="B67" s="58"/>
      <c r="C67" s="23">
        <f t="shared" si="12"/>
        <v>1</v>
      </c>
      <c r="D67" s="720"/>
      <c r="E67" s="23">
        <f t="shared" si="13"/>
        <v>1</v>
      </c>
      <c r="F67" s="720"/>
      <c r="G67" s="23">
        <f t="shared" si="14"/>
        <v>1</v>
      </c>
      <c r="H67" s="720"/>
      <c r="I67" s="23">
        <f t="shared" si="15"/>
        <v>1</v>
      </c>
      <c r="J67" s="720"/>
      <c r="K67" s="23">
        <f t="shared" si="16"/>
        <v>1</v>
      </c>
      <c r="L67" s="720"/>
      <c r="M67" s="23">
        <f t="shared" si="17"/>
        <v>1</v>
      </c>
      <c r="N67" s="720"/>
      <c r="O67" s="23">
        <f t="shared" si="18"/>
        <v>1</v>
      </c>
      <c r="P67" s="720"/>
      <c r="Q67" s="23">
        <f t="shared" si="19"/>
        <v>1</v>
      </c>
      <c r="R67" s="716">
        <f t="shared" si="20"/>
        <v>0</v>
      </c>
      <c r="S67" s="361">
        <f t="shared" si="21"/>
        <v>0</v>
      </c>
    </row>
    <row r="68" spans="1:19">
      <c r="A68" s="159"/>
      <c r="B68" s="58"/>
      <c r="C68" s="23">
        <f t="shared" si="12"/>
        <v>1</v>
      </c>
      <c r="D68" s="720"/>
      <c r="E68" s="23">
        <f t="shared" si="13"/>
        <v>1</v>
      </c>
      <c r="F68" s="720"/>
      <c r="G68" s="23">
        <f t="shared" si="14"/>
        <v>1</v>
      </c>
      <c r="H68" s="720"/>
      <c r="I68" s="23">
        <f t="shared" si="15"/>
        <v>1</v>
      </c>
      <c r="J68" s="720"/>
      <c r="K68" s="23">
        <f t="shared" si="16"/>
        <v>1</v>
      </c>
      <c r="L68" s="720"/>
      <c r="M68" s="23">
        <f t="shared" si="17"/>
        <v>1</v>
      </c>
      <c r="N68" s="720"/>
      <c r="O68" s="23">
        <f t="shared" si="18"/>
        <v>1</v>
      </c>
      <c r="P68" s="720"/>
      <c r="Q68" s="23">
        <f t="shared" si="19"/>
        <v>1</v>
      </c>
      <c r="R68" s="716">
        <f t="shared" si="20"/>
        <v>0</v>
      </c>
      <c r="S68" s="361">
        <f t="shared" si="21"/>
        <v>0</v>
      </c>
    </row>
    <row r="69" spans="1:19">
      <c r="A69" s="159"/>
      <c r="B69" s="58"/>
      <c r="C69" s="23">
        <f t="shared" si="12"/>
        <v>1</v>
      </c>
      <c r="D69" s="720"/>
      <c r="E69" s="23">
        <f t="shared" si="13"/>
        <v>1</v>
      </c>
      <c r="F69" s="720"/>
      <c r="G69" s="23">
        <f t="shared" si="14"/>
        <v>1</v>
      </c>
      <c r="H69" s="720"/>
      <c r="I69" s="23">
        <f t="shared" si="15"/>
        <v>1</v>
      </c>
      <c r="J69" s="720"/>
      <c r="K69" s="23">
        <f t="shared" si="16"/>
        <v>1</v>
      </c>
      <c r="L69" s="720"/>
      <c r="M69" s="23">
        <f t="shared" si="17"/>
        <v>1</v>
      </c>
      <c r="N69" s="720"/>
      <c r="O69" s="23">
        <f t="shared" si="18"/>
        <v>1</v>
      </c>
      <c r="P69" s="720"/>
      <c r="Q69" s="23">
        <f t="shared" si="19"/>
        <v>1</v>
      </c>
      <c r="R69" s="716">
        <f t="shared" si="20"/>
        <v>0</v>
      </c>
      <c r="S69" s="361">
        <f t="shared" si="21"/>
        <v>0</v>
      </c>
    </row>
    <row r="70" spans="1:19">
      <c r="A70" s="159"/>
      <c r="B70" s="58"/>
      <c r="C70" s="23">
        <f t="shared" si="12"/>
        <v>1</v>
      </c>
      <c r="D70" s="720"/>
      <c r="E70" s="23">
        <f t="shared" si="13"/>
        <v>1</v>
      </c>
      <c r="F70" s="720"/>
      <c r="G70" s="23">
        <f t="shared" si="14"/>
        <v>1</v>
      </c>
      <c r="H70" s="720"/>
      <c r="I70" s="23">
        <f t="shared" si="15"/>
        <v>1</v>
      </c>
      <c r="J70" s="720"/>
      <c r="K70" s="23">
        <f t="shared" si="16"/>
        <v>1</v>
      </c>
      <c r="L70" s="720"/>
      <c r="M70" s="23">
        <f t="shared" si="17"/>
        <v>1</v>
      </c>
      <c r="N70" s="720"/>
      <c r="O70" s="23">
        <f t="shared" si="18"/>
        <v>1</v>
      </c>
      <c r="P70" s="720"/>
      <c r="Q70" s="23">
        <f t="shared" si="19"/>
        <v>1</v>
      </c>
      <c r="R70" s="716">
        <f t="shared" si="20"/>
        <v>0</v>
      </c>
      <c r="S70" s="361">
        <f t="shared" si="21"/>
        <v>0</v>
      </c>
    </row>
    <row r="71" spans="1:19">
      <c r="A71" s="159"/>
      <c r="B71" s="58"/>
      <c r="C71" s="23">
        <f t="shared" si="12"/>
        <v>1</v>
      </c>
      <c r="D71" s="720"/>
      <c r="E71" s="23">
        <f t="shared" si="13"/>
        <v>1</v>
      </c>
      <c r="F71" s="720"/>
      <c r="G71" s="23">
        <f t="shared" si="14"/>
        <v>1</v>
      </c>
      <c r="H71" s="720"/>
      <c r="I71" s="23">
        <f t="shared" si="15"/>
        <v>1</v>
      </c>
      <c r="J71" s="720"/>
      <c r="K71" s="23">
        <f t="shared" si="16"/>
        <v>1</v>
      </c>
      <c r="L71" s="720"/>
      <c r="M71" s="23">
        <f t="shared" si="17"/>
        <v>1</v>
      </c>
      <c r="N71" s="720"/>
      <c r="O71" s="23">
        <f t="shared" si="18"/>
        <v>1</v>
      </c>
      <c r="P71" s="720"/>
      <c r="Q71" s="23">
        <f t="shared" si="19"/>
        <v>1</v>
      </c>
      <c r="R71" s="716">
        <f t="shared" si="20"/>
        <v>0</v>
      </c>
      <c r="S71" s="361">
        <f t="shared" si="21"/>
        <v>0</v>
      </c>
    </row>
    <row r="72" spans="1:19">
      <c r="A72" s="159"/>
      <c r="B72" s="58"/>
      <c r="C72" s="23">
        <f t="shared" si="12"/>
        <v>1</v>
      </c>
      <c r="D72" s="720"/>
      <c r="E72" s="23">
        <f t="shared" si="13"/>
        <v>1</v>
      </c>
      <c r="F72" s="720"/>
      <c r="G72" s="23">
        <f t="shared" si="14"/>
        <v>1</v>
      </c>
      <c r="H72" s="720"/>
      <c r="I72" s="23">
        <f t="shared" si="15"/>
        <v>1</v>
      </c>
      <c r="J72" s="720"/>
      <c r="K72" s="23">
        <f t="shared" si="16"/>
        <v>1</v>
      </c>
      <c r="L72" s="720"/>
      <c r="M72" s="23">
        <f t="shared" si="17"/>
        <v>1</v>
      </c>
      <c r="N72" s="720"/>
      <c r="O72" s="23">
        <f t="shared" si="18"/>
        <v>1</v>
      </c>
      <c r="P72" s="720"/>
      <c r="Q72" s="23">
        <f t="shared" si="19"/>
        <v>1</v>
      </c>
      <c r="R72" s="716">
        <f t="shared" si="20"/>
        <v>0</v>
      </c>
      <c r="S72" s="361">
        <f t="shared" si="21"/>
        <v>0</v>
      </c>
    </row>
    <row r="73" spans="1:19">
      <c r="A73" s="159"/>
      <c r="B73" s="58"/>
      <c r="C73" s="23">
        <f t="shared" si="12"/>
        <v>1</v>
      </c>
      <c r="D73" s="720"/>
      <c r="E73" s="23">
        <f t="shared" si="13"/>
        <v>1</v>
      </c>
      <c r="F73" s="720"/>
      <c r="G73" s="23">
        <f t="shared" si="14"/>
        <v>1</v>
      </c>
      <c r="H73" s="720"/>
      <c r="I73" s="23">
        <f t="shared" si="15"/>
        <v>1</v>
      </c>
      <c r="J73" s="720"/>
      <c r="K73" s="23">
        <f t="shared" si="16"/>
        <v>1</v>
      </c>
      <c r="L73" s="720"/>
      <c r="M73" s="23">
        <f t="shared" si="17"/>
        <v>1</v>
      </c>
      <c r="N73" s="720"/>
      <c r="O73" s="23">
        <f t="shared" si="18"/>
        <v>1</v>
      </c>
      <c r="P73" s="720"/>
      <c r="Q73" s="23">
        <f t="shared" si="19"/>
        <v>1</v>
      </c>
      <c r="R73" s="716">
        <f t="shared" si="20"/>
        <v>0</v>
      </c>
      <c r="S73" s="361">
        <f t="shared" si="21"/>
        <v>0</v>
      </c>
    </row>
    <row r="74" spans="1:19">
      <c r="A74" s="159"/>
      <c r="B74" s="58"/>
      <c r="C74" s="23">
        <f t="shared" si="12"/>
        <v>1</v>
      </c>
      <c r="D74" s="720"/>
      <c r="E74" s="23">
        <f t="shared" si="13"/>
        <v>1</v>
      </c>
      <c r="F74" s="720"/>
      <c r="G74" s="23">
        <f t="shared" si="14"/>
        <v>1</v>
      </c>
      <c r="H74" s="720"/>
      <c r="I74" s="23">
        <f t="shared" si="15"/>
        <v>1</v>
      </c>
      <c r="J74" s="720"/>
      <c r="K74" s="23">
        <f t="shared" si="16"/>
        <v>1</v>
      </c>
      <c r="L74" s="720"/>
      <c r="M74" s="23">
        <f t="shared" si="17"/>
        <v>1</v>
      </c>
      <c r="N74" s="720"/>
      <c r="O74" s="23">
        <f t="shared" si="18"/>
        <v>1</v>
      </c>
      <c r="P74" s="720"/>
      <c r="Q74" s="23">
        <f t="shared" si="19"/>
        <v>1</v>
      </c>
      <c r="R74" s="716">
        <f t="shared" si="20"/>
        <v>0</v>
      </c>
      <c r="S74" s="361">
        <f t="shared" si="21"/>
        <v>0</v>
      </c>
    </row>
    <row r="75" spans="1:19">
      <c r="A75" s="159"/>
      <c r="B75" s="58"/>
      <c r="C75" s="23">
        <f t="shared" si="12"/>
        <v>1</v>
      </c>
      <c r="D75" s="720"/>
      <c r="E75" s="23">
        <f t="shared" si="13"/>
        <v>1</v>
      </c>
      <c r="F75" s="720"/>
      <c r="G75" s="23">
        <f t="shared" si="14"/>
        <v>1</v>
      </c>
      <c r="H75" s="720"/>
      <c r="I75" s="23">
        <f t="shared" si="15"/>
        <v>1</v>
      </c>
      <c r="J75" s="720"/>
      <c r="K75" s="23">
        <f t="shared" si="16"/>
        <v>1</v>
      </c>
      <c r="L75" s="720"/>
      <c r="M75" s="23">
        <f t="shared" si="17"/>
        <v>1</v>
      </c>
      <c r="N75" s="720"/>
      <c r="O75" s="23">
        <f t="shared" si="18"/>
        <v>1</v>
      </c>
      <c r="P75" s="720"/>
      <c r="Q75" s="23">
        <f t="shared" si="19"/>
        <v>1</v>
      </c>
      <c r="R75" s="716">
        <f t="shared" si="20"/>
        <v>0</v>
      </c>
      <c r="S75" s="361">
        <f t="shared" si="21"/>
        <v>0</v>
      </c>
    </row>
    <row r="76" spans="1:19">
      <c r="A76" s="159"/>
      <c r="B76" s="58"/>
      <c r="C76" s="23">
        <f t="shared" si="12"/>
        <v>1</v>
      </c>
      <c r="D76" s="720"/>
      <c r="E76" s="23">
        <f t="shared" si="13"/>
        <v>1</v>
      </c>
      <c r="F76" s="720"/>
      <c r="G76" s="23">
        <f t="shared" si="14"/>
        <v>1</v>
      </c>
      <c r="H76" s="720"/>
      <c r="I76" s="23">
        <f t="shared" si="15"/>
        <v>1</v>
      </c>
      <c r="J76" s="720"/>
      <c r="K76" s="23">
        <f t="shared" si="16"/>
        <v>1</v>
      </c>
      <c r="L76" s="720"/>
      <c r="M76" s="23">
        <f t="shared" si="17"/>
        <v>1</v>
      </c>
      <c r="N76" s="720"/>
      <c r="O76" s="23">
        <f t="shared" si="18"/>
        <v>1</v>
      </c>
      <c r="P76" s="720"/>
      <c r="Q76" s="23">
        <f t="shared" si="19"/>
        <v>1</v>
      </c>
      <c r="R76" s="716">
        <f t="shared" si="20"/>
        <v>0</v>
      </c>
      <c r="S76" s="361">
        <f t="shared" si="21"/>
        <v>0</v>
      </c>
    </row>
    <row r="77" spans="1:19">
      <c r="A77" s="159"/>
      <c r="B77" s="58"/>
      <c r="C77" s="23">
        <f t="shared" si="12"/>
        <v>1</v>
      </c>
      <c r="D77" s="720"/>
      <c r="E77" s="23">
        <f t="shared" si="13"/>
        <v>1</v>
      </c>
      <c r="F77" s="720"/>
      <c r="G77" s="23">
        <f t="shared" si="14"/>
        <v>1</v>
      </c>
      <c r="H77" s="720"/>
      <c r="I77" s="23">
        <f t="shared" si="15"/>
        <v>1</v>
      </c>
      <c r="J77" s="720"/>
      <c r="K77" s="23">
        <f t="shared" si="16"/>
        <v>1</v>
      </c>
      <c r="L77" s="720"/>
      <c r="M77" s="23">
        <f t="shared" si="17"/>
        <v>1</v>
      </c>
      <c r="N77" s="720"/>
      <c r="O77" s="23">
        <f t="shared" si="18"/>
        <v>1</v>
      </c>
      <c r="P77" s="720"/>
      <c r="Q77" s="23">
        <f t="shared" si="19"/>
        <v>1</v>
      </c>
      <c r="R77" s="716">
        <f t="shared" si="20"/>
        <v>0</v>
      </c>
      <c r="S77" s="361">
        <f t="shared" si="21"/>
        <v>0</v>
      </c>
    </row>
    <row r="78" spans="1:19">
      <c r="A78" s="159"/>
      <c r="B78" s="58"/>
      <c r="C78" s="23">
        <f t="shared" si="12"/>
        <v>1</v>
      </c>
      <c r="D78" s="720"/>
      <c r="E78" s="23">
        <f t="shared" si="13"/>
        <v>1</v>
      </c>
      <c r="F78" s="720"/>
      <c r="G78" s="23">
        <f t="shared" si="14"/>
        <v>1</v>
      </c>
      <c r="H78" s="720"/>
      <c r="I78" s="23">
        <f t="shared" si="15"/>
        <v>1</v>
      </c>
      <c r="J78" s="720"/>
      <c r="K78" s="23">
        <f t="shared" si="16"/>
        <v>1</v>
      </c>
      <c r="L78" s="720"/>
      <c r="M78" s="23">
        <f t="shared" si="17"/>
        <v>1</v>
      </c>
      <c r="N78" s="720"/>
      <c r="O78" s="23">
        <f t="shared" si="18"/>
        <v>1</v>
      </c>
      <c r="P78" s="720"/>
      <c r="Q78" s="23">
        <f t="shared" si="19"/>
        <v>1</v>
      </c>
      <c r="R78" s="716">
        <f t="shared" si="20"/>
        <v>0</v>
      </c>
      <c r="S78" s="361">
        <f t="shared" ref="S78:S122" si="22">ROUND(R78*B78/10000,0)</f>
        <v>0</v>
      </c>
    </row>
    <row r="79" spans="1:19">
      <c r="A79" s="159"/>
      <c r="B79" s="58"/>
      <c r="C79" s="23">
        <f t="shared" si="12"/>
        <v>1</v>
      </c>
      <c r="D79" s="720"/>
      <c r="E79" s="23">
        <f t="shared" si="13"/>
        <v>1</v>
      </c>
      <c r="F79" s="720"/>
      <c r="G79" s="23">
        <f t="shared" si="14"/>
        <v>1</v>
      </c>
      <c r="H79" s="720"/>
      <c r="I79" s="23">
        <f t="shared" si="15"/>
        <v>1</v>
      </c>
      <c r="J79" s="720"/>
      <c r="K79" s="23">
        <f t="shared" si="16"/>
        <v>1</v>
      </c>
      <c r="L79" s="720"/>
      <c r="M79" s="23">
        <f t="shared" si="17"/>
        <v>1</v>
      </c>
      <c r="N79" s="720"/>
      <c r="O79" s="23">
        <f t="shared" si="18"/>
        <v>1</v>
      </c>
      <c r="P79" s="720"/>
      <c r="Q79" s="23">
        <f t="shared" si="19"/>
        <v>1</v>
      </c>
      <c r="R79" s="716">
        <f t="shared" si="20"/>
        <v>0</v>
      </c>
      <c r="S79" s="361">
        <f t="shared" si="22"/>
        <v>0</v>
      </c>
    </row>
    <row r="80" spans="1:19">
      <c r="A80" s="159"/>
      <c r="B80" s="58"/>
      <c r="C80" s="23">
        <f t="shared" si="12"/>
        <v>1</v>
      </c>
      <c r="D80" s="720"/>
      <c r="E80" s="23">
        <f t="shared" si="13"/>
        <v>1</v>
      </c>
      <c r="F80" s="720"/>
      <c r="G80" s="23">
        <f t="shared" si="14"/>
        <v>1</v>
      </c>
      <c r="H80" s="720"/>
      <c r="I80" s="23">
        <f t="shared" si="15"/>
        <v>1</v>
      </c>
      <c r="J80" s="720"/>
      <c r="K80" s="23">
        <f t="shared" si="16"/>
        <v>1</v>
      </c>
      <c r="L80" s="720"/>
      <c r="M80" s="23">
        <f t="shared" si="17"/>
        <v>1</v>
      </c>
      <c r="N80" s="720"/>
      <c r="O80" s="23">
        <f t="shared" si="18"/>
        <v>1</v>
      </c>
      <c r="P80" s="720"/>
      <c r="Q80" s="23">
        <f t="shared" si="19"/>
        <v>1</v>
      </c>
      <c r="R80" s="716">
        <f t="shared" si="20"/>
        <v>0</v>
      </c>
      <c r="S80" s="361">
        <f t="shared" si="22"/>
        <v>0</v>
      </c>
    </row>
    <row r="81" spans="1:19">
      <c r="A81" s="159"/>
      <c r="B81" s="58"/>
      <c r="C81" s="23">
        <f t="shared" si="12"/>
        <v>1</v>
      </c>
      <c r="D81" s="720"/>
      <c r="E81" s="23">
        <f t="shared" si="13"/>
        <v>1</v>
      </c>
      <c r="F81" s="720"/>
      <c r="G81" s="23">
        <f t="shared" si="14"/>
        <v>1</v>
      </c>
      <c r="H81" s="720"/>
      <c r="I81" s="23">
        <f t="shared" si="15"/>
        <v>1</v>
      </c>
      <c r="J81" s="720"/>
      <c r="K81" s="23">
        <f t="shared" si="16"/>
        <v>1</v>
      </c>
      <c r="L81" s="720"/>
      <c r="M81" s="23">
        <f t="shared" si="17"/>
        <v>1</v>
      </c>
      <c r="N81" s="720"/>
      <c r="O81" s="23">
        <f t="shared" si="18"/>
        <v>1</v>
      </c>
      <c r="P81" s="720"/>
      <c r="Q81" s="23">
        <f t="shared" si="19"/>
        <v>1</v>
      </c>
      <c r="R81" s="716">
        <f t="shared" si="20"/>
        <v>0</v>
      </c>
      <c r="S81" s="361">
        <f t="shared" si="22"/>
        <v>0</v>
      </c>
    </row>
    <row r="82" spans="1:19">
      <c r="A82" s="159"/>
      <c r="B82" s="58"/>
      <c r="C82" s="23">
        <f t="shared" si="12"/>
        <v>1</v>
      </c>
      <c r="D82" s="720"/>
      <c r="E82" s="23">
        <f t="shared" si="13"/>
        <v>1</v>
      </c>
      <c r="F82" s="720"/>
      <c r="G82" s="23">
        <f t="shared" si="14"/>
        <v>1</v>
      </c>
      <c r="H82" s="720"/>
      <c r="I82" s="23">
        <f t="shared" si="15"/>
        <v>1</v>
      </c>
      <c r="J82" s="720"/>
      <c r="K82" s="23">
        <f t="shared" si="16"/>
        <v>1</v>
      </c>
      <c r="L82" s="720"/>
      <c r="M82" s="23">
        <f t="shared" si="17"/>
        <v>1</v>
      </c>
      <c r="N82" s="720"/>
      <c r="O82" s="23">
        <f t="shared" si="18"/>
        <v>1</v>
      </c>
      <c r="P82" s="720"/>
      <c r="Q82" s="23">
        <f t="shared" si="19"/>
        <v>1</v>
      </c>
      <c r="R82" s="716">
        <f t="shared" si="20"/>
        <v>0</v>
      </c>
      <c r="S82" s="361">
        <f t="shared" si="22"/>
        <v>0</v>
      </c>
    </row>
    <row r="83" spans="1:19">
      <c r="A83" s="159"/>
      <c r="B83" s="58"/>
      <c r="C83" s="23">
        <f t="shared" si="12"/>
        <v>1</v>
      </c>
      <c r="D83" s="720"/>
      <c r="E83" s="23">
        <f t="shared" si="13"/>
        <v>1</v>
      </c>
      <c r="F83" s="720"/>
      <c r="G83" s="23">
        <f t="shared" si="14"/>
        <v>1</v>
      </c>
      <c r="H83" s="720"/>
      <c r="I83" s="23">
        <f t="shared" si="15"/>
        <v>1</v>
      </c>
      <c r="J83" s="720"/>
      <c r="K83" s="23">
        <f t="shared" si="16"/>
        <v>1</v>
      </c>
      <c r="L83" s="720"/>
      <c r="M83" s="23">
        <f t="shared" si="17"/>
        <v>1</v>
      </c>
      <c r="N83" s="720"/>
      <c r="O83" s="23">
        <f t="shared" si="18"/>
        <v>1</v>
      </c>
      <c r="P83" s="720"/>
      <c r="Q83" s="23">
        <f t="shared" si="19"/>
        <v>1</v>
      </c>
      <c r="R83" s="716">
        <f t="shared" si="20"/>
        <v>0</v>
      </c>
      <c r="S83" s="361">
        <f t="shared" si="22"/>
        <v>0</v>
      </c>
    </row>
    <row r="84" spans="1:19">
      <c r="A84" s="159"/>
      <c r="B84" s="58"/>
      <c r="C84" s="23">
        <f t="shared" si="12"/>
        <v>1</v>
      </c>
      <c r="D84" s="720"/>
      <c r="E84" s="23">
        <f t="shared" si="13"/>
        <v>1</v>
      </c>
      <c r="F84" s="720"/>
      <c r="G84" s="23">
        <f t="shared" si="14"/>
        <v>1</v>
      </c>
      <c r="H84" s="720"/>
      <c r="I84" s="23">
        <f t="shared" si="15"/>
        <v>1</v>
      </c>
      <c r="J84" s="720"/>
      <c r="K84" s="23">
        <f t="shared" si="16"/>
        <v>1</v>
      </c>
      <c r="L84" s="720"/>
      <c r="M84" s="23">
        <f t="shared" si="17"/>
        <v>1</v>
      </c>
      <c r="N84" s="720"/>
      <c r="O84" s="23">
        <f t="shared" si="18"/>
        <v>1</v>
      </c>
      <c r="P84" s="720"/>
      <c r="Q84" s="23">
        <f t="shared" si="19"/>
        <v>1</v>
      </c>
      <c r="R84" s="716">
        <f t="shared" si="20"/>
        <v>0</v>
      </c>
      <c r="S84" s="361">
        <f t="shared" si="22"/>
        <v>0</v>
      </c>
    </row>
    <row r="85" spans="1:19">
      <c r="A85" s="159"/>
      <c r="B85" s="58"/>
      <c r="C85" s="23">
        <f t="shared" si="12"/>
        <v>1</v>
      </c>
      <c r="D85" s="720"/>
      <c r="E85" s="23">
        <f t="shared" si="13"/>
        <v>1</v>
      </c>
      <c r="F85" s="720"/>
      <c r="G85" s="23">
        <f t="shared" si="14"/>
        <v>1</v>
      </c>
      <c r="H85" s="720"/>
      <c r="I85" s="23">
        <f t="shared" si="15"/>
        <v>1</v>
      </c>
      <c r="J85" s="720"/>
      <c r="K85" s="23">
        <f t="shared" si="16"/>
        <v>1</v>
      </c>
      <c r="L85" s="720"/>
      <c r="M85" s="23">
        <f t="shared" si="17"/>
        <v>1</v>
      </c>
      <c r="N85" s="720"/>
      <c r="O85" s="23">
        <f t="shared" si="18"/>
        <v>1</v>
      </c>
      <c r="P85" s="720"/>
      <c r="Q85" s="23">
        <f t="shared" si="19"/>
        <v>1</v>
      </c>
      <c r="R85" s="716">
        <f t="shared" si="20"/>
        <v>0</v>
      </c>
      <c r="S85" s="361">
        <f t="shared" si="22"/>
        <v>0</v>
      </c>
    </row>
    <row r="86" spans="1:19">
      <c r="A86" s="159"/>
      <c r="B86" s="58"/>
      <c r="C86" s="23">
        <f t="shared" si="12"/>
        <v>1</v>
      </c>
      <c r="D86" s="720"/>
      <c r="E86" s="23">
        <f t="shared" si="13"/>
        <v>1</v>
      </c>
      <c r="F86" s="720"/>
      <c r="G86" s="23">
        <f t="shared" si="14"/>
        <v>1</v>
      </c>
      <c r="H86" s="720"/>
      <c r="I86" s="23">
        <f t="shared" si="15"/>
        <v>1</v>
      </c>
      <c r="J86" s="720"/>
      <c r="K86" s="23">
        <f t="shared" si="16"/>
        <v>1</v>
      </c>
      <c r="L86" s="720"/>
      <c r="M86" s="23">
        <f t="shared" si="17"/>
        <v>1</v>
      </c>
      <c r="N86" s="720"/>
      <c r="O86" s="23">
        <f t="shared" si="18"/>
        <v>1</v>
      </c>
      <c r="P86" s="720"/>
      <c r="Q86" s="23">
        <f t="shared" si="19"/>
        <v>1</v>
      </c>
      <c r="R86" s="716">
        <f t="shared" si="20"/>
        <v>0</v>
      </c>
      <c r="S86" s="361">
        <f t="shared" si="22"/>
        <v>0</v>
      </c>
    </row>
    <row r="87" spans="1:19">
      <c r="A87" s="159"/>
      <c r="B87" s="58"/>
      <c r="C87" s="23">
        <f t="shared" si="12"/>
        <v>1</v>
      </c>
      <c r="D87" s="720"/>
      <c r="E87" s="23">
        <f t="shared" si="13"/>
        <v>1</v>
      </c>
      <c r="F87" s="720"/>
      <c r="G87" s="23">
        <f t="shared" si="14"/>
        <v>1</v>
      </c>
      <c r="H87" s="720"/>
      <c r="I87" s="23">
        <f t="shared" si="15"/>
        <v>1</v>
      </c>
      <c r="J87" s="720"/>
      <c r="K87" s="23">
        <f t="shared" si="16"/>
        <v>1</v>
      </c>
      <c r="L87" s="720"/>
      <c r="M87" s="23">
        <f t="shared" si="17"/>
        <v>1</v>
      </c>
      <c r="N87" s="720"/>
      <c r="O87" s="23">
        <f t="shared" si="18"/>
        <v>1</v>
      </c>
      <c r="P87" s="720"/>
      <c r="Q87" s="23">
        <f t="shared" si="19"/>
        <v>1</v>
      </c>
      <c r="R87" s="716">
        <f t="shared" si="20"/>
        <v>0</v>
      </c>
      <c r="S87" s="361">
        <f t="shared" si="22"/>
        <v>0</v>
      </c>
    </row>
    <row r="88" spans="1:19">
      <c r="A88" s="159"/>
      <c r="B88" s="58"/>
      <c r="C88" s="23">
        <f t="shared" si="12"/>
        <v>1</v>
      </c>
      <c r="D88" s="720"/>
      <c r="E88" s="23">
        <f t="shared" si="13"/>
        <v>1</v>
      </c>
      <c r="F88" s="720"/>
      <c r="G88" s="23">
        <f t="shared" si="14"/>
        <v>1</v>
      </c>
      <c r="H88" s="720"/>
      <c r="I88" s="23">
        <f t="shared" si="15"/>
        <v>1</v>
      </c>
      <c r="J88" s="720"/>
      <c r="K88" s="23">
        <f t="shared" si="16"/>
        <v>1</v>
      </c>
      <c r="L88" s="720"/>
      <c r="M88" s="23">
        <f t="shared" si="17"/>
        <v>1</v>
      </c>
      <c r="N88" s="720"/>
      <c r="O88" s="23">
        <f t="shared" si="18"/>
        <v>1</v>
      </c>
      <c r="P88" s="720"/>
      <c r="Q88" s="23">
        <f t="shared" si="19"/>
        <v>1</v>
      </c>
      <c r="R88" s="716">
        <f t="shared" si="20"/>
        <v>0</v>
      </c>
      <c r="S88" s="361">
        <f t="shared" si="22"/>
        <v>0</v>
      </c>
    </row>
    <row r="89" spans="1:19">
      <c r="A89" s="159"/>
      <c r="B89" s="58"/>
      <c r="C89" s="23">
        <f t="shared" si="12"/>
        <v>1</v>
      </c>
      <c r="D89" s="720"/>
      <c r="E89" s="23">
        <f t="shared" si="13"/>
        <v>1</v>
      </c>
      <c r="F89" s="720"/>
      <c r="G89" s="23">
        <f t="shared" si="14"/>
        <v>1</v>
      </c>
      <c r="H89" s="720"/>
      <c r="I89" s="23">
        <f t="shared" si="15"/>
        <v>1</v>
      </c>
      <c r="J89" s="720"/>
      <c r="K89" s="23">
        <f t="shared" si="16"/>
        <v>1</v>
      </c>
      <c r="L89" s="720"/>
      <c r="M89" s="23">
        <f t="shared" si="17"/>
        <v>1</v>
      </c>
      <c r="N89" s="720"/>
      <c r="O89" s="23">
        <f t="shared" si="18"/>
        <v>1</v>
      </c>
      <c r="P89" s="720"/>
      <c r="Q89" s="23">
        <f t="shared" si="19"/>
        <v>1</v>
      </c>
      <c r="R89" s="716">
        <f t="shared" si="20"/>
        <v>0</v>
      </c>
      <c r="S89" s="361">
        <f t="shared" si="22"/>
        <v>0</v>
      </c>
    </row>
    <row r="90" spans="1:19">
      <c r="A90" s="159"/>
      <c r="B90" s="58"/>
      <c r="C90" s="23">
        <f t="shared" ref="C90:C153" si="23">IF(B90="",1,(LOOKUP(B90,$3:$3,$4:$4)-LOOKUP($B$24,$3:$3,$4:$4)+100)/100)</f>
        <v>1</v>
      </c>
      <c r="D90" s="720"/>
      <c r="E90" s="23">
        <f t="shared" ref="E90:E153" si="24">(SUMIF($5:$5,D90,$6:$6)-SUMIF($5:$5,$D$24,$6:$6)+100)/100</f>
        <v>1</v>
      </c>
      <c r="F90" s="720"/>
      <c r="G90" s="23">
        <f t="shared" ref="G90:G153" si="25">(SUMIF($7:$7,F90,$8:$8)-SUMIF($7:$7,$F$24,$8:$8)+100)/100</f>
        <v>1</v>
      </c>
      <c r="H90" s="720"/>
      <c r="I90" s="23">
        <f t="shared" ref="I90:I153" si="26">(SUMIF($9:$9,H90,$10:$10)-SUMIF($9:$9,$H$24,$10:$10)+100)/100</f>
        <v>1</v>
      </c>
      <c r="J90" s="720"/>
      <c r="K90" s="23">
        <f t="shared" ref="K90:K153" si="27">(SUMIF($11:$11,J90,$12:$12)-SUMIF($11:$11,$J$24,$12:$12)+100)/100</f>
        <v>1</v>
      </c>
      <c r="L90" s="720"/>
      <c r="M90" s="23">
        <f t="shared" ref="M90:M153" si="28">(SUMIF($13:$13,L90,$14:$14)-SUMIF($13:$13,$L$24,$14:$14)+100)/100</f>
        <v>1</v>
      </c>
      <c r="N90" s="720"/>
      <c r="O90" s="23">
        <f t="shared" ref="O90:O153" si="29">(SUMIF($15:$15,N90,$16:$16)-SUMIF($15:$15,$N$24,$16:$16)+100)/100</f>
        <v>1</v>
      </c>
      <c r="P90" s="720"/>
      <c r="Q90" s="23">
        <f t="shared" ref="Q90:Q153" si="30">(SUMIF($17:$17,P90,$18:$18)-SUMIF($17:$17,$P$24,$18:$18)+100)/100</f>
        <v>1</v>
      </c>
      <c r="R90" s="716">
        <f t="shared" ref="R90:R153" si="31">IF(B90="",0,ROUND($R$24*C90*E90*G90*I90*K90*M90*O90*Q90,0))</f>
        <v>0</v>
      </c>
      <c r="S90" s="361">
        <f t="shared" si="22"/>
        <v>0</v>
      </c>
    </row>
    <row r="91" spans="1:19">
      <c r="A91" s="159"/>
      <c r="B91" s="58"/>
      <c r="C91" s="23">
        <f t="shared" si="23"/>
        <v>1</v>
      </c>
      <c r="D91" s="720"/>
      <c r="E91" s="23">
        <f t="shared" si="24"/>
        <v>1</v>
      </c>
      <c r="F91" s="720"/>
      <c r="G91" s="23">
        <f t="shared" si="25"/>
        <v>1</v>
      </c>
      <c r="H91" s="720"/>
      <c r="I91" s="23">
        <f t="shared" si="26"/>
        <v>1</v>
      </c>
      <c r="J91" s="720"/>
      <c r="K91" s="23">
        <f t="shared" si="27"/>
        <v>1</v>
      </c>
      <c r="L91" s="720"/>
      <c r="M91" s="23">
        <f t="shared" si="28"/>
        <v>1</v>
      </c>
      <c r="N91" s="720"/>
      <c r="O91" s="23">
        <f t="shared" si="29"/>
        <v>1</v>
      </c>
      <c r="P91" s="720"/>
      <c r="Q91" s="23">
        <f t="shared" si="30"/>
        <v>1</v>
      </c>
      <c r="R91" s="716">
        <f t="shared" si="31"/>
        <v>0</v>
      </c>
      <c r="S91" s="361">
        <f t="shared" si="22"/>
        <v>0</v>
      </c>
    </row>
    <row r="92" spans="1:19">
      <c r="A92" s="159"/>
      <c r="B92" s="58"/>
      <c r="C92" s="23">
        <f t="shared" si="23"/>
        <v>1</v>
      </c>
      <c r="D92" s="720"/>
      <c r="E92" s="23">
        <f t="shared" si="24"/>
        <v>1</v>
      </c>
      <c r="F92" s="720"/>
      <c r="G92" s="23">
        <f t="shared" si="25"/>
        <v>1</v>
      </c>
      <c r="H92" s="720"/>
      <c r="I92" s="23">
        <f t="shared" si="26"/>
        <v>1</v>
      </c>
      <c r="J92" s="720"/>
      <c r="K92" s="23">
        <f t="shared" si="27"/>
        <v>1</v>
      </c>
      <c r="L92" s="720"/>
      <c r="M92" s="23">
        <f t="shared" si="28"/>
        <v>1</v>
      </c>
      <c r="N92" s="720"/>
      <c r="O92" s="23">
        <f t="shared" si="29"/>
        <v>1</v>
      </c>
      <c r="P92" s="720"/>
      <c r="Q92" s="23">
        <f t="shared" si="30"/>
        <v>1</v>
      </c>
      <c r="R92" s="716">
        <f t="shared" si="31"/>
        <v>0</v>
      </c>
      <c r="S92" s="361">
        <f t="shared" si="22"/>
        <v>0</v>
      </c>
    </row>
    <row r="93" spans="1:19">
      <c r="A93" s="159"/>
      <c r="B93" s="58"/>
      <c r="C93" s="23">
        <f t="shared" si="23"/>
        <v>1</v>
      </c>
      <c r="D93" s="720"/>
      <c r="E93" s="23">
        <f t="shared" si="24"/>
        <v>1</v>
      </c>
      <c r="F93" s="720"/>
      <c r="G93" s="23">
        <f t="shared" si="25"/>
        <v>1</v>
      </c>
      <c r="H93" s="720"/>
      <c r="I93" s="23">
        <f t="shared" si="26"/>
        <v>1</v>
      </c>
      <c r="J93" s="720"/>
      <c r="K93" s="23">
        <f t="shared" si="27"/>
        <v>1</v>
      </c>
      <c r="L93" s="720"/>
      <c r="M93" s="23">
        <f t="shared" si="28"/>
        <v>1</v>
      </c>
      <c r="N93" s="720"/>
      <c r="O93" s="23">
        <f t="shared" si="29"/>
        <v>1</v>
      </c>
      <c r="P93" s="720"/>
      <c r="Q93" s="23">
        <f t="shared" si="30"/>
        <v>1</v>
      </c>
      <c r="R93" s="716">
        <f t="shared" si="31"/>
        <v>0</v>
      </c>
      <c r="S93" s="361">
        <f t="shared" si="22"/>
        <v>0</v>
      </c>
    </row>
    <row r="94" spans="1:19">
      <c r="A94" s="159"/>
      <c r="B94" s="58"/>
      <c r="C94" s="23">
        <f t="shared" si="23"/>
        <v>1</v>
      </c>
      <c r="D94" s="720"/>
      <c r="E94" s="23">
        <f t="shared" si="24"/>
        <v>1</v>
      </c>
      <c r="F94" s="720"/>
      <c r="G94" s="23">
        <f t="shared" si="25"/>
        <v>1</v>
      </c>
      <c r="H94" s="720"/>
      <c r="I94" s="23">
        <f t="shared" si="26"/>
        <v>1</v>
      </c>
      <c r="J94" s="720"/>
      <c r="K94" s="23">
        <f t="shared" si="27"/>
        <v>1</v>
      </c>
      <c r="L94" s="720"/>
      <c r="M94" s="23">
        <f t="shared" si="28"/>
        <v>1</v>
      </c>
      <c r="N94" s="720"/>
      <c r="O94" s="23">
        <f t="shared" si="29"/>
        <v>1</v>
      </c>
      <c r="P94" s="720"/>
      <c r="Q94" s="23">
        <f t="shared" si="30"/>
        <v>1</v>
      </c>
      <c r="R94" s="716">
        <f t="shared" si="31"/>
        <v>0</v>
      </c>
      <c r="S94" s="361">
        <f t="shared" si="22"/>
        <v>0</v>
      </c>
    </row>
    <row r="95" spans="1:19">
      <c r="A95" s="159"/>
      <c r="B95" s="58"/>
      <c r="C95" s="23">
        <f t="shared" si="23"/>
        <v>1</v>
      </c>
      <c r="D95" s="720"/>
      <c r="E95" s="23">
        <f t="shared" si="24"/>
        <v>1</v>
      </c>
      <c r="F95" s="720"/>
      <c r="G95" s="23">
        <f t="shared" si="25"/>
        <v>1</v>
      </c>
      <c r="H95" s="720"/>
      <c r="I95" s="23">
        <f t="shared" si="26"/>
        <v>1</v>
      </c>
      <c r="J95" s="720"/>
      <c r="K95" s="23">
        <f t="shared" si="27"/>
        <v>1</v>
      </c>
      <c r="L95" s="720"/>
      <c r="M95" s="23">
        <f t="shared" si="28"/>
        <v>1</v>
      </c>
      <c r="N95" s="720"/>
      <c r="O95" s="23">
        <f t="shared" si="29"/>
        <v>1</v>
      </c>
      <c r="P95" s="720"/>
      <c r="Q95" s="23">
        <f t="shared" si="30"/>
        <v>1</v>
      </c>
      <c r="R95" s="716">
        <f t="shared" si="31"/>
        <v>0</v>
      </c>
      <c r="S95" s="361">
        <f t="shared" si="22"/>
        <v>0</v>
      </c>
    </row>
    <row r="96" spans="1:19">
      <c r="A96" s="159"/>
      <c r="B96" s="58"/>
      <c r="C96" s="23">
        <f t="shared" si="23"/>
        <v>1</v>
      </c>
      <c r="D96" s="720"/>
      <c r="E96" s="23">
        <f t="shared" si="24"/>
        <v>1</v>
      </c>
      <c r="F96" s="720"/>
      <c r="G96" s="23">
        <f t="shared" si="25"/>
        <v>1</v>
      </c>
      <c r="H96" s="720"/>
      <c r="I96" s="23">
        <f t="shared" si="26"/>
        <v>1</v>
      </c>
      <c r="J96" s="720"/>
      <c r="K96" s="23">
        <f t="shared" si="27"/>
        <v>1</v>
      </c>
      <c r="L96" s="720"/>
      <c r="M96" s="23">
        <f t="shared" si="28"/>
        <v>1</v>
      </c>
      <c r="N96" s="720"/>
      <c r="O96" s="23">
        <f t="shared" si="29"/>
        <v>1</v>
      </c>
      <c r="P96" s="720"/>
      <c r="Q96" s="23">
        <f t="shared" si="30"/>
        <v>1</v>
      </c>
      <c r="R96" s="716">
        <f t="shared" si="31"/>
        <v>0</v>
      </c>
      <c r="S96" s="361">
        <f t="shared" si="22"/>
        <v>0</v>
      </c>
    </row>
    <row r="97" spans="1:19">
      <c r="A97" s="159"/>
      <c r="B97" s="58"/>
      <c r="C97" s="23">
        <f t="shared" si="23"/>
        <v>1</v>
      </c>
      <c r="D97" s="720"/>
      <c r="E97" s="23">
        <f t="shared" si="24"/>
        <v>1</v>
      </c>
      <c r="F97" s="720"/>
      <c r="G97" s="23">
        <f t="shared" si="25"/>
        <v>1</v>
      </c>
      <c r="H97" s="720"/>
      <c r="I97" s="23">
        <f t="shared" si="26"/>
        <v>1</v>
      </c>
      <c r="J97" s="720"/>
      <c r="K97" s="23">
        <f t="shared" si="27"/>
        <v>1</v>
      </c>
      <c r="L97" s="720"/>
      <c r="M97" s="23">
        <f t="shared" si="28"/>
        <v>1</v>
      </c>
      <c r="N97" s="720"/>
      <c r="O97" s="23">
        <f t="shared" si="29"/>
        <v>1</v>
      </c>
      <c r="P97" s="720"/>
      <c r="Q97" s="23">
        <f t="shared" si="30"/>
        <v>1</v>
      </c>
      <c r="R97" s="716">
        <f t="shared" si="31"/>
        <v>0</v>
      </c>
      <c r="S97" s="361">
        <f t="shared" si="22"/>
        <v>0</v>
      </c>
    </row>
    <row r="98" spans="1:19">
      <c r="A98" s="159"/>
      <c r="B98" s="58"/>
      <c r="C98" s="23">
        <f t="shared" si="23"/>
        <v>1</v>
      </c>
      <c r="D98" s="720"/>
      <c r="E98" s="23">
        <f t="shared" si="24"/>
        <v>1</v>
      </c>
      <c r="F98" s="720"/>
      <c r="G98" s="23">
        <f t="shared" si="25"/>
        <v>1</v>
      </c>
      <c r="H98" s="720"/>
      <c r="I98" s="23">
        <f t="shared" si="26"/>
        <v>1</v>
      </c>
      <c r="J98" s="720"/>
      <c r="K98" s="23">
        <f t="shared" si="27"/>
        <v>1</v>
      </c>
      <c r="L98" s="720"/>
      <c r="M98" s="23">
        <f t="shared" si="28"/>
        <v>1</v>
      </c>
      <c r="N98" s="720"/>
      <c r="O98" s="23">
        <f t="shared" si="29"/>
        <v>1</v>
      </c>
      <c r="P98" s="720"/>
      <c r="Q98" s="23">
        <f t="shared" si="30"/>
        <v>1</v>
      </c>
      <c r="R98" s="716">
        <f t="shared" si="31"/>
        <v>0</v>
      </c>
      <c r="S98" s="361">
        <f t="shared" si="22"/>
        <v>0</v>
      </c>
    </row>
    <row r="99" spans="1:19">
      <c r="A99" s="159"/>
      <c r="B99" s="58"/>
      <c r="C99" s="23">
        <f t="shared" si="23"/>
        <v>1</v>
      </c>
      <c r="D99" s="720"/>
      <c r="E99" s="23">
        <f t="shared" si="24"/>
        <v>1</v>
      </c>
      <c r="F99" s="720"/>
      <c r="G99" s="23">
        <f t="shared" si="25"/>
        <v>1</v>
      </c>
      <c r="H99" s="720"/>
      <c r="I99" s="23">
        <f t="shared" si="26"/>
        <v>1</v>
      </c>
      <c r="J99" s="720"/>
      <c r="K99" s="23">
        <f t="shared" si="27"/>
        <v>1</v>
      </c>
      <c r="L99" s="720"/>
      <c r="M99" s="23">
        <f t="shared" si="28"/>
        <v>1</v>
      </c>
      <c r="N99" s="720"/>
      <c r="O99" s="23">
        <f t="shared" si="29"/>
        <v>1</v>
      </c>
      <c r="P99" s="720"/>
      <c r="Q99" s="23">
        <f t="shared" si="30"/>
        <v>1</v>
      </c>
      <c r="R99" s="716">
        <f t="shared" si="31"/>
        <v>0</v>
      </c>
      <c r="S99" s="361">
        <f t="shared" si="22"/>
        <v>0</v>
      </c>
    </row>
    <row r="100" spans="1:19">
      <c r="A100" s="159"/>
      <c r="B100" s="58"/>
      <c r="C100" s="23">
        <f t="shared" si="23"/>
        <v>1</v>
      </c>
      <c r="D100" s="720"/>
      <c r="E100" s="23">
        <f t="shared" si="24"/>
        <v>1</v>
      </c>
      <c r="F100" s="720"/>
      <c r="G100" s="23">
        <f t="shared" si="25"/>
        <v>1</v>
      </c>
      <c r="H100" s="720"/>
      <c r="I100" s="23">
        <f t="shared" si="26"/>
        <v>1</v>
      </c>
      <c r="J100" s="720"/>
      <c r="K100" s="23">
        <f t="shared" si="27"/>
        <v>1</v>
      </c>
      <c r="L100" s="720"/>
      <c r="M100" s="23">
        <f t="shared" si="28"/>
        <v>1</v>
      </c>
      <c r="N100" s="720"/>
      <c r="O100" s="23">
        <f t="shared" si="29"/>
        <v>1</v>
      </c>
      <c r="P100" s="720"/>
      <c r="Q100" s="23">
        <f t="shared" si="30"/>
        <v>1</v>
      </c>
      <c r="R100" s="716">
        <f t="shared" si="31"/>
        <v>0</v>
      </c>
      <c r="S100" s="361">
        <f t="shared" si="22"/>
        <v>0</v>
      </c>
    </row>
    <row r="101" spans="1:19">
      <c r="A101" s="159"/>
      <c r="B101" s="58"/>
      <c r="C101" s="23">
        <f t="shared" si="23"/>
        <v>1</v>
      </c>
      <c r="D101" s="720"/>
      <c r="E101" s="23">
        <f t="shared" si="24"/>
        <v>1</v>
      </c>
      <c r="F101" s="720"/>
      <c r="G101" s="23">
        <f t="shared" si="25"/>
        <v>1</v>
      </c>
      <c r="H101" s="720"/>
      <c r="I101" s="23">
        <f t="shared" si="26"/>
        <v>1</v>
      </c>
      <c r="J101" s="720"/>
      <c r="K101" s="23">
        <f t="shared" si="27"/>
        <v>1</v>
      </c>
      <c r="L101" s="720"/>
      <c r="M101" s="23">
        <f t="shared" si="28"/>
        <v>1</v>
      </c>
      <c r="N101" s="720"/>
      <c r="O101" s="23">
        <f t="shared" si="29"/>
        <v>1</v>
      </c>
      <c r="P101" s="720"/>
      <c r="Q101" s="23">
        <f t="shared" si="30"/>
        <v>1</v>
      </c>
      <c r="R101" s="716">
        <f t="shared" si="31"/>
        <v>0</v>
      </c>
      <c r="S101" s="361">
        <f t="shared" si="22"/>
        <v>0</v>
      </c>
    </row>
    <row r="102" spans="1:19">
      <c r="A102" s="159"/>
      <c r="B102" s="58"/>
      <c r="C102" s="23">
        <f t="shared" si="23"/>
        <v>1</v>
      </c>
      <c r="D102" s="720"/>
      <c r="E102" s="23">
        <f t="shared" si="24"/>
        <v>1</v>
      </c>
      <c r="F102" s="720"/>
      <c r="G102" s="23">
        <f t="shared" si="25"/>
        <v>1</v>
      </c>
      <c r="H102" s="720"/>
      <c r="I102" s="23">
        <f t="shared" si="26"/>
        <v>1</v>
      </c>
      <c r="J102" s="720"/>
      <c r="K102" s="23">
        <f t="shared" si="27"/>
        <v>1</v>
      </c>
      <c r="L102" s="720"/>
      <c r="M102" s="23">
        <f t="shared" si="28"/>
        <v>1</v>
      </c>
      <c r="N102" s="720"/>
      <c r="O102" s="23">
        <f t="shared" si="29"/>
        <v>1</v>
      </c>
      <c r="P102" s="720"/>
      <c r="Q102" s="23">
        <f t="shared" si="30"/>
        <v>1</v>
      </c>
      <c r="R102" s="716">
        <f t="shared" si="31"/>
        <v>0</v>
      </c>
      <c r="S102" s="361">
        <f t="shared" si="22"/>
        <v>0</v>
      </c>
    </row>
    <row r="103" spans="1:19">
      <c r="A103" s="159"/>
      <c r="B103" s="58"/>
      <c r="C103" s="23">
        <f t="shared" si="23"/>
        <v>1</v>
      </c>
      <c r="D103" s="720"/>
      <c r="E103" s="23">
        <f t="shared" si="24"/>
        <v>1</v>
      </c>
      <c r="F103" s="720"/>
      <c r="G103" s="23">
        <f t="shared" si="25"/>
        <v>1</v>
      </c>
      <c r="H103" s="720"/>
      <c r="I103" s="23">
        <f t="shared" si="26"/>
        <v>1</v>
      </c>
      <c r="J103" s="720"/>
      <c r="K103" s="23">
        <f t="shared" si="27"/>
        <v>1</v>
      </c>
      <c r="L103" s="720"/>
      <c r="M103" s="23">
        <f t="shared" si="28"/>
        <v>1</v>
      </c>
      <c r="N103" s="720"/>
      <c r="O103" s="23">
        <f t="shared" si="29"/>
        <v>1</v>
      </c>
      <c r="P103" s="720"/>
      <c r="Q103" s="23">
        <f t="shared" si="30"/>
        <v>1</v>
      </c>
      <c r="R103" s="716">
        <f t="shared" si="31"/>
        <v>0</v>
      </c>
      <c r="S103" s="361">
        <f t="shared" si="22"/>
        <v>0</v>
      </c>
    </row>
    <row r="104" spans="1:19">
      <c r="A104" s="159"/>
      <c r="B104" s="58"/>
      <c r="C104" s="23">
        <f t="shared" si="23"/>
        <v>1</v>
      </c>
      <c r="D104" s="720"/>
      <c r="E104" s="23">
        <f t="shared" si="24"/>
        <v>1</v>
      </c>
      <c r="F104" s="720"/>
      <c r="G104" s="23">
        <f t="shared" si="25"/>
        <v>1</v>
      </c>
      <c r="H104" s="720"/>
      <c r="I104" s="23">
        <f t="shared" si="26"/>
        <v>1</v>
      </c>
      <c r="J104" s="720"/>
      <c r="K104" s="23">
        <f t="shared" si="27"/>
        <v>1</v>
      </c>
      <c r="L104" s="720"/>
      <c r="M104" s="23">
        <f t="shared" si="28"/>
        <v>1</v>
      </c>
      <c r="N104" s="720"/>
      <c r="O104" s="23">
        <f t="shared" si="29"/>
        <v>1</v>
      </c>
      <c r="P104" s="720"/>
      <c r="Q104" s="23">
        <f t="shared" si="30"/>
        <v>1</v>
      </c>
      <c r="R104" s="716">
        <f t="shared" si="31"/>
        <v>0</v>
      </c>
      <c r="S104" s="361">
        <f t="shared" si="22"/>
        <v>0</v>
      </c>
    </row>
    <row r="105" spans="1:19">
      <c r="A105" s="159"/>
      <c r="B105" s="58"/>
      <c r="C105" s="23">
        <f t="shared" si="23"/>
        <v>1</v>
      </c>
      <c r="D105" s="720"/>
      <c r="E105" s="23">
        <f t="shared" si="24"/>
        <v>1</v>
      </c>
      <c r="F105" s="720"/>
      <c r="G105" s="23">
        <f t="shared" si="25"/>
        <v>1</v>
      </c>
      <c r="H105" s="720"/>
      <c r="I105" s="23">
        <f t="shared" si="26"/>
        <v>1</v>
      </c>
      <c r="J105" s="720"/>
      <c r="K105" s="23">
        <f t="shared" si="27"/>
        <v>1</v>
      </c>
      <c r="L105" s="720"/>
      <c r="M105" s="23">
        <f t="shared" si="28"/>
        <v>1</v>
      </c>
      <c r="N105" s="720"/>
      <c r="O105" s="23">
        <f t="shared" si="29"/>
        <v>1</v>
      </c>
      <c r="P105" s="720"/>
      <c r="Q105" s="23">
        <f t="shared" si="30"/>
        <v>1</v>
      </c>
      <c r="R105" s="716">
        <f t="shared" si="31"/>
        <v>0</v>
      </c>
      <c r="S105" s="361">
        <f t="shared" si="22"/>
        <v>0</v>
      </c>
    </row>
    <row r="106" spans="1:19">
      <c r="A106" s="159"/>
      <c r="B106" s="58"/>
      <c r="C106" s="23">
        <f t="shared" si="23"/>
        <v>1</v>
      </c>
      <c r="D106" s="720"/>
      <c r="E106" s="23">
        <f t="shared" si="24"/>
        <v>1</v>
      </c>
      <c r="F106" s="720"/>
      <c r="G106" s="23">
        <f t="shared" si="25"/>
        <v>1</v>
      </c>
      <c r="H106" s="720"/>
      <c r="I106" s="23">
        <f t="shared" si="26"/>
        <v>1</v>
      </c>
      <c r="J106" s="720"/>
      <c r="K106" s="23">
        <f t="shared" si="27"/>
        <v>1</v>
      </c>
      <c r="L106" s="720"/>
      <c r="M106" s="23">
        <f t="shared" si="28"/>
        <v>1</v>
      </c>
      <c r="N106" s="720"/>
      <c r="O106" s="23">
        <f t="shared" si="29"/>
        <v>1</v>
      </c>
      <c r="P106" s="720"/>
      <c r="Q106" s="23">
        <f t="shared" si="30"/>
        <v>1</v>
      </c>
      <c r="R106" s="716">
        <f t="shared" si="31"/>
        <v>0</v>
      </c>
      <c r="S106" s="361">
        <f t="shared" si="22"/>
        <v>0</v>
      </c>
    </row>
    <row r="107" spans="1:19">
      <c r="A107" s="159"/>
      <c r="B107" s="58"/>
      <c r="C107" s="23">
        <f t="shared" si="23"/>
        <v>1</v>
      </c>
      <c r="D107" s="720"/>
      <c r="E107" s="23">
        <f t="shared" si="24"/>
        <v>1</v>
      </c>
      <c r="F107" s="720"/>
      <c r="G107" s="23">
        <f t="shared" si="25"/>
        <v>1</v>
      </c>
      <c r="H107" s="720"/>
      <c r="I107" s="23">
        <f t="shared" si="26"/>
        <v>1</v>
      </c>
      <c r="J107" s="720"/>
      <c r="K107" s="23">
        <f t="shared" si="27"/>
        <v>1</v>
      </c>
      <c r="L107" s="720"/>
      <c r="M107" s="23">
        <f t="shared" si="28"/>
        <v>1</v>
      </c>
      <c r="N107" s="720"/>
      <c r="O107" s="23">
        <f t="shared" si="29"/>
        <v>1</v>
      </c>
      <c r="P107" s="720"/>
      <c r="Q107" s="23">
        <f t="shared" si="30"/>
        <v>1</v>
      </c>
      <c r="R107" s="716">
        <f t="shared" si="31"/>
        <v>0</v>
      </c>
      <c r="S107" s="361">
        <f t="shared" si="22"/>
        <v>0</v>
      </c>
    </row>
    <row r="108" spans="1:19">
      <c r="A108" s="159"/>
      <c r="B108" s="58"/>
      <c r="C108" s="23">
        <f t="shared" si="23"/>
        <v>1</v>
      </c>
      <c r="D108" s="720"/>
      <c r="E108" s="23">
        <f t="shared" si="24"/>
        <v>1</v>
      </c>
      <c r="F108" s="720"/>
      <c r="G108" s="23">
        <f t="shared" si="25"/>
        <v>1</v>
      </c>
      <c r="H108" s="720"/>
      <c r="I108" s="23">
        <f t="shared" si="26"/>
        <v>1</v>
      </c>
      <c r="J108" s="720"/>
      <c r="K108" s="23">
        <f t="shared" si="27"/>
        <v>1</v>
      </c>
      <c r="L108" s="720"/>
      <c r="M108" s="23">
        <f t="shared" si="28"/>
        <v>1</v>
      </c>
      <c r="N108" s="720"/>
      <c r="O108" s="23">
        <f t="shared" si="29"/>
        <v>1</v>
      </c>
      <c r="P108" s="720"/>
      <c r="Q108" s="23">
        <f t="shared" si="30"/>
        <v>1</v>
      </c>
      <c r="R108" s="716">
        <f t="shared" si="31"/>
        <v>0</v>
      </c>
      <c r="S108" s="361">
        <f t="shared" si="22"/>
        <v>0</v>
      </c>
    </row>
    <row r="109" spans="1:19">
      <c r="A109" s="159"/>
      <c r="B109" s="58"/>
      <c r="C109" s="23">
        <f t="shared" si="23"/>
        <v>1</v>
      </c>
      <c r="D109" s="720"/>
      <c r="E109" s="23">
        <f t="shared" si="24"/>
        <v>1</v>
      </c>
      <c r="F109" s="720"/>
      <c r="G109" s="23">
        <f t="shared" si="25"/>
        <v>1</v>
      </c>
      <c r="H109" s="720"/>
      <c r="I109" s="23">
        <f t="shared" si="26"/>
        <v>1</v>
      </c>
      <c r="J109" s="720"/>
      <c r="K109" s="23">
        <f t="shared" si="27"/>
        <v>1</v>
      </c>
      <c r="L109" s="720"/>
      <c r="M109" s="23">
        <f t="shared" si="28"/>
        <v>1</v>
      </c>
      <c r="N109" s="720"/>
      <c r="O109" s="23">
        <f t="shared" si="29"/>
        <v>1</v>
      </c>
      <c r="P109" s="720"/>
      <c r="Q109" s="23">
        <f t="shared" si="30"/>
        <v>1</v>
      </c>
      <c r="R109" s="716">
        <f t="shared" si="31"/>
        <v>0</v>
      </c>
      <c r="S109" s="361">
        <f t="shared" si="22"/>
        <v>0</v>
      </c>
    </row>
    <row r="110" spans="1:19">
      <c r="A110" s="159"/>
      <c r="B110" s="58"/>
      <c r="C110" s="23">
        <f t="shared" si="23"/>
        <v>1</v>
      </c>
      <c r="D110" s="720"/>
      <c r="E110" s="23">
        <f t="shared" si="24"/>
        <v>1</v>
      </c>
      <c r="F110" s="720"/>
      <c r="G110" s="23">
        <f t="shared" si="25"/>
        <v>1</v>
      </c>
      <c r="H110" s="720"/>
      <c r="I110" s="23">
        <f t="shared" si="26"/>
        <v>1</v>
      </c>
      <c r="J110" s="720"/>
      <c r="K110" s="23">
        <f t="shared" si="27"/>
        <v>1</v>
      </c>
      <c r="L110" s="720"/>
      <c r="M110" s="23">
        <f t="shared" si="28"/>
        <v>1</v>
      </c>
      <c r="N110" s="720"/>
      <c r="O110" s="23">
        <f t="shared" si="29"/>
        <v>1</v>
      </c>
      <c r="P110" s="720"/>
      <c r="Q110" s="23">
        <f t="shared" si="30"/>
        <v>1</v>
      </c>
      <c r="R110" s="716">
        <f t="shared" si="31"/>
        <v>0</v>
      </c>
      <c r="S110" s="361">
        <f t="shared" si="22"/>
        <v>0</v>
      </c>
    </row>
    <row r="111" spans="1:19">
      <c r="A111" s="159"/>
      <c r="B111" s="58"/>
      <c r="C111" s="23">
        <f t="shared" si="23"/>
        <v>1</v>
      </c>
      <c r="D111" s="720"/>
      <c r="E111" s="23">
        <f t="shared" si="24"/>
        <v>1</v>
      </c>
      <c r="F111" s="720"/>
      <c r="G111" s="23">
        <f t="shared" si="25"/>
        <v>1</v>
      </c>
      <c r="H111" s="720"/>
      <c r="I111" s="23">
        <f t="shared" si="26"/>
        <v>1</v>
      </c>
      <c r="J111" s="720"/>
      <c r="K111" s="23">
        <f t="shared" si="27"/>
        <v>1</v>
      </c>
      <c r="L111" s="720"/>
      <c r="M111" s="23">
        <f t="shared" si="28"/>
        <v>1</v>
      </c>
      <c r="N111" s="720"/>
      <c r="O111" s="23">
        <f t="shared" si="29"/>
        <v>1</v>
      </c>
      <c r="P111" s="720"/>
      <c r="Q111" s="23">
        <f t="shared" si="30"/>
        <v>1</v>
      </c>
      <c r="R111" s="716">
        <f t="shared" si="31"/>
        <v>0</v>
      </c>
      <c r="S111" s="361">
        <f t="shared" si="22"/>
        <v>0</v>
      </c>
    </row>
    <row r="112" spans="1:19">
      <c r="A112" s="159"/>
      <c r="B112" s="58"/>
      <c r="C112" s="23">
        <f t="shared" si="23"/>
        <v>1</v>
      </c>
      <c r="D112" s="720"/>
      <c r="E112" s="23">
        <f t="shared" si="24"/>
        <v>1</v>
      </c>
      <c r="F112" s="720"/>
      <c r="G112" s="23">
        <f t="shared" si="25"/>
        <v>1</v>
      </c>
      <c r="H112" s="720"/>
      <c r="I112" s="23">
        <f t="shared" si="26"/>
        <v>1</v>
      </c>
      <c r="J112" s="720"/>
      <c r="K112" s="23">
        <f t="shared" si="27"/>
        <v>1</v>
      </c>
      <c r="L112" s="720"/>
      <c r="M112" s="23">
        <f t="shared" si="28"/>
        <v>1</v>
      </c>
      <c r="N112" s="720"/>
      <c r="O112" s="23">
        <f t="shared" si="29"/>
        <v>1</v>
      </c>
      <c r="P112" s="720"/>
      <c r="Q112" s="23">
        <f t="shared" si="30"/>
        <v>1</v>
      </c>
      <c r="R112" s="716">
        <f t="shared" si="31"/>
        <v>0</v>
      </c>
      <c r="S112" s="361">
        <f t="shared" si="22"/>
        <v>0</v>
      </c>
    </row>
    <row r="113" spans="1:19">
      <c r="A113" s="159"/>
      <c r="B113" s="58"/>
      <c r="C113" s="23">
        <f t="shared" si="23"/>
        <v>1</v>
      </c>
      <c r="D113" s="720"/>
      <c r="E113" s="23">
        <f t="shared" si="24"/>
        <v>1</v>
      </c>
      <c r="F113" s="720"/>
      <c r="G113" s="23">
        <f t="shared" si="25"/>
        <v>1</v>
      </c>
      <c r="H113" s="720"/>
      <c r="I113" s="23">
        <f t="shared" si="26"/>
        <v>1</v>
      </c>
      <c r="J113" s="720"/>
      <c r="K113" s="23">
        <f t="shared" si="27"/>
        <v>1</v>
      </c>
      <c r="L113" s="720"/>
      <c r="M113" s="23">
        <f t="shared" si="28"/>
        <v>1</v>
      </c>
      <c r="N113" s="720"/>
      <c r="O113" s="23">
        <f t="shared" si="29"/>
        <v>1</v>
      </c>
      <c r="P113" s="720"/>
      <c r="Q113" s="23">
        <f t="shared" si="30"/>
        <v>1</v>
      </c>
      <c r="R113" s="716">
        <f t="shared" si="31"/>
        <v>0</v>
      </c>
      <c r="S113" s="361">
        <f t="shared" si="22"/>
        <v>0</v>
      </c>
    </row>
    <row r="114" spans="1:19">
      <c r="A114" s="159"/>
      <c r="B114" s="58"/>
      <c r="C114" s="23">
        <f t="shared" si="23"/>
        <v>1</v>
      </c>
      <c r="D114" s="720"/>
      <c r="E114" s="23">
        <f t="shared" si="24"/>
        <v>1</v>
      </c>
      <c r="F114" s="720"/>
      <c r="G114" s="23">
        <f t="shared" si="25"/>
        <v>1</v>
      </c>
      <c r="H114" s="720"/>
      <c r="I114" s="23">
        <f t="shared" si="26"/>
        <v>1</v>
      </c>
      <c r="J114" s="720"/>
      <c r="K114" s="23">
        <f t="shared" si="27"/>
        <v>1</v>
      </c>
      <c r="L114" s="720"/>
      <c r="M114" s="23">
        <f t="shared" si="28"/>
        <v>1</v>
      </c>
      <c r="N114" s="720"/>
      <c r="O114" s="23">
        <f t="shared" si="29"/>
        <v>1</v>
      </c>
      <c r="P114" s="720"/>
      <c r="Q114" s="23">
        <f t="shared" si="30"/>
        <v>1</v>
      </c>
      <c r="R114" s="716">
        <f t="shared" si="31"/>
        <v>0</v>
      </c>
      <c r="S114" s="361">
        <f t="shared" si="22"/>
        <v>0</v>
      </c>
    </row>
    <row r="115" spans="1:19">
      <c r="A115" s="159"/>
      <c r="B115" s="58"/>
      <c r="C115" s="23">
        <f t="shared" si="23"/>
        <v>1</v>
      </c>
      <c r="D115" s="720"/>
      <c r="E115" s="23">
        <f t="shared" si="24"/>
        <v>1</v>
      </c>
      <c r="F115" s="720"/>
      <c r="G115" s="23">
        <f t="shared" si="25"/>
        <v>1</v>
      </c>
      <c r="H115" s="720"/>
      <c r="I115" s="23">
        <f t="shared" si="26"/>
        <v>1</v>
      </c>
      <c r="J115" s="720"/>
      <c r="K115" s="23">
        <f t="shared" si="27"/>
        <v>1</v>
      </c>
      <c r="L115" s="720"/>
      <c r="M115" s="23">
        <f t="shared" si="28"/>
        <v>1</v>
      </c>
      <c r="N115" s="720"/>
      <c r="O115" s="23">
        <f t="shared" si="29"/>
        <v>1</v>
      </c>
      <c r="P115" s="720"/>
      <c r="Q115" s="23">
        <f t="shared" si="30"/>
        <v>1</v>
      </c>
      <c r="R115" s="716">
        <f t="shared" si="31"/>
        <v>0</v>
      </c>
      <c r="S115" s="361">
        <f t="shared" si="22"/>
        <v>0</v>
      </c>
    </row>
    <row r="116" spans="1:19">
      <c r="A116" s="159"/>
      <c r="B116" s="58"/>
      <c r="C116" s="23">
        <f t="shared" si="23"/>
        <v>1</v>
      </c>
      <c r="D116" s="720"/>
      <c r="E116" s="23">
        <f t="shared" si="24"/>
        <v>1</v>
      </c>
      <c r="F116" s="720"/>
      <c r="G116" s="23">
        <f t="shared" si="25"/>
        <v>1</v>
      </c>
      <c r="H116" s="720"/>
      <c r="I116" s="23">
        <f t="shared" si="26"/>
        <v>1</v>
      </c>
      <c r="J116" s="720"/>
      <c r="K116" s="23">
        <f t="shared" si="27"/>
        <v>1</v>
      </c>
      <c r="L116" s="720"/>
      <c r="M116" s="23">
        <f t="shared" si="28"/>
        <v>1</v>
      </c>
      <c r="N116" s="720"/>
      <c r="O116" s="23">
        <f t="shared" si="29"/>
        <v>1</v>
      </c>
      <c r="P116" s="720"/>
      <c r="Q116" s="23">
        <f t="shared" si="30"/>
        <v>1</v>
      </c>
      <c r="R116" s="716">
        <f t="shared" si="31"/>
        <v>0</v>
      </c>
      <c r="S116" s="361">
        <f t="shared" si="22"/>
        <v>0</v>
      </c>
    </row>
    <row r="117" spans="1:19">
      <c r="A117" s="159"/>
      <c r="B117" s="58"/>
      <c r="C117" s="23">
        <f t="shared" si="23"/>
        <v>1</v>
      </c>
      <c r="D117" s="720"/>
      <c r="E117" s="23">
        <f t="shared" si="24"/>
        <v>1</v>
      </c>
      <c r="F117" s="720"/>
      <c r="G117" s="23">
        <f t="shared" si="25"/>
        <v>1</v>
      </c>
      <c r="H117" s="720"/>
      <c r="I117" s="23">
        <f t="shared" si="26"/>
        <v>1</v>
      </c>
      <c r="J117" s="720"/>
      <c r="K117" s="23">
        <f t="shared" si="27"/>
        <v>1</v>
      </c>
      <c r="L117" s="720"/>
      <c r="M117" s="23">
        <f t="shared" si="28"/>
        <v>1</v>
      </c>
      <c r="N117" s="720"/>
      <c r="O117" s="23">
        <f t="shared" si="29"/>
        <v>1</v>
      </c>
      <c r="P117" s="720"/>
      <c r="Q117" s="23">
        <f t="shared" si="30"/>
        <v>1</v>
      </c>
      <c r="R117" s="716">
        <f t="shared" si="31"/>
        <v>0</v>
      </c>
      <c r="S117" s="361">
        <f t="shared" si="22"/>
        <v>0</v>
      </c>
    </row>
    <row r="118" spans="1:19">
      <c r="A118" s="159"/>
      <c r="B118" s="58"/>
      <c r="C118" s="23">
        <f t="shared" si="23"/>
        <v>1</v>
      </c>
      <c r="D118" s="720"/>
      <c r="E118" s="23">
        <f t="shared" si="24"/>
        <v>1</v>
      </c>
      <c r="F118" s="720"/>
      <c r="G118" s="23">
        <f t="shared" si="25"/>
        <v>1</v>
      </c>
      <c r="H118" s="720"/>
      <c r="I118" s="23">
        <f t="shared" si="26"/>
        <v>1</v>
      </c>
      <c r="J118" s="720"/>
      <c r="K118" s="23">
        <f t="shared" si="27"/>
        <v>1</v>
      </c>
      <c r="L118" s="720"/>
      <c r="M118" s="23">
        <f t="shared" si="28"/>
        <v>1</v>
      </c>
      <c r="N118" s="720"/>
      <c r="O118" s="23">
        <f t="shared" si="29"/>
        <v>1</v>
      </c>
      <c r="P118" s="720"/>
      <c r="Q118" s="23">
        <f t="shared" si="30"/>
        <v>1</v>
      </c>
      <c r="R118" s="716">
        <f t="shared" si="31"/>
        <v>0</v>
      </c>
      <c r="S118" s="361">
        <f t="shared" si="22"/>
        <v>0</v>
      </c>
    </row>
    <row r="119" spans="1:19">
      <c r="A119" s="159"/>
      <c r="B119" s="58"/>
      <c r="C119" s="23">
        <f t="shared" si="23"/>
        <v>1</v>
      </c>
      <c r="D119" s="720"/>
      <c r="E119" s="23">
        <f t="shared" si="24"/>
        <v>1</v>
      </c>
      <c r="F119" s="720"/>
      <c r="G119" s="23">
        <f t="shared" si="25"/>
        <v>1</v>
      </c>
      <c r="H119" s="720"/>
      <c r="I119" s="23">
        <f t="shared" si="26"/>
        <v>1</v>
      </c>
      <c r="J119" s="720"/>
      <c r="K119" s="23">
        <f t="shared" si="27"/>
        <v>1</v>
      </c>
      <c r="L119" s="720"/>
      <c r="M119" s="23">
        <f t="shared" si="28"/>
        <v>1</v>
      </c>
      <c r="N119" s="720"/>
      <c r="O119" s="23">
        <f t="shared" si="29"/>
        <v>1</v>
      </c>
      <c r="P119" s="720"/>
      <c r="Q119" s="23">
        <f t="shared" si="30"/>
        <v>1</v>
      </c>
      <c r="R119" s="716">
        <f t="shared" si="31"/>
        <v>0</v>
      </c>
      <c r="S119" s="361">
        <f t="shared" si="22"/>
        <v>0</v>
      </c>
    </row>
    <row r="120" spans="1:19">
      <c r="A120" s="159"/>
      <c r="B120" s="58"/>
      <c r="C120" s="23">
        <f t="shared" si="23"/>
        <v>1</v>
      </c>
      <c r="D120" s="720"/>
      <c r="E120" s="23">
        <f t="shared" si="24"/>
        <v>1</v>
      </c>
      <c r="F120" s="720"/>
      <c r="G120" s="23">
        <f t="shared" si="25"/>
        <v>1</v>
      </c>
      <c r="H120" s="720"/>
      <c r="I120" s="23">
        <f t="shared" si="26"/>
        <v>1</v>
      </c>
      <c r="J120" s="720"/>
      <c r="K120" s="23">
        <f t="shared" si="27"/>
        <v>1</v>
      </c>
      <c r="L120" s="720"/>
      <c r="M120" s="23">
        <f t="shared" si="28"/>
        <v>1</v>
      </c>
      <c r="N120" s="720"/>
      <c r="O120" s="23">
        <f t="shared" si="29"/>
        <v>1</v>
      </c>
      <c r="P120" s="720"/>
      <c r="Q120" s="23">
        <f t="shared" si="30"/>
        <v>1</v>
      </c>
      <c r="R120" s="716">
        <f t="shared" si="31"/>
        <v>0</v>
      </c>
      <c r="S120" s="361">
        <f t="shared" si="22"/>
        <v>0</v>
      </c>
    </row>
    <row r="121" spans="1:19">
      <c r="A121" s="159"/>
      <c r="B121" s="58"/>
      <c r="C121" s="23">
        <f t="shared" si="23"/>
        <v>1</v>
      </c>
      <c r="D121" s="720"/>
      <c r="E121" s="23">
        <f t="shared" si="24"/>
        <v>1</v>
      </c>
      <c r="F121" s="720"/>
      <c r="G121" s="23">
        <f t="shared" si="25"/>
        <v>1</v>
      </c>
      <c r="H121" s="720"/>
      <c r="I121" s="23">
        <f t="shared" si="26"/>
        <v>1</v>
      </c>
      <c r="J121" s="720"/>
      <c r="K121" s="23">
        <f t="shared" si="27"/>
        <v>1</v>
      </c>
      <c r="L121" s="720"/>
      <c r="M121" s="23">
        <f t="shared" si="28"/>
        <v>1</v>
      </c>
      <c r="N121" s="720"/>
      <c r="O121" s="23">
        <f t="shared" si="29"/>
        <v>1</v>
      </c>
      <c r="P121" s="720"/>
      <c r="Q121" s="23">
        <f t="shared" si="30"/>
        <v>1</v>
      </c>
      <c r="R121" s="716">
        <f t="shared" si="31"/>
        <v>0</v>
      </c>
      <c r="S121" s="361">
        <f t="shared" si="22"/>
        <v>0</v>
      </c>
    </row>
    <row r="122" spans="1:19">
      <c r="A122" s="159"/>
      <c r="B122" s="58"/>
      <c r="C122" s="23">
        <f t="shared" si="23"/>
        <v>1</v>
      </c>
      <c r="D122" s="720"/>
      <c r="E122" s="23">
        <f t="shared" si="24"/>
        <v>1</v>
      </c>
      <c r="F122" s="720"/>
      <c r="G122" s="23">
        <f t="shared" si="25"/>
        <v>1</v>
      </c>
      <c r="H122" s="720"/>
      <c r="I122" s="23">
        <f t="shared" si="26"/>
        <v>1</v>
      </c>
      <c r="J122" s="720"/>
      <c r="K122" s="23">
        <f t="shared" si="27"/>
        <v>1</v>
      </c>
      <c r="L122" s="720"/>
      <c r="M122" s="23">
        <f t="shared" si="28"/>
        <v>1</v>
      </c>
      <c r="N122" s="720"/>
      <c r="O122" s="23">
        <f t="shared" si="29"/>
        <v>1</v>
      </c>
      <c r="P122" s="720"/>
      <c r="Q122" s="23">
        <f t="shared" si="30"/>
        <v>1</v>
      </c>
      <c r="R122" s="716">
        <f t="shared" si="31"/>
        <v>0</v>
      </c>
      <c r="S122" s="361">
        <f t="shared" si="22"/>
        <v>0</v>
      </c>
    </row>
    <row r="123" spans="1:19">
      <c r="A123" s="159"/>
      <c r="B123" s="58"/>
      <c r="C123" s="23">
        <f t="shared" si="23"/>
        <v>1</v>
      </c>
      <c r="D123" s="720"/>
      <c r="E123" s="23">
        <f t="shared" si="24"/>
        <v>1</v>
      </c>
      <c r="F123" s="720"/>
      <c r="G123" s="23">
        <f t="shared" si="25"/>
        <v>1</v>
      </c>
      <c r="H123" s="720"/>
      <c r="I123" s="23">
        <f t="shared" si="26"/>
        <v>1</v>
      </c>
      <c r="J123" s="720"/>
      <c r="K123" s="23">
        <f t="shared" si="27"/>
        <v>1</v>
      </c>
      <c r="L123" s="720"/>
      <c r="M123" s="23">
        <f t="shared" si="28"/>
        <v>1</v>
      </c>
      <c r="N123" s="720"/>
      <c r="O123" s="23">
        <f t="shared" si="29"/>
        <v>1</v>
      </c>
      <c r="P123" s="720"/>
      <c r="Q123" s="23">
        <f t="shared" si="30"/>
        <v>1</v>
      </c>
      <c r="R123" s="716">
        <f t="shared" si="31"/>
        <v>0</v>
      </c>
      <c r="S123" s="361">
        <f t="shared" ref="S123:S186" si="32">ROUND(R123*B123/10000,0)</f>
        <v>0</v>
      </c>
    </row>
    <row r="124" spans="1:19">
      <c r="A124" s="159"/>
      <c r="B124" s="58"/>
      <c r="C124" s="23">
        <f t="shared" si="23"/>
        <v>1</v>
      </c>
      <c r="D124" s="720"/>
      <c r="E124" s="23">
        <f t="shared" si="24"/>
        <v>1</v>
      </c>
      <c r="F124" s="720"/>
      <c r="G124" s="23">
        <f t="shared" si="25"/>
        <v>1</v>
      </c>
      <c r="H124" s="720"/>
      <c r="I124" s="23">
        <f t="shared" si="26"/>
        <v>1</v>
      </c>
      <c r="J124" s="720"/>
      <c r="K124" s="23">
        <f t="shared" si="27"/>
        <v>1</v>
      </c>
      <c r="L124" s="720"/>
      <c r="M124" s="23">
        <f t="shared" si="28"/>
        <v>1</v>
      </c>
      <c r="N124" s="720"/>
      <c r="O124" s="23">
        <f t="shared" si="29"/>
        <v>1</v>
      </c>
      <c r="P124" s="720"/>
      <c r="Q124" s="23">
        <f t="shared" si="30"/>
        <v>1</v>
      </c>
      <c r="R124" s="716">
        <f t="shared" si="31"/>
        <v>0</v>
      </c>
      <c r="S124" s="361">
        <f t="shared" si="32"/>
        <v>0</v>
      </c>
    </row>
    <row r="125" spans="1:19">
      <c r="A125" s="159"/>
      <c r="B125" s="58"/>
      <c r="C125" s="23">
        <f t="shared" si="23"/>
        <v>1</v>
      </c>
      <c r="D125" s="720"/>
      <c r="E125" s="23">
        <f t="shared" si="24"/>
        <v>1</v>
      </c>
      <c r="F125" s="720"/>
      <c r="G125" s="23">
        <f t="shared" si="25"/>
        <v>1</v>
      </c>
      <c r="H125" s="720"/>
      <c r="I125" s="23">
        <f t="shared" si="26"/>
        <v>1</v>
      </c>
      <c r="J125" s="720"/>
      <c r="K125" s="23">
        <f t="shared" si="27"/>
        <v>1</v>
      </c>
      <c r="L125" s="720"/>
      <c r="M125" s="23">
        <f t="shared" si="28"/>
        <v>1</v>
      </c>
      <c r="N125" s="720"/>
      <c r="O125" s="23">
        <f t="shared" si="29"/>
        <v>1</v>
      </c>
      <c r="P125" s="720"/>
      <c r="Q125" s="23">
        <f t="shared" si="30"/>
        <v>1</v>
      </c>
      <c r="R125" s="716">
        <f t="shared" si="31"/>
        <v>0</v>
      </c>
      <c r="S125" s="361">
        <f t="shared" si="32"/>
        <v>0</v>
      </c>
    </row>
    <row r="126" spans="1:19">
      <c r="A126" s="159"/>
      <c r="B126" s="58"/>
      <c r="C126" s="23">
        <f t="shared" si="23"/>
        <v>1</v>
      </c>
      <c r="D126" s="720"/>
      <c r="E126" s="23">
        <f t="shared" si="24"/>
        <v>1</v>
      </c>
      <c r="F126" s="720"/>
      <c r="G126" s="23">
        <f t="shared" si="25"/>
        <v>1</v>
      </c>
      <c r="H126" s="720"/>
      <c r="I126" s="23">
        <f t="shared" si="26"/>
        <v>1</v>
      </c>
      <c r="J126" s="720"/>
      <c r="K126" s="23">
        <f t="shared" si="27"/>
        <v>1</v>
      </c>
      <c r="L126" s="720"/>
      <c r="M126" s="23">
        <f t="shared" si="28"/>
        <v>1</v>
      </c>
      <c r="N126" s="720"/>
      <c r="O126" s="23">
        <f t="shared" si="29"/>
        <v>1</v>
      </c>
      <c r="P126" s="720"/>
      <c r="Q126" s="23">
        <f t="shared" si="30"/>
        <v>1</v>
      </c>
      <c r="R126" s="716">
        <f t="shared" si="31"/>
        <v>0</v>
      </c>
      <c r="S126" s="361">
        <f t="shared" si="32"/>
        <v>0</v>
      </c>
    </row>
    <row r="127" spans="1:19">
      <c r="A127" s="159"/>
      <c r="B127" s="58"/>
      <c r="C127" s="23">
        <f t="shared" si="23"/>
        <v>1</v>
      </c>
      <c r="D127" s="720"/>
      <c r="E127" s="23">
        <f t="shared" si="24"/>
        <v>1</v>
      </c>
      <c r="F127" s="720"/>
      <c r="G127" s="23">
        <f t="shared" si="25"/>
        <v>1</v>
      </c>
      <c r="H127" s="720"/>
      <c r="I127" s="23">
        <f t="shared" si="26"/>
        <v>1</v>
      </c>
      <c r="J127" s="720"/>
      <c r="K127" s="23">
        <f t="shared" si="27"/>
        <v>1</v>
      </c>
      <c r="L127" s="720"/>
      <c r="M127" s="23">
        <f t="shared" si="28"/>
        <v>1</v>
      </c>
      <c r="N127" s="720"/>
      <c r="O127" s="23">
        <f t="shared" si="29"/>
        <v>1</v>
      </c>
      <c r="P127" s="720"/>
      <c r="Q127" s="23">
        <f t="shared" si="30"/>
        <v>1</v>
      </c>
      <c r="R127" s="716">
        <f t="shared" si="31"/>
        <v>0</v>
      </c>
      <c r="S127" s="361">
        <f t="shared" si="32"/>
        <v>0</v>
      </c>
    </row>
    <row r="128" spans="1:19">
      <c r="A128" s="159"/>
      <c r="B128" s="58"/>
      <c r="C128" s="23">
        <f t="shared" si="23"/>
        <v>1</v>
      </c>
      <c r="D128" s="720"/>
      <c r="E128" s="23">
        <f t="shared" si="24"/>
        <v>1</v>
      </c>
      <c r="F128" s="720"/>
      <c r="G128" s="23">
        <f t="shared" si="25"/>
        <v>1</v>
      </c>
      <c r="H128" s="720"/>
      <c r="I128" s="23">
        <f t="shared" si="26"/>
        <v>1</v>
      </c>
      <c r="J128" s="720"/>
      <c r="K128" s="23">
        <f t="shared" si="27"/>
        <v>1</v>
      </c>
      <c r="L128" s="720"/>
      <c r="M128" s="23">
        <f t="shared" si="28"/>
        <v>1</v>
      </c>
      <c r="N128" s="720"/>
      <c r="O128" s="23">
        <f t="shared" si="29"/>
        <v>1</v>
      </c>
      <c r="P128" s="720"/>
      <c r="Q128" s="23">
        <f t="shared" si="30"/>
        <v>1</v>
      </c>
      <c r="R128" s="716">
        <f t="shared" si="31"/>
        <v>0</v>
      </c>
      <c r="S128" s="361">
        <f t="shared" si="32"/>
        <v>0</v>
      </c>
    </row>
    <row r="129" spans="1:19">
      <c r="A129" s="159"/>
      <c r="B129" s="58"/>
      <c r="C129" s="23">
        <f t="shared" si="23"/>
        <v>1</v>
      </c>
      <c r="D129" s="720"/>
      <c r="E129" s="23">
        <f t="shared" si="24"/>
        <v>1</v>
      </c>
      <c r="F129" s="720"/>
      <c r="G129" s="23">
        <f t="shared" si="25"/>
        <v>1</v>
      </c>
      <c r="H129" s="720"/>
      <c r="I129" s="23">
        <f t="shared" si="26"/>
        <v>1</v>
      </c>
      <c r="J129" s="720"/>
      <c r="K129" s="23">
        <f t="shared" si="27"/>
        <v>1</v>
      </c>
      <c r="L129" s="720"/>
      <c r="M129" s="23">
        <f t="shared" si="28"/>
        <v>1</v>
      </c>
      <c r="N129" s="720"/>
      <c r="O129" s="23">
        <f t="shared" si="29"/>
        <v>1</v>
      </c>
      <c r="P129" s="720"/>
      <c r="Q129" s="23">
        <f t="shared" si="30"/>
        <v>1</v>
      </c>
      <c r="R129" s="716">
        <f t="shared" si="31"/>
        <v>0</v>
      </c>
      <c r="S129" s="361">
        <f t="shared" si="32"/>
        <v>0</v>
      </c>
    </row>
    <row r="130" spans="1:19">
      <c r="A130" s="159"/>
      <c r="B130" s="58"/>
      <c r="C130" s="23">
        <f t="shared" si="23"/>
        <v>1</v>
      </c>
      <c r="D130" s="720"/>
      <c r="E130" s="23">
        <f t="shared" si="24"/>
        <v>1</v>
      </c>
      <c r="F130" s="720"/>
      <c r="G130" s="23">
        <f t="shared" si="25"/>
        <v>1</v>
      </c>
      <c r="H130" s="720"/>
      <c r="I130" s="23">
        <f t="shared" si="26"/>
        <v>1</v>
      </c>
      <c r="J130" s="720"/>
      <c r="K130" s="23">
        <f t="shared" si="27"/>
        <v>1</v>
      </c>
      <c r="L130" s="720"/>
      <c r="M130" s="23">
        <f t="shared" si="28"/>
        <v>1</v>
      </c>
      <c r="N130" s="720"/>
      <c r="O130" s="23">
        <f t="shared" si="29"/>
        <v>1</v>
      </c>
      <c r="P130" s="720"/>
      <c r="Q130" s="23">
        <f t="shared" si="30"/>
        <v>1</v>
      </c>
      <c r="R130" s="716">
        <f t="shared" si="31"/>
        <v>0</v>
      </c>
      <c r="S130" s="361">
        <f t="shared" si="32"/>
        <v>0</v>
      </c>
    </row>
    <row r="131" spans="1:19">
      <c r="A131" s="159"/>
      <c r="B131" s="58"/>
      <c r="C131" s="23">
        <f t="shared" si="23"/>
        <v>1</v>
      </c>
      <c r="D131" s="720"/>
      <c r="E131" s="23">
        <f t="shared" si="24"/>
        <v>1</v>
      </c>
      <c r="F131" s="720"/>
      <c r="G131" s="23">
        <f t="shared" si="25"/>
        <v>1</v>
      </c>
      <c r="H131" s="720"/>
      <c r="I131" s="23">
        <f t="shared" si="26"/>
        <v>1</v>
      </c>
      <c r="J131" s="720"/>
      <c r="K131" s="23">
        <f t="shared" si="27"/>
        <v>1</v>
      </c>
      <c r="L131" s="720"/>
      <c r="M131" s="23">
        <f t="shared" si="28"/>
        <v>1</v>
      </c>
      <c r="N131" s="720"/>
      <c r="O131" s="23">
        <f t="shared" si="29"/>
        <v>1</v>
      </c>
      <c r="P131" s="720"/>
      <c r="Q131" s="23">
        <f t="shared" si="30"/>
        <v>1</v>
      </c>
      <c r="R131" s="716">
        <f t="shared" si="31"/>
        <v>0</v>
      </c>
      <c r="S131" s="361">
        <f t="shared" si="32"/>
        <v>0</v>
      </c>
    </row>
    <row r="132" spans="1:19">
      <c r="A132" s="159"/>
      <c r="B132" s="58"/>
      <c r="C132" s="23">
        <f t="shared" si="23"/>
        <v>1</v>
      </c>
      <c r="D132" s="720"/>
      <c r="E132" s="23">
        <f t="shared" si="24"/>
        <v>1</v>
      </c>
      <c r="F132" s="720"/>
      <c r="G132" s="23">
        <f t="shared" si="25"/>
        <v>1</v>
      </c>
      <c r="H132" s="720"/>
      <c r="I132" s="23">
        <f t="shared" si="26"/>
        <v>1</v>
      </c>
      <c r="J132" s="720"/>
      <c r="K132" s="23">
        <f t="shared" si="27"/>
        <v>1</v>
      </c>
      <c r="L132" s="720"/>
      <c r="M132" s="23">
        <f t="shared" si="28"/>
        <v>1</v>
      </c>
      <c r="N132" s="720"/>
      <c r="O132" s="23">
        <f t="shared" si="29"/>
        <v>1</v>
      </c>
      <c r="P132" s="720"/>
      <c r="Q132" s="23">
        <f t="shared" si="30"/>
        <v>1</v>
      </c>
      <c r="R132" s="716">
        <f t="shared" si="31"/>
        <v>0</v>
      </c>
      <c r="S132" s="361">
        <f t="shared" si="32"/>
        <v>0</v>
      </c>
    </row>
    <row r="133" spans="1:19">
      <c r="A133" s="159"/>
      <c r="B133" s="58"/>
      <c r="C133" s="23">
        <f t="shared" si="23"/>
        <v>1</v>
      </c>
      <c r="D133" s="720"/>
      <c r="E133" s="23">
        <f t="shared" si="24"/>
        <v>1</v>
      </c>
      <c r="F133" s="720"/>
      <c r="G133" s="23">
        <f t="shared" si="25"/>
        <v>1</v>
      </c>
      <c r="H133" s="720"/>
      <c r="I133" s="23">
        <f t="shared" si="26"/>
        <v>1</v>
      </c>
      <c r="J133" s="720"/>
      <c r="K133" s="23">
        <f t="shared" si="27"/>
        <v>1</v>
      </c>
      <c r="L133" s="720"/>
      <c r="M133" s="23">
        <f t="shared" si="28"/>
        <v>1</v>
      </c>
      <c r="N133" s="720"/>
      <c r="O133" s="23">
        <f t="shared" si="29"/>
        <v>1</v>
      </c>
      <c r="P133" s="720"/>
      <c r="Q133" s="23">
        <f t="shared" si="30"/>
        <v>1</v>
      </c>
      <c r="R133" s="716">
        <f t="shared" si="31"/>
        <v>0</v>
      </c>
      <c r="S133" s="361">
        <f t="shared" si="32"/>
        <v>0</v>
      </c>
    </row>
    <row r="134" spans="1:19">
      <c r="A134" s="159"/>
      <c r="B134" s="58"/>
      <c r="C134" s="23">
        <f t="shared" si="23"/>
        <v>1</v>
      </c>
      <c r="D134" s="720"/>
      <c r="E134" s="23">
        <f t="shared" si="24"/>
        <v>1</v>
      </c>
      <c r="F134" s="720"/>
      <c r="G134" s="23">
        <f t="shared" si="25"/>
        <v>1</v>
      </c>
      <c r="H134" s="720"/>
      <c r="I134" s="23">
        <f t="shared" si="26"/>
        <v>1</v>
      </c>
      <c r="J134" s="720"/>
      <c r="K134" s="23">
        <f t="shared" si="27"/>
        <v>1</v>
      </c>
      <c r="L134" s="720"/>
      <c r="M134" s="23">
        <f t="shared" si="28"/>
        <v>1</v>
      </c>
      <c r="N134" s="720"/>
      <c r="O134" s="23">
        <f t="shared" si="29"/>
        <v>1</v>
      </c>
      <c r="P134" s="720"/>
      <c r="Q134" s="23">
        <f t="shared" si="30"/>
        <v>1</v>
      </c>
      <c r="R134" s="716">
        <f t="shared" si="31"/>
        <v>0</v>
      </c>
      <c r="S134" s="361">
        <f t="shared" si="32"/>
        <v>0</v>
      </c>
    </row>
    <row r="135" spans="1:19">
      <c r="A135" s="159"/>
      <c r="B135" s="58"/>
      <c r="C135" s="23">
        <f t="shared" si="23"/>
        <v>1</v>
      </c>
      <c r="D135" s="720"/>
      <c r="E135" s="23">
        <f t="shared" si="24"/>
        <v>1</v>
      </c>
      <c r="F135" s="720"/>
      <c r="G135" s="23">
        <f t="shared" si="25"/>
        <v>1</v>
      </c>
      <c r="H135" s="720"/>
      <c r="I135" s="23">
        <f t="shared" si="26"/>
        <v>1</v>
      </c>
      <c r="J135" s="720"/>
      <c r="K135" s="23">
        <f t="shared" si="27"/>
        <v>1</v>
      </c>
      <c r="L135" s="720"/>
      <c r="M135" s="23">
        <f t="shared" si="28"/>
        <v>1</v>
      </c>
      <c r="N135" s="720"/>
      <c r="O135" s="23">
        <f t="shared" si="29"/>
        <v>1</v>
      </c>
      <c r="P135" s="720"/>
      <c r="Q135" s="23">
        <f t="shared" si="30"/>
        <v>1</v>
      </c>
      <c r="R135" s="716">
        <f t="shared" si="31"/>
        <v>0</v>
      </c>
      <c r="S135" s="361">
        <f t="shared" si="32"/>
        <v>0</v>
      </c>
    </row>
    <row r="136" spans="1:19">
      <c r="A136" s="159"/>
      <c r="B136" s="58"/>
      <c r="C136" s="23">
        <f t="shared" si="23"/>
        <v>1</v>
      </c>
      <c r="D136" s="720"/>
      <c r="E136" s="23">
        <f t="shared" si="24"/>
        <v>1</v>
      </c>
      <c r="F136" s="720"/>
      <c r="G136" s="23">
        <f t="shared" si="25"/>
        <v>1</v>
      </c>
      <c r="H136" s="720"/>
      <c r="I136" s="23">
        <f t="shared" si="26"/>
        <v>1</v>
      </c>
      <c r="J136" s="720"/>
      <c r="K136" s="23">
        <f t="shared" si="27"/>
        <v>1</v>
      </c>
      <c r="L136" s="720"/>
      <c r="M136" s="23">
        <f t="shared" si="28"/>
        <v>1</v>
      </c>
      <c r="N136" s="720"/>
      <c r="O136" s="23">
        <f t="shared" si="29"/>
        <v>1</v>
      </c>
      <c r="P136" s="720"/>
      <c r="Q136" s="23">
        <f t="shared" si="30"/>
        <v>1</v>
      </c>
      <c r="R136" s="716">
        <f t="shared" si="31"/>
        <v>0</v>
      </c>
      <c r="S136" s="361">
        <f t="shared" si="32"/>
        <v>0</v>
      </c>
    </row>
    <row r="137" spans="1:19">
      <c r="A137" s="159"/>
      <c r="B137" s="58"/>
      <c r="C137" s="23">
        <f t="shared" si="23"/>
        <v>1</v>
      </c>
      <c r="D137" s="720"/>
      <c r="E137" s="23">
        <f t="shared" si="24"/>
        <v>1</v>
      </c>
      <c r="F137" s="720"/>
      <c r="G137" s="23">
        <f t="shared" si="25"/>
        <v>1</v>
      </c>
      <c r="H137" s="720"/>
      <c r="I137" s="23">
        <f t="shared" si="26"/>
        <v>1</v>
      </c>
      <c r="J137" s="720"/>
      <c r="K137" s="23">
        <f t="shared" si="27"/>
        <v>1</v>
      </c>
      <c r="L137" s="720"/>
      <c r="M137" s="23">
        <f t="shared" si="28"/>
        <v>1</v>
      </c>
      <c r="N137" s="720"/>
      <c r="O137" s="23">
        <f t="shared" si="29"/>
        <v>1</v>
      </c>
      <c r="P137" s="720"/>
      <c r="Q137" s="23">
        <f t="shared" si="30"/>
        <v>1</v>
      </c>
      <c r="R137" s="716">
        <f t="shared" si="31"/>
        <v>0</v>
      </c>
      <c r="S137" s="361">
        <f t="shared" si="32"/>
        <v>0</v>
      </c>
    </row>
    <row r="138" spans="1:19">
      <c r="A138" s="159"/>
      <c r="B138" s="58"/>
      <c r="C138" s="23">
        <f t="shared" si="23"/>
        <v>1</v>
      </c>
      <c r="D138" s="720"/>
      <c r="E138" s="23">
        <f t="shared" si="24"/>
        <v>1</v>
      </c>
      <c r="F138" s="720"/>
      <c r="G138" s="23">
        <f t="shared" si="25"/>
        <v>1</v>
      </c>
      <c r="H138" s="720"/>
      <c r="I138" s="23">
        <f t="shared" si="26"/>
        <v>1</v>
      </c>
      <c r="J138" s="720"/>
      <c r="K138" s="23">
        <f t="shared" si="27"/>
        <v>1</v>
      </c>
      <c r="L138" s="720"/>
      <c r="M138" s="23">
        <f t="shared" si="28"/>
        <v>1</v>
      </c>
      <c r="N138" s="720"/>
      <c r="O138" s="23">
        <f t="shared" si="29"/>
        <v>1</v>
      </c>
      <c r="P138" s="720"/>
      <c r="Q138" s="23">
        <f t="shared" si="30"/>
        <v>1</v>
      </c>
      <c r="R138" s="716">
        <f t="shared" si="31"/>
        <v>0</v>
      </c>
      <c r="S138" s="361">
        <f t="shared" si="32"/>
        <v>0</v>
      </c>
    </row>
    <row r="139" spans="1:19">
      <c r="A139" s="159"/>
      <c r="B139" s="58"/>
      <c r="C139" s="23">
        <f t="shared" si="23"/>
        <v>1</v>
      </c>
      <c r="D139" s="720"/>
      <c r="E139" s="23">
        <f t="shared" si="24"/>
        <v>1</v>
      </c>
      <c r="F139" s="720"/>
      <c r="G139" s="23">
        <f t="shared" si="25"/>
        <v>1</v>
      </c>
      <c r="H139" s="720"/>
      <c r="I139" s="23">
        <f t="shared" si="26"/>
        <v>1</v>
      </c>
      <c r="J139" s="720"/>
      <c r="K139" s="23">
        <f t="shared" si="27"/>
        <v>1</v>
      </c>
      <c r="L139" s="720"/>
      <c r="M139" s="23">
        <f t="shared" si="28"/>
        <v>1</v>
      </c>
      <c r="N139" s="720"/>
      <c r="O139" s="23">
        <f t="shared" si="29"/>
        <v>1</v>
      </c>
      <c r="P139" s="720"/>
      <c r="Q139" s="23">
        <f t="shared" si="30"/>
        <v>1</v>
      </c>
      <c r="R139" s="716">
        <f t="shared" si="31"/>
        <v>0</v>
      </c>
      <c r="S139" s="361">
        <f t="shared" si="32"/>
        <v>0</v>
      </c>
    </row>
    <row r="140" spans="1:19">
      <c r="A140" s="159"/>
      <c r="B140" s="58"/>
      <c r="C140" s="23">
        <f t="shared" si="23"/>
        <v>1</v>
      </c>
      <c r="D140" s="720"/>
      <c r="E140" s="23">
        <f t="shared" si="24"/>
        <v>1</v>
      </c>
      <c r="F140" s="720"/>
      <c r="G140" s="23">
        <f t="shared" si="25"/>
        <v>1</v>
      </c>
      <c r="H140" s="720"/>
      <c r="I140" s="23">
        <f t="shared" si="26"/>
        <v>1</v>
      </c>
      <c r="J140" s="720"/>
      <c r="K140" s="23">
        <f t="shared" si="27"/>
        <v>1</v>
      </c>
      <c r="L140" s="720"/>
      <c r="M140" s="23">
        <f t="shared" si="28"/>
        <v>1</v>
      </c>
      <c r="N140" s="720"/>
      <c r="O140" s="23">
        <f t="shared" si="29"/>
        <v>1</v>
      </c>
      <c r="P140" s="720"/>
      <c r="Q140" s="23">
        <f t="shared" si="30"/>
        <v>1</v>
      </c>
      <c r="R140" s="716">
        <f t="shared" si="31"/>
        <v>0</v>
      </c>
      <c r="S140" s="361">
        <f t="shared" si="32"/>
        <v>0</v>
      </c>
    </row>
    <row r="141" spans="1:19">
      <c r="A141" s="159"/>
      <c r="B141" s="58"/>
      <c r="C141" s="23">
        <f t="shared" si="23"/>
        <v>1</v>
      </c>
      <c r="D141" s="720"/>
      <c r="E141" s="23">
        <f t="shared" si="24"/>
        <v>1</v>
      </c>
      <c r="F141" s="720"/>
      <c r="G141" s="23">
        <f t="shared" si="25"/>
        <v>1</v>
      </c>
      <c r="H141" s="720"/>
      <c r="I141" s="23">
        <f t="shared" si="26"/>
        <v>1</v>
      </c>
      <c r="J141" s="720"/>
      <c r="K141" s="23">
        <f t="shared" si="27"/>
        <v>1</v>
      </c>
      <c r="L141" s="720"/>
      <c r="M141" s="23">
        <f t="shared" si="28"/>
        <v>1</v>
      </c>
      <c r="N141" s="720"/>
      <c r="O141" s="23">
        <f t="shared" si="29"/>
        <v>1</v>
      </c>
      <c r="P141" s="720"/>
      <c r="Q141" s="23">
        <f t="shared" si="30"/>
        <v>1</v>
      </c>
      <c r="R141" s="716">
        <f t="shared" si="31"/>
        <v>0</v>
      </c>
      <c r="S141" s="361">
        <f t="shared" si="32"/>
        <v>0</v>
      </c>
    </row>
    <row r="142" spans="1:19">
      <c r="A142" s="159"/>
      <c r="B142" s="58"/>
      <c r="C142" s="23">
        <f t="shared" si="23"/>
        <v>1</v>
      </c>
      <c r="D142" s="720"/>
      <c r="E142" s="23">
        <f t="shared" si="24"/>
        <v>1</v>
      </c>
      <c r="F142" s="720"/>
      <c r="G142" s="23">
        <f t="shared" si="25"/>
        <v>1</v>
      </c>
      <c r="H142" s="720"/>
      <c r="I142" s="23">
        <f t="shared" si="26"/>
        <v>1</v>
      </c>
      <c r="J142" s="720"/>
      <c r="K142" s="23">
        <f t="shared" si="27"/>
        <v>1</v>
      </c>
      <c r="L142" s="720"/>
      <c r="M142" s="23">
        <f t="shared" si="28"/>
        <v>1</v>
      </c>
      <c r="N142" s="720"/>
      <c r="O142" s="23">
        <f t="shared" si="29"/>
        <v>1</v>
      </c>
      <c r="P142" s="720"/>
      <c r="Q142" s="23">
        <f t="shared" si="30"/>
        <v>1</v>
      </c>
      <c r="R142" s="716">
        <f t="shared" si="31"/>
        <v>0</v>
      </c>
      <c r="S142" s="361">
        <f t="shared" si="32"/>
        <v>0</v>
      </c>
    </row>
    <row r="143" spans="1:19">
      <c r="A143" s="159"/>
      <c r="B143" s="58"/>
      <c r="C143" s="23">
        <f t="shared" si="23"/>
        <v>1</v>
      </c>
      <c r="D143" s="720"/>
      <c r="E143" s="23">
        <f t="shared" si="24"/>
        <v>1</v>
      </c>
      <c r="F143" s="720"/>
      <c r="G143" s="23">
        <f t="shared" si="25"/>
        <v>1</v>
      </c>
      <c r="H143" s="720"/>
      <c r="I143" s="23">
        <f t="shared" si="26"/>
        <v>1</v>
      </c>
      <c r="J143" s="720"/>
      <c r="K143" s="23">
        <f t="shared" si="27"/>
        <v>1</v>
      </c>
      <c r="L143" s="720"/>
      <c r="M143" s="23">
        <f t="shared" si="28"/>
        <v>1</v>
      </c>
      <c r="N143" s="720"/>
      <c r="O143" s="23">
        <f t="shared" si="29"/>
        <v>1</v>
      </c>
      <c r="P143" s="720"/>
      <c r="Q143" s="23">
        <f t="shared" si="30"/>
        <v>1</v>
      </c>
      <c r="R143" s="716">
        <f t="shared" si="31"/>
        <v>0</v>
      </c>
      <c r="S143" s="361">
        <f t="shared" si="32"/>
        <v>0</v>
      </c>
    </row>
    <row r="144" spans="1:19">
      <c r="A144" s="159"/>
      <c r="B144" s="58"/>
      <c r="C144" s="23">
        <f t="shared" si="23"/>
        <v>1</v>
      </c>
      <c r="D144" s="720"/>
      <c r="E144" s="23">
        <f t="shared" si="24"/>
        <v>1</v>
      </c>
      <c r="F144" s="720"/>
      <c r="G144" s="23">
        <f t="shared" si="25"/>
        <v>1</v>
      </c>
      <c r="H144" s="720"/>
      <c r="I144" s="23">
        <f t="shared" si="26"/>
        <v>1</v>
      </c>
      <c r="J144" s="720"/>
      <c r="K144" s="23">
        <f t="shared" si="27"/>
        <v>1</v>
      </c>
      <c r="L144" s="720"/>
      <c r="M144" s="23">
        <f t="shared" si="28"/>
        <v>1</v>
      </c>
      <c r="N144" s="720"/>
      <c r="O144" s="23">
        <f t="shared" si="29"/>
        <v>1</v>
      </c>
      <c r="P144" s="720"/>
      <c r="Q144" s="23">
        <f t="shared" si="30"/>
        <v>1</v>
      </c>
      <c r="R144" s="716">
        <f t="shared" si="31"/>
        <v>0</v>
      </c>
      <c r="S144" s="361">
        <f t="shared" si="32"/>
        <v>0</v>
      </c>
    </row>
    <row r="145" spans="1:19">
      <c r="A145" s="159"/>
      <c r="B145" s="58"/>
      <c r="C145" s="23">
        <f t="shared" si="23"/>
        <v>1</v>
      </c>
      <c r="D145" s="720"/>
      <c r="E145" s="23">
        <f t="shared" si="24"/>
        <v>1</v>
      </c>
      <c r="F145" s="720"/>
      <c r="G145" s="23">
        <f t="shared" si="25"/>
        <v>1</v>
      </c>
      <c r="H145" s="720"/>
      <c r="I145" s="23">
        <f t="shared" si="26"/>
        <v>1</v>
      </c>
      <c r="J145" s="720"/>
      <c r="K145" s="23">
        <f t="shared" si="27"/>
        <v>1</v>
      </c>
      <c r="L145" s="720"/>
      <c r="M145" s="23">
        <f t="shared" si="28"/>
        <v>1</v>
      </c>
      <c r="N145" s="720"/>
      <c r="O145" s="23">
        <f t="shared" si="29"/>
        <v>1</v>
      </c>
      <c r="P145" s="720"/>
      <c r="Q145" s="23">
        <f t="shared" si="30"/>
        <v>1</v>
      </c>
      <c r="R145" s="716">
        <f t="shared" si="31"/>
        <v>0</v>
      </c>
      <c r="S145" s="361">
        <f t="shared" si="32"/>
        <v>0</v>
      </c>
    </row>
    <row r="146" spans="1:19">
      <c r="A146" s="159"/>
      <c r="B146" s="58"/>
      <c r="C146" s="23">
        <f t="shared" si="23"/>
        <v>1</v>
      </c>
      <c r="D146" s="720"/>
      <c r="E146" s="23">
        <f t="shared" si="24"/>
        <v>1</v>
      </c>
      <c r="F146" s="720"/>
      <c r="G146" s="23">
        <f t="shared" si="25"/>
        <v>1</v>
      </c>
      <c r="H146" s="720"/>
      <c r="I146" s="23">
        <f t="shared" si="26"/>
        <v>1</v>
      </c>
      <c r="J146" s="720"/>
      <c r="K146" s="23">
        <f t="shared" si="27"/>
        <v>1</v>
      </c>
      <c r="L146" s="720"/>
      <c r="M146" s="23">
        <f t="shared" si="28"/>
        <v>1</v>
      </c>
      <c r="N146" s="720"/>
      <c r="O146" s="23">
        <f t="shared" si="29"/>
        <v>1</v>
      </c>
      <c r="P146" s="720"/>
      <c r="Q146" s="23">
        <f t="shared" si="30"/>
        <v>1</v>
      </c>
      <c r="R146" s="716">
        <f t="shared" si="31"/>
        <v>0</v>
      </c>
      <c r="S146" s="361">
        <f t="shared" si="32"/>
        <v>0</v>
      </c>
    </row>
    <row r="147" spans="1:19">
      <c r="A147" s="159"/>
      <c r="B147" s="58"/>
      <c r="C147" s="23">
        <f t="shared" si="23"/>
        <v>1</v>
      </c>
      <c r="D147" s="720"/>
      <c r="E147" s="23">
        <f t="shared" si="24"/>
        <v>1</v>
      </c>
      <c r="F147" s="720"/>
      <c r="G147" s="23">
        <f t="shared" si="25"/>
        <v>1</v>
      </c>
      <c r="H147" s="720"/>
      <c r="I147" s="23">
        <f t="shared" si="26"/>
        <v>1</v>
      </c>
      <c r="J147" s="720"/>
      <c r="K147" s="23">
        <f t="shared" si="27"/>
        <v>1</v>
      </c>
      <c r="L147" s="720"/>
      <c r="M147" s="23">
        <f t="shared" si="28"/>
        <v>1</v>
      </c>
      <c r="N147" s="720"/>
      <c r="O147" s="23">
        <f t="shared" si="29"/>
        <v>1</v>
      </c>
      <c r="P147" s="720"/>
      <c r="Q147" s="23">
        <f t="shared" si="30"/>
        <v>1</v>
      </c>
      <c r="R147" s="716">
        <f t="shared" si="31"/>
        <v>0</v>
      </c>
      <c r="S147" s="361">
        <f t="shared" si="32"/>
        <v>0</v>
      </c>
    </row>
    <row r="148" spans="1:19">
      <c r="A148" s="159"/>
      <c r="B148" s="58"/>
      <c r="C148" s="23">
        <f t="shared" si="23"/>
        <v>1</v>
      </c>
      <c r="D148" s="720"/>
      <c r="E148" s="23">
        <f t="shared" si="24"/>
        <v>1</v>
      </c>
      <c r="F148" s="720"/>
      <c r="G148" s="23">
        <f t="shared" si="25"/>
        <v>1</v>
      </c>
      <c r="H148" s="720"/>
      <c r="I148" s="23">
        <f t="shared" si="26"/>
        <v>1</v>
      </c>
      <c r="J148" s="720"/>
      <c r="K148" s="23">
        <f t="shared" si="27"/>
        <v>1</v>
      </c>
      <c r="L148" s="720"/>
      <c r="M148" s="23">
        <f t="shared" si="28"/>
        <v>1</v>
      </c>
      <c r="N148" s="720"/>
      <c r="O148" s="23">
        <f t="shared" si="29"/>
        <v>1</v>
      </c>
      <c r="P148" s="720"/>
      <c r="Q148" s="23">
        <f t="shared" si="30"/>
        <v>1</v>
      </c>
      <c r="R148" s="716">
        <f t="shared" si="31"/>
        <v>0</v>
      </c>
      <c r="S148" s="361">
        <f t="shared" si="32"/>
        <v>0</v>
      </c>
    </row>
    <row r="149" spans="1:19">
      <c r="A149" s="159"/>
      <c r="B149" s="58"/>
      <c r="C149" s="23">
        <f t="shared" si="23"/>
        <v>1</v>
      </c>
      <c r="D149" s="720"/>
      <c r="E149" s="23">
        <f t="shared" si="24"/>
        <v>1</v>
      </c>
      <c r="F149" s="720"/>
      <c r="G149" s="23">
        <f t="shared" si="25"/>
        <v>1</v>
      </c>
      <c r="H149" s="720"/>
      <c r="I149" s="23">
        <f t="shared" si="26"/>
        <v>1</v>
      </c>
      <c r="J149" s="720"/>
      <c r="K149" s="23">
        <f t="shared" si="27"/>
        <v>1</v>
      </c>
      <c r="L149" s="720"/>
      <c r="M149" s="23">
        <f t="shared" si="28"/>
        <v>1</v>
      </c>
      <c r="N149" s="720"/>
      <c r="O149" s="23">
        <f t="shared" si="29"/>
        <v>1</v>
      </c>
      <c r="P149" s="720"/>
      <c r="Q149" s="23">
        <f t="shared" si="30"/>
        <v>1</v>
      </c>
      <c r="R149" s="716">
        <f t="shared" si="31"/>
        <v>0</v>
      </c>
      <c r="S149" s="361">
        <f t="shared" si="32"/>
        <v>0</v>
      </c>
    </row>
    <row r="150" spans="1:19">
      <c r="A150" s="159"/>
      <c r="B150" s="58"/>
      <c r="C150" s="23">
        <f t="shared" si="23"/>
        <v>1</v>
      </c>
      <c r="D150" s="720"/>
      <c r="E150" s="23">
        <f t="shared" si="24"/>
        <v>1</v>
      </c>
      <c r="F150" s="720"/>
      <c r="G150" s="23">
        <f t="shared" si="25"/>
        <v>1</v>
      </c>
      <c r="H150" s="720"/>
      <c r="I150" s="23">
        <f t="shared" si="26"/>
        <v>1</v>
      </c>
      <c r="J150" s="720"/>
      <c r="K150" s="23">
        <f t="shared" si="27"/>
        <v>1</v>
      </c>
      <c r="L150" s="720"/>
      <c r="M150" s="23">
        <f t="shared" si="28"/>
        <v>1</v>
      </c>
      <c r="N150" s="720"/>
      <c r="O150" s="23">
        <f t="shared" si="29"/>
        <v>1</v>
      </c>
      <c r="P150" s="720"/>
      <c r="Q150" s="23">
        <f t="shared" si="30"/>
        <v>1</v>
      </c>
      <c r="R150" s="716">
        <f t="shared" si="31"/>
        <v>0</v>
      </c>
      <c r="S150" s="361">
        <f t="shared" si="32"/>
        <v>0</v>
      </c>
    </row>
    <row r="151" spans="1:19">
      <c r="A151" s="159"/>
      <c r="B151" s="58"/>
      <c r="C151" s="23">
        <f t="shared" si="23"/>
        <v>1</v>
      </c>
      <c r="D151" s="720"/>
      <c r="E151" s="23">
        <f t="shared" si="24"/>
        <v>1</v>
      </c>
      <c r="F151" s="720"/>
      <c r="G151" s="23">
        <f t="shared" si="25"/>
        <v>1</v>
      </c>
      <c r="H151" s="720"/>
      <c r="I151" s="23">
        <f t="shared" si="26"/>
        <v>1</v>
      </c>
      <c r="J151" s="720"/>
      <c r="K151" s="23">
        <f t="shared" si="27"/>
        <v>1</v>
      </c>
      <c r="L151" s="720"/>
      <c r="M151" s="23">
        <f t="shared" si="28"/>
        <v>1</v>
      </c>
      <c r="N151" s="720"/>
      <c r="O151" s="23">
        <f t="shared" si="29"/>
        <v>1</v>
      </c>
      <c r="P151" s="720"/>
      <c r="Q151" s="23">
        <f t="shared" si="30"/>
        <v>1</v>
      </c>
      <c r="R151" s="716">
        <f t="shared" si="31"/>
        <v>0</v>
      </c>
      <c r="S151" s="361">
        <f t="shared" si="32"/>
        <v>0</v>
      </c>
    </row>
    <row r="152" spans="1:19">
      <c r="A152" s="159"/>
      <c r="B152" s="58"/>
      <c r="C152" s="23">
        <f t="shared" si="23"/>
        <v>1</v>
      </c>
      <c r="D152" s="720"/>
      <c r="E152" s="23">
        <f t="shared" si="24"/>
        <v>1</v>
      </c>
      <c r="F152" s="720"/>
      <c r="G152" s="23">
        <f t="shared" si="25"/>
        <v>1</v>
      </c>
      <c r="H152" s="720"/>
      <c r="I152" s="23">
        <f t="shared" si="26"/>
        <v>1</v>
      </c>
      <c r="J152" s="720"/>
      <c r="K152" s="23">
        <f t="shared" si="27"/>
        <v>1</v>
      </c>
      <c r="L152" s="720"/>
      <c r="M152" s="23">
        <f t="shared" si="28"/>
        <v>1</v>
      </c>
      <c r="N152" s="720"/>
      <c r="O152" s="23">
        <f t="shared" si="29"/>
        <v>1</v>
      </c>
      <c r="P152" s="720"/>
      <c r="Q152" s="23">
        <f t="shared" si="30"/>
        <v>1</v>
      </c>
      <c r="R152" s="716">
        <f t="shared" si="31"/>
        <v>0</v>
      </c>
      <c r="S152" s="361">
        <f t="shared" si="32"/>
        <v>0</v>
      </c>
    </row>
    <row r="153" spans="1:19">
      <c r="A153" s="159"/>
      <c r="B153" s="58"/>
      <c r="C153" s="23">
        <f t="shared" si="23"/>
        <v>1</v>
      </c>
      <c r="D153" s="720"/>
      <c r="E153" s="23">
        <f t="shared" si="24"/>
        <v>1</v>
      </c>
      <c r="F153" s="720"/>
      <c r="G153" s="23">
        <f t="shared" si="25"/>
        <v>1</v>
      </c>
      <c r="H153" s="720"/>
      <c r="I153" s="23">
        <f t="shared" si="26"/>
        <v>1</v>
      </c>
      <c r="J153" s="720"/>
      <c r="K153" s="23">
        <f t="shared" si="27"/>
        <v>1</v>
      </c>
      <c r="L153" s="720"/>
      <c r="M153" s="23">
        <f t="shared" si="28"/>
        <v>1</v>
      </c>
      <c r="N153" s="720"/>
      <c r="O153" s="23">
        <f t="shared" si="29"/>
        <v>1</v>
      </c>
      <c r="P153" s="720"/>
      <c r="Q153" s="23">
        <f t="shared" si="30"/>
        <v>1</v>
      </c>
      <c r="R153" s="716">
        <f t="shared" si="31"/>
        <v>0</v>
      </c>
      <c r="S153" s="361">
        <f t="shared" si="32"/>
        <v>0</v>
      </c>
    </row>
    <row r="154" spans="1:19">
      <c r="A154" s="159"/>
      <c r="B154" s="58"/>
      <c r="C154" s="23">
        <f t="shared" ref="C154:C217" si="33">IF(B154="",1,(LOOKUP(B154,$3:$3,$4:$4)-LOOKUP($B$24,$3:$3,$4:$4)+100)/100)</f>
        <v>1</v>
      </c>
      <c r="D154" s="720"/>
      <c r="E154" s="23">
        <f t="shared" ref="E154:E217" si="34">(SUMIF($5:$5,D154,$6:$6)-SUMIF($5:$5,$D$24,$6:$6)+100)/100</f>
        <v>1</v>
      </c>
      <c r="F154" s="720"/>
      <c r="G154" s="23">
        <f t="shared" ref="G154:G217" si="35">(SUMIF($7:$7,F154,$8:$8)-SUMIF($7:$7,$F$24,$8:$8)+100)/100</f>
        <v>1</v>
      </c>
      <c r="H154" s="720"/>
      <c r="I154" s="23">
        <f t="shared" ref="I154:I217" si="36">(SUMIF($9:$9,H154,$10:$10)-SUMIF($9:$9,$H$24,$10:$10)+100)/100</f>
        <v>1</v>
      </c>
      <c r="J154" s="720"/>
      <c r="K154" s="23">
        <f t="shared" ref="K154:K217" si="37">(SUMIF($11:$11,J154,$12:$12)-SUMIF($11:$11,$J$24,$12:$12)+100)/100</f>
        <v>1</v>
      </c>
      <c r="L154" s="720"/>
      <c r="M154" s="23">
        <f t="shared" ref="M154:M217" si="38">(SUMIF($13:$13,L154,$14:$14)-SUMIF($13:$13,$L$24,$14:$14)+100)/100</f>
        <v>1</v>
      </c>
      <c r="N154" s="720"/>
      <c r="O154" s="23">
        <f t="shared" ref="O154:O217" si="39">(SUMIF($15:$15,N154,$16:$16)-SUMIF($15:$15,$N$24,$16:$16)+100)/100</f>
        <v>1</v>
      </c>
      <c r="P154" s="720"/>
      <c r="Q154" s="23">
        <f t="shared" ref="Q154:Q217" si="40">(SUMIF($17:$17,P154,$18:$18)-SUMIF($17:$17,$P$24,$18:$18)+100)/100</f>
        <v>1</v>
      </c>
      <c r="R154" s="716">
        <f t="shared" ref="R154:R217" si="41">IF(B154="",0,ROUND($R$24*C154*E154*G154*I154*K154*M154*O154*Q154,0))</f>
        <v>0</v>
      </c>
      <c r="S154" s="361">
        <f t="shared" si="32"/>
        <v>0</v>
      </c>
    </row>
    <row r="155" spans="1:19">
      <c r="A155" s="159"/>
      <c r="B155" s="58"/>
      <c r="C155" s="23">
        <f t="shared" si="33"/>
        <v>1</v>
      </c>
      <c r="D155" s="720"/>
      <c r="E155" s="23">
        <f t="shared" si="34"/>
        <v>1</v>
      </c>
      <c r="F155" s="720"/>
      <c r="G155" s="23">
        <f t="shared" si="35"/>
        <v>1</v>
      </c>
      <c r="H155" s="720"/>
      <c r="I155" s="23">
        <f t="shared" si="36"/>
        <v>1</v>
      </c>
      <c r="J155" s="720"/>
      <c r="K155" s="23">
        <f t="shared" si="37"/>
        <v>1</v>
      </c>
      <c r="L155" s="720"/>
      <c r="M155" s="23">
        <f t="shared" si="38"/>
        <v>1</v>
      </c>
      <c r="N155" s="720"/>
      <c r="O155" s="23">
        <f t="shared" si="39"/>
        <v>1</v>
      </c>
      <c r="P155" s="720"/>
      <c r="Q155" s="23">
        <f t="shared" si="40"/>
        <v>1</v>
      </c>
      <c r="R155" s="716">
        <f t="shared" si="41"/>
        <v>0</v>
      </c>
      <c r="S155" s="361">
        <f t="shared" si="32"/>
        <v>0</v>
      </c>
    </row>
    <row r="156" spans="1:19">
      <c r="A156" s="159"/>
      <c r="B156" s="58"/>
      <c r="C156" s="23">
        <f t="shared" si="33"/>
        <v>1</v>
      </c>
      <c r="D156" s="720"/>
      <c r="E156" s="23">
        <f t="shared" si="34"/>
        <v>1</v>
      </c>
      <c r="F156" s="720"/>
      <c r="G156" s="23">
        <f t="shared" si="35"/>
        <v>1</v>
      </c>
      <c r="H156" s="720"/>
      <c r="I156" s="23">
        <f t="shared" si="36"/>
        <v>1</v>
      </c>
      <c r="J156" s="720"/>
      <c r="K156" s="23">
        <f t="shared" si="37"/>
        <v>1</v>
      </c>
      <c r="L156" s="720"/>
      <c r="M156" s="23">
        <f t="shared" si="38"/>
        <v>1</v>
      </c>
      <c r="N156" s="720"/>
      <c r="O156" s="23">
        <f t="shared" si="39"/>
        <v>1</v>
      </c>
      <c r="P156" s="720"/>
      <c r="Q156" s="23">
        <f t="shared" si="40"/>
        <v>1</v>
      </c>
      <c r="R156" s="716">
        <f t="shared" si="41"/>
        <v>0</v>
      </c>
      <c r="S156" s="361">
        <f t="shared" si="32"/>
        <v>0</v>
      </c>
    </row>
    <row r="157" spans="1:19">
      <c r="A157" s="159"/>
      <c r="B157" s="58"/>
      <c r="C157" s="23">
        <f t="shared" si="33"/>
        <v>1</v>
      </c>
      <c r="D157" s="720"/>
      <c r="E157" s="23">
        <f t="shared" si="34"/>
        <v>1</v>
      </c>
      <c r="F157" s="720"/>
      <c r="G157" s="23">
        <f t="shared" si="35"/>
        <v>1</v>
      </c>
      <c r="H157" s="720"/>
      <c r="I157" s="23">
        <f t="shared" si="36"/>
        <v>1</v>
      </c>
      <c r="J157" s="720"/>
      <c r="K157" s="23">
        <f t="shared" si="37"/>
        <v>1</v>
      </c>
      <c r="L157" s="720"/>
      <c r="M157" s="23">
        <f t="shared" si="38"/>
        <v>1</v>
      </c>
      <c r="N157" s="720"/>
      <c r="O157" s="23">
        <f t="shared" si="39"/>
        <v>1</v>
      </c>
      <c r="P157" s="720"/>
      <c r="Q157" s="23">
        <f t="shared" si="40"/>
        <v>1</v>
      </c>
      <c r="R157" s="716">
        <f t="shared" si="41"/>
        <v>0</v>
      </c>
      <c r="S157" s="361">
        <f t="shared" si="32"/>
        <v>0</v>
      </c>
    </row>
    <row r="158" spans="1:19">
      <c r="A158" s="159"/>
      <c r="B158" s="58"/>
      <c r="C158" s="23">
        <f t="shared" si="33"/>
        <v>1</v>
      </c>
      <c r="D158" s="720"/>
      <c r="E158" s="23">
        <f t="shared" si="34"/>
        <v>1</v>
      </c>
      <c r="F158" s="720"/>
      <c r="G158" s="23">
        <f t="shared" si="35"/>
        <v>1</v>
      </c>
      <c r="H158" s="720"/>
      <c r="I158" s="23">
        <f t="shared" si="36"/>
        <v>1</v>
      </c>
      <c r="J158" s="720"/>
      <c r="K158" s="23">
        <f t="shared" si="37"/>
        <v>1</v>
      </c>
      <c r="L158" s="720"/>
      <c r="M158" s="23">
        <f t="shared" si="38"/>
        <v>1</v>
      </c>
      <c r="N158" s="720"/>
      <c r="O158" s="23">
        <f t="shared" si="39"/>
        <v>1</v>
      </c>
      <c r="P158" s="720"/>
      <c r="Q158" s="23">
        <f t="shared" si="40"/>
        <v>1</v>
      </c>
      <c r="R158" s="716">
        <f t="shared" si="41"/>
        <v>0</v>
      </c>
      <c r="S158" s="361">
        <f t="shared" si="32"/>
        <v>0</v>
      </c>
    </row>
    <row r="159" spans="1:19">
      <c r="A159" s="159"/>
      <c r="B159" s="58"/>
      <c r="C159" s="23">
        <f t="shared" si="33"/>
        <v>1</v>
      </c>
      <c r="D159" s="720"/>
      <c r="E159" s="23">
        <f t="shared" si="34"/>
        <v>1</v>
      </c>
      <c r="F159" s="720"/>
      <c r="G159" s="23">
        <f t="shared" si="35"/>
        <v>1</v>
      </c>
      <c r="H159" s="720"/>
      <c r="I159" s="23">
        <f t="shared" si="36"/>
        <v>1</v>
      </c>
      <c r="J159" s="720"/>
      <c r="K159" s="23">
        <f t="shared" si="37"/>
        <v>1</v>
      </c>
      <c r="L159" s="720"/>
      <c r="M159" s="23">
        <f t="shared" si="38"/>
        <v>1</v>
      </c>
      <c r="N159" s="720"/>
      <c r="O159" s="23">
        <f t="shared" si="39"/>
        <v>1</v>
      </c>
      <c r="P159" s="720"/>
      <c r="Q159" s="23">
        <f t="shared" si="40"/>
        <v>1</v>
      </c>
      <c r="R159" s="716">
        <f t="shared" si="41"/>
        <v>0</v>
      </c>
      <c r="S159" s="361">
        <f t="shared" si="32"/>
        <v>0</v>
      </c>
    </row>
    <row r="160" spans="1:19">
      <c r="A160" s="159"/>
      <c r="B160" s="58"/>
      <c r="C160" s="23">
        <f t="shared" si="33"/>
        <v>1</v>
      </c>
      <c r="D160" s="720"/>
      <c r="E160" s="23">
        <f t="shared" si="34"/>
        <v>1</v>
      </c>
      <c r="F160" s="720"/>
      <c r="G160" s="23">
        <f t="shared" si="35"/>
        <v>1</v>
      </c>
      <c r="H160" s="720"/>
      <c r="I160" s="23">
        <f t="shared" si="36"/>
        <v>1</v>
      </c>
      <c r="J160" s="720"/>
      <c r="K160" s="23">
        <f t="shared" si="37"/>
        <v>1</v>
      </c>
      <c r="L160" s="720"/>
      <c r="M160" s="23">
        <f t="shared" si="38"/>
        <v>1</v>
      </c>
      <c r="N160" s="720"/>
      <c r="O160" s="23">
        <f t="shared" si="39"/>
        <v>1</v>
      </c>
      <c r="P160" s="720"/>
      <c r="Q160" s="23">
        <f t="shared" si="40"/>
        <v>1</v>
      </c>
      <c r="R160" s="716">
        <f t="shared" si="41"/>
        <v>0</v>
      </c>
      <c r="S160" s="361">
        <f t="shared" si="32"/>
        <v>0</v>
      </c>
    </row>
    <row r="161" spans="1:19">
      <c r="A161" s="159"/>
      <c r="B161" s="58"/>
      <c r="C161" s="23">
        <f t="shared" si="33"/>
        <v>1</v>
      </c>
      <c r="D161" s="720"/>
      <c r="E161" s="23">
        <f t="shared" si="34"/>
        <v>1</v>
      </c>
      <c r="F161" s="720"/>
      <c r="G161" s="23">
        <f t="shared" si="35"/>
        <v>1</v>
      </c>
      <c r="H161" s="720"/>
      <c r="I161" s="23">
        <f t="shared" si="36"/>
        <v>1</v>
      </c>
      <c r="J161" s="720"/>
      <c r="K161" s="23">
        <f t="shared" si="37"/>
        <v>1</v>
      </c>
      <c r="L161" s="720"/>
      <c r="M161" s="23">
        <f t="shared" si="38"/>
        <v>1</v>
      </c>
      <c r="N161" s="720"/>
      <c r="O161" s="23">
        <f t="shared" si="39"/>
        <v>1</v>
      </c>
      <c r="P161" s="720"/>
      <c r="Q161" s="23">
        <f t="shared" si="40"/>
        <v>1</v>
      </c>
      <c r="R161" s="716">
        <f t="shared" si="41"/>
        <v>0</v>
      </c>
      <c r="S161" s="361">
        <f t="shared" si="32"/>
        <v>0</v>
      </c>
    </row>
    <row r="162" spans="1:19">
      <c r="A162" s="159"/>
      <c r="B162" s="58"/>
      <c r="C162" s="23">
        <f t="shared" si="33"/>
        <v>1</v>
      </c>
      <c r="D162" s="720"/>
      <c r="E162" s="23">
        <f t="shared" si="34"/>
        <v>1</v>
      </c>
      <c r="F162" s="720"/>
      <c r="G162" s="23">
        <f t="shared" si="35"/>
        <v>1</v>
      </c>
      <c r="H162" s="720"/>
      <c r="I162" s="23">
        <f t="shared" si="36"/>
        <v>1</v>
      </c>
      <c r="J162" s="720"/>
      <c r="K162" s="23">
        <f t="shared" si="37"/>
        <v>1</v>
      </c>
      <c r="L162" s="720"/>
      <c r="M162" s="23">
        <f t="shared" si="38"/>
        <v>1</v>
      </c>
      <c r="N162" s="720"/>
      <c r="O162" s="23">
        <f t="shared" si="39"/>
        <v>1</v>
      </c>
      <c r="P162" s="720"/>
      <c r="Q162" s="23">
        <f t="shared" si="40"/>
        <v>1</v>
      </c>
      <c r="R162" s="716">
        <f t="shared" si="41"/>
        <v>0</v>
      </c>
      <c r="S162" s="361">
        <f t="shared" si="32"/>
        <v>0</v>
      </c>
    </row>
    <row r="163" spans="1:19">
      <c r="A163" s="159"/>
      <c r="B163" s="58"/>
      <c r="C163" s="23">
        <f t="shared" si="33"/>
        <v>1</v>
      </c>
      <c r="D163" s="720"/>
      <c r="E163" s="23">
        <f t="shared" si="34"/>
        <v>1</v>
      </c>
      <c r="F163" s="720"/>
      <c r="G163" s="23">
        <f t="shared" si="35"/>
        <v>1</v>
      </c>
      <c r="H163" s="720"/>
      <c r="I163" s="23">
        <f t="shared" si="36"/>
        <v>1</v>
      </c>
      <c r="J163" s="720"/>
      <c r="K163" s="23">
        <f t="shared" si="37"/>
        <v>1</v>
      </c>
      <c r="L163" s="720"/>
      <c r="M163" s="23">
        <f t="shared" si="38"/>
        <v>1</v>
      </c>
      <c r="N163" s="720"/>
      <c r="O163" s="23">
        <f t="shared" si="39"/>
        <v>1</v>
      </c>
      <c r="P163" s="720"/>
      <c r="Q163" s="23">
        <f t="shared" si="40"/>
        <v>1</v>
      </c>
      <c r="R163" s="716">
        <f t="shared" si="41"/>
        <v>0</v>
      </c>
      <c r="S163" s="361">
        <f t="shared" si="32"/>
        <v>0</v>
      </c>
    </row>
    <row r="164" spans="1:19">
      <c r="A164" s="159"/>
      <c r="B164" s="58"/>
      <c r="C164" s="23">
        <f t="shared" si="33"/>
        <v>1</v>
      </c>
      <c r="D164" s="720"/>
      <c r="E164" s="23">
        <f t="shared" si="34"/>
        <v>1</v>
      </c>
      <c r="F164" s="720"/>
      <c r="G164" s="23">
        <f t="shared" si="35"/>
        <v>1</v>
      </c>
      <c r="H164" s="720"/>
      <c r="I164" s="23">
        <f t="shared" si="36"/>
        <v>1</v>
      </c>
      <c r="J164" s="720"/>
      <c r="K164" s="23">
        <f t="shared" si="37"/>
        <v>1</v>
      </c>
      <c r="L164" s="720"/>
      <c r="M164" s="23">
        <f t="shared" si="38"/>
        <v>1</v>
      </c>
      <c r="N164" s="720"/>
      <c r="O164" s="23">
        <f t="shared" si="39"/>
        <v>1</v>
      </c>
      <c r="P164" s="720"/>
      <c r="Q164" s="23">
        <f t="shared" si="40"/>
        <v>1</v>
      </c>
      <c r="R164" s="716">
        <f t="shared" si="41"/>
        <v>0</v>
      </c>
      <c r="S164" s="361">
        <f t="shared" si="32"/>
        <v>0</v>
      </c>
    </row>
    <row r="165" spans="1:19">
      <c r="A165" s="159"/>
      <c r="B165" s="58"/>
      <c r="C165" s="23">
        <f t="shared" si="33"/>
        <v>1</v>
      </c>
      <c r="D165" s="720"/>
      <c r="E165" s="23">
        <f t="shared" si="34"/>
        <v>1</v>
      </c>
      <c r="F165" s="720"/>
      <c r="G165" s="23">
        <f t="shared" si="35"/>
        <v>1</v>
      </c>
      <c r="H165" s="720"/>
      <c r="I165" s="23">
        <f t="shared" si="36"/>
        <v>1</v>
      </c>
      <c r="J165" s="720"/>
      <c r="K165" s="23">
        <f t="shared" si="37"/>
        <v>1</v>
      </c>
      <c r="L165" s="720"/>
      <c r="M165" s="23">
        <f t="shared" si="38"/>
        <v>1</v>
      </c>
      <c r="N165" s="720"/>
      <c r="O165" s="23">
        <f t="shared" si="39"/>
        <v>1</v>
      </c>
      <c r="P165" s="720"/>
      <c r="Q165" s="23">
        <f t="shared" si="40"/>
        <v>1</v>
      </c>
      <c r="R165" s="716">
        <f t="shared" si="41"/>
        <v>0</v>
      </c>
      <c r="S165" s="361">
        <f t="shared" si="32"/>
        <v>0</v>
      </c>
    </row>
    <row r="166" spans="1:19">
      <c r="A166" s="159"/>
      <c r="B166" s="58"/>
      <c r="C166" s="23">
        <f t="shared" si="33"/>
        <v>1</v>
      </c>
      <c r="D166" s="720"/>
      <c r="E166" s="23">
        <f t="shared" si="34"/>
        <v>1</v>
      </c>
      <c r="F166" s="720"/>
      <c r="G166" s="23">
        <f t="shared" si="35"/>
        <v>1</v>
      </c>
      <c r="H166" s="720"/>
      <c r="I166" s="23">
        <f t="shared" si="36"/>
        <v>1</v>
      </c>
      <c r="J166" s="720"/>
      <c r="K166" s="23">
        <f t="shared" si="37"/>
        <v>1</v>
      </c>
      <c r="L166" s="720"/>
      <c r="M166" s="23">
        <f t="shared" si="38"/>
        <v>1</v>
      </c>
      <c r="N166" s="720"/>
      <c r="O166" s="23">
        <f t="shared" si="39"/>
        <v>1</v>
      </c>
      <c r="P166" s="720"/>
      <c r="Q166" s="23">
        <f t="shared" si="40"/>
        <v>1</v>
      </c>
      <c r="R166" s="716">
        <f t="shared" si="41"/>
        <v>0</v>
      </c>
      <c r="S166" s="361">
        <f t="shared" si="32"/>
        <v>0</v>
      </c>
    </row>
    <row r="167" spans="1:19">
      <c r="A167" s="159"/>
      <c r="B167" s="58"/>
      <c r="C167" s="23">
        <f t="shared" si="33"/>
        <v>1</v>
      </c>
      <c r="D167" s="720"/>
      <c r="E167" s="23">
        <f t="shared" si="34"/>
        <v>1</v>
      </c>
      <c r="F167" s="720"/>
      <c r="G167" s="23">
        <f t="shared" si="35"/>
        <v>1</v>
      </c>
      <c r="H167" s="720"/>
      <c r="I167" s="23">
        <f t="shared" si="36"/>
        <v>1</v>
      </c>
      <c r="J167" s="720"/>
      <c r="K167" s="23">
        <f t="shared" si="37"/>
        <v>1</v>
      </c>
      <c r="L167" s="720"/>
      <c r="M167" s="23">
        <f t="shared" si="38"/>
        <v>1</v>
      </c>
      <c r="N167" s="720"/>
      <c r="O167" s="23">
        <f t="shared" si="39"/>
        <v>1</v>
      </c>
      <c r="P167" s="720"/>
      <c r="Q167" s="23">
        <f t="shared" si="40"/>
        <v>1</v>
      </c>
      <c r="R167" s="716">
        <f t="shared" si="41"/>
        <v>0</v>
      </c>
      <c r="S167" s="361">
        <f t="shared" si="32"/>
        <v>0</v>
      </c>
    </row>
    <row r="168" spans="1:19">
      <c r="A168" s="159"/>
      <c r="B168" s="58"/>
      <c r="C168" s="23">
        <f t="shared" si="33"/>
        <v>1</v>
      </c>
      <c r="D168" s="720"/>
      <c r="E168" s="23">
        <f t="shared" si="34"/>
        <v>1</v>
      </c>
      <c r="F168" s="720"/>
      <c r="G168" s="23">
        <f t="shared" si="35"/>
        <v>1</v>
      </c>
      <c r="H168" s="720"/>
      <c r="I168" s="23">
        <f t="shared" si="36"/>
        <v>1</v>
      </c>
      <c r="J168" s="720"/>
      <c r="K168" s="23">
        <f t="shared" si="37"/>
        <v>1</v>
      </c>
      <c r="L168" s="720"/>
      <c r="M168" s="23">
        <f t="shared" si="38"/>
        <v>1</v>
      </c>
      <c r="N168" s="720"/>
      <c r="O168" s="23">
        <f t="shared" si="39"/>
        <v>1</v>
      </c>
      <c r="P168" s="720"/>
      <c r="Q168" s="23">
        <f t="shared" si="40"/>
        <v>1</v>
      </c>
      <c r="R168" s="716">
        <f t="shared" si="41"/>
        <v>0</v>
      </c>
      <c r="S168" s="361">
        <f t="shared" si="32"/>
        <v>0</v>
      </c>
    </row>
    <row r="169" spans="1:19">
      <c r="A169" s="159"/>
      <c r="B169" s="58"/>
      <c r="C169" s="23">
        <f t="shared" si="33"/>
        <v>1</v>
      </c>
      <c r="D169" s="720"/>
      <c r="E169" s="23">
        <f t="shared" si="34"/>
        <v>1</v>
      </c>
      <c r="F169" s="720"/>
      <c r="G169" s="23">
        <f t="shared" si="35"/>
        <v>1</v>
      </c>
      <c r="H169" s="720"/>
      <c r="I169" s="23">
        <f t="shared" si="36"/>
        <v>1</v>
      </c>
      <c r="J169" s="720"/>
      <c r="K169" s="23">
        <f t="shared" si="37"/>
        <v>1</v>
      </c>
      <c r="L169" s="720"/>
      <c r="M169" s="23">
        <f t="shared" si="38"/>
        <v>1</v>
      </c>
      <c r="N169" s="720"/>
      <c r="O169" s="23">
        <f t="shared" si="39"/>
        <v>1</v>
      </c>
      <c r="P169" s="720"/>
      <c r="Q169" s="23">
        <f t="shared" si="40"/>
        <v>1</v>
      </c>
      <c r="R169" s="716">
        <f t="shared" si="41"/>
        <v>0</v>
      </c>
      <c r="S169" s="361">
        <f t="shared" si="32"/>
        <v>0</v>
      </c>
    </row>
    <row r="170" spans="1:19">
      <c r="A170" s="159"/>
      <c r="B170" s="58"/>
      <c r="C170" s="23">
        <f t="shared" si="33"/>
        <v>1</v>
      </c>
      <c r="D170" s="720"/>
      <c r="E170" s="23">
        <f t="shared" si="34"/>
        <v>1</v>
      </c>
      <c r="F170" s="720"/>
      <c r="G170" s="23">
        <f t="shared" si="35"/>
        <v>1</v>
      </c>
      <c r="H170" s="720"/>
      <c r="I170" s="23">
        <f t="shared" si="36"/>
        <v>1</v>
      </c>
      <c r="J170" s="720"/>
      <c r="K170" s="23">
        <f t="shared" si="37"/>
        <v>1</v>
      </c>
      <c r="L170" s="720"/>
      <c r="M170" s="23">
        <f t="shared" si="38"/>
        <v>1</v>
      </c>
      <c r="N170" s="720"/>
      <c r="O170" s="23">
        <f t="shared" si="39"/>
        <v>1</v>
      </c>
      <c r="P170" s="720"/>
      <c r="Q170" s="23">
        <f t="shared" si="40"/>
        <v>1</v>
      </c>
      <c r="R170" s="716">
        <f t="shared" si="41"/>
        <v>0</v>
      </c>
      <c r="S170" s="361">
        <f t="shared" si="32"/>
        <v>0</v>
      </c>
    </row>
    <row r="171" spans="1:19">
      <c r="A171" s="159"/>
      <c r="B171" s="58"/>
      <c r="C171" s="23">
        <f t="shared" si="33"/>
        <v>1</v>
      </c>
      <c r="D171" s="720"/>
      <c r="E171" s="23">
        <f t="shared" si="34"/>
        <v>1</v>
      </c>
      <c r="F171" s="720"/>
      <c r="G171" s="23">
        <f t="shared" si="35"/>
        <v>1</v>
      </c>
      <c r="H171" s="720"/>
      <c r="I171" s="23">
        <f t="shared" si="36"/>
        <v>1</v>
      </c>
      <c r="J171" s="720"/>
      <c r="K171" s="23">
        <f t="shared" si="37"/>
        <v>1</v>
      </c>
      <c r="L171" s="720"/>
      <c r="M171" s="23">
        <f t="shared" si="38"/>
        <v>1</v>
      </c>
      <c r="N171" s="720"/>
      <c r="O171" s="23">
        <f t="shared" si="39"/>
        <v>1</v>
      </c>
      <c r="P171" s="720"/>
      <c r="Q171" s="23">
        <f t="shared" si="40"/>
        <v>1</v>
      </c>
      <c r="R171" s="716">
        <f t="shared" si="41"/>
        <v>0</v>
      </c>
      <c r="S171" s="361">
        <f t="shared" si="32"/>
        <v>0</v>
      </c>
    </row>
    <row r="172" spans="1:19">
      <c r="A172" s="159"/>
      <c r="B172" s="58"/>
      <c r="C172" s="23">
        <f t="shared" si="33"/>
        <v>1</v>
      </c>
      <c r="D172" s="720"/>
      <c r="E172" s="23">
        <f t="shared" si="34"/>
        <v>1</v>
      </c>
      <c r="F172" s="720"/>
      <c r="G172" s="23">
        <f t="shared" si="35"/>
        <v>1</v>
      </c>
      <c r="H172" s="720"/>
      <c r="I172" s="23">
        <f t="shared" si="36"/>
        <v>1</v>
      </c>
      <c r="J172" s="720"/>
      <c r="K172" s="23">
        <f t="shared" si="37"/>
        <v>1</v>
      </c>
      <c r="L172" s="720"/>
      <c r="M172" s="23">
        <f t="shared" si="38"/>
        <v>1</v>
      </c>
      <c r="N172" s="720"/>
      <c r="O172" s="23">
        <f t="shared" si="39"/>
        <v>1</v>
      </c>
      <c r="P172" s="720"/>
      <c r="Q172" s="23">
        <f t="shared" si="40"/>
        <v>1</v>
      </c>
      <c r="R172" s="716">
        <f t="shared" si="41"/>
        <v>0</v>
      </c>
      <c r="S172" s="361">
        <f t="shared" si="32"/>
        <v>0</v>
      </c>
    </row>
    <row r="173" spans="1:19">
      <c r="A173" s="159"/>
      <c r="B173" s="58"/>
      <c r="C173" s="23">
        <f t="shared" si="33"/>
        <v>1</v>
      </c>
      <c r="D173" s="720"/>
      <c r="E173" s="23">
        <f t="shared" si="34"/>
        <v>1</v>
      </c>
      <c r="F173" s="720"/>
      <c r="G173" s="23">
        <f t="shared" si="35"/>
        <v>1</v>
      </c>
      <c r="H173" s="720"/>
      <c r="I173" s="23">
        <f t="shared" si="36"/>
        <v>1</v>
      </c>
      <c r="J173" s="720"/>
      <c r="K173" s="23">
        <f t="shared" si="37"/>
        <v>1</v>
      </c>
      <c r="L173" s="720"/>
      <c r="M173" s="23">
        <f t="shared" si="38"/>
        <v>1</v>
      </c>
      <c r="N173" s="720"/>
      <c r="O173" s="23">
        <f t="shared" si="39"/>
        <v>1</v>
      </c>
      <c r="P173" s="720"/>
      <c r="Q173" s="23">
        <f t="shared" si="40"/>
        <v>1</v>
      </c>
      <c r="R173" s="716">
        <f t="shared" si="41"/>
        <v>0</v>
      </c>
      <c r="S173" s="361">
        <f t="shared" si="32"/>
        <v>0</v>
      </c>
    </row>
    <row r="174" spans="1:19">
      <c r="A174" s="159"/>
      <c r="B174" s="58"/>
      <c r="C174" s="23">
        <f t="shared" si="33"/>
        <v>1</v>
      </c>
      <c r="D174" s="720"/>
      <c r="E174" s="23">
        <f t="shared" si="34"/>
        <v>1</v>
      </c>
      <c r="F174" s="720"/>
      <c r="G174" s="23">
        <f t="shared" si="35"/>
        <v>1</v>
      </c>
      <c r="H174" s="720"/>
      <c r="I174" s="23">
        <f t="shared" si="36"/>
        <v>1</v>
      </c>
      <c r="J174" s="720"/>
      <c r="K174" s="23">
        <f t="shared" si="37"/>
        <v>1</v>
      </c>
      <c r="L174" s="720"/>
      <c r="M174" s="23">
        <f t="shared" si="38"/>
        <v>1</v>
      </c>
      <c r="N174" s="720"/>
      <c r="O174" s="23">
        <f t="shared" si="39"/>
        <v>1</v>
      </c>
      <c r="P174" s="720"/>
      <c r="Q174" s="23">
        <f t="shared" si="40"/>
        <v>1</v>
      </c>
      <c r="R174" s="716">
        <f t="shared" si="41"/>
        <v>0</v>
      </c>
      <c r="S174" s="361">
        <f t="shared" si="32"/>
        <v>0</v>
      </c>
    </row>
    <row r="175" spans="1:19">
      <c r="A175" s="159"/>
      <c r="B175" s="58"/>
      <c r="C175" s="23">
        <f t="shared" si="33"/>
        <v>1</v>
      </c>
      <c r="D175" s="720"/>
      <c r="E175" s="23">
        <f t="shared" si="34"/>
        <v>1</v>
      </c>
      <c r="F175" s="720"/>
      <c r="G175" s="23">
        <f t="shared" si="35"/>
        <v>1</v>
      </c>
      <c r="H175" s="720"/>
      <c r="I175" s="23">
        <f t="shared" si="36"/>
        <v>1</v>
      </c>
      <c r="J175" s="720"/>
      <c r="K175" s="23">
        <f t="shared" si="37"/>
        <v>1</v>
      </c>
      <c r="L175" s="720"/>
      <c r="M175" s="23">
        <f t="shared" si="38"/>
        <v>1</v>
      </c>
      <c r="N175" s="720"/>
      <c r="O175" s="23">
        <f t="shared" si="39"/>
        <v>1</v>
      </c>
      <c r="P175" s="720"/>
      <c r="Q175" s="23">
        <f t="shared" si="40"/>
        <v>1</v>
      </c>
      <c r="R175" s="716">
        <f t="shared" si="41"/>
        <v>0</v>
      </c>
      <c r="S175" s="361">
        <f t="shared" si="32"/>
        <v>0</v>
      </c>
    </row>
    <row r="176" spans="1:19">
      <c r="A176" s="159"/>
      <c r="B176" s="58"/>
      <c r="C176" s="23">
        <f t="shared" si="33"/>
        <v>1</v>
      </c>
      <c r="D176" s="720"/>
      <c r="E176" s="23">
        <f t="shared" si="34"/>
        <v>1</v>
      </c>
      <c r="F176" s="720"/>
      <c r="G176" s="23">
        <f t="shared" si="35"/>
        <v>1</v>
      </c>
      <c r="H176" s="720"/>
      <c r="I176" s="23">
        <f t="shared" si="36"/>
        <v>1</v>
      </c>
      <c r="J176" s="720"/>
      <c r="K176" s="23">
        <f t="shared" si="37"/>
        <v>1</v>
      </c>
      <c r="L176" s="720"/>
      <c r="M176" s="23">
        <f t="shared" si="38"/>
        <v>1</v>
      </c>
      <c r="N176" s="720"/>
      <c r="O176" s="23">
        <f t="shared" si="39"/>
        <v>1</v>
      </c>
      <c r="P176" s="720"/>
      <c r="Q176" s="23">
        <f t="shared" si="40"/>
        <v>1</v>
      </c>
      <c r="R176" s="716">
        <f t="shared" si="41"/>
        <v>0</v>
      </c>
      <c r="S176" s="361">
        <f t="shared" si="32"/>
        <v>0</v>
      </c>
    </row>
    <row r="177" spans="1:19">
      <c r="A177" s="159"/>
      <c r="B177" s="58"/>
      <c r="C177" s="23">
        <f t="shared" si="33"/>
        <v>1</v>
      </c>
      <c r="D177" s="720"/>
      <c r="E177" s="23">
        <f t="shared" si="34"/>
        <v>1</v>
      </c>
      <c r="F177" s="720"/>
      <c r="G177" s="23">
        <f t="shared" si="35"/>
        <v>1</v>
      </c>
      <c r="H177" s="720"/>
      <c r="I177" s="23">
        <f t="shared" si="36"/>
        <v>1</v>
      </c>
      <c r="J177" s="720"/>
      <c r="K177" s="23">
        <f t="shared" si="37"/>
        <v>1</v>
      </c>
      <c r="L177" s="720"/>
      <c r="M177" s="23">
        <f t="shared" si="38"/>
        <v>1</v>
      </c>
      <c r="N177" s="720"/>
      <c r="O177" s="23">
        <f t="shared" si="39"/>
        <v>1</v>
      </c>
      <c r="P177" s="720"/>
      <c r="Q177" s="23">
        <f t="shared" si="40"/>
        <v>1</v>
      </c>
      <c r="R177" s="716">
        <f t="shared" si="41"/>
        <v>0</v>
      </c>
      <c r="S177" s="361">
        <f t="shared" si="32"/>
        <v>0</v>
      </c>
    </row>
    <row r="178" spans="1:19">
      <c r="A178" s="159"/>
      <c r="B178" s="58"/>
      <c r="C178" s="23">
        <f t="shared" si="33"/>
        <v>1</v>
      </c>
      <c r="D178" s="720"/>
      <c r="E178" s="23">
        <f t="shared" si="34"/>
        <v>1</v>
      </c>
      <c r="F178" s="720"/>
      <c r="G178" s="23">
        <f t="shared" si="35"/>
        <v>1</v>
      </c>
      <c r="H178" s="720"/>
      <c r="I178" s="23">
        <f t="shared" si="36"/>
        <v>1</v>
      </c>
      <c r="J178" s="720"/>
      <c r="K178" s="23">
        <f t="shared" si="37"/>
        <v>1</v>
      </c>
      <c r="L178" s="720"/>
      <c r="M178" s="23">
        <f t="shared" si="38"/>
        <v>1</v>
      </c>
      <c r="N178" s="720"/>
      <c r="O178" s="23">
        <f t="shared" si="39"/>
        <v>1</v>
      </c>
      <c r="P178" s="720"/>
      <c r="Q178" s="23">
        <f t="shared" si="40"/>
        <v>1</v>
      </c>
      <c r="R178" s="716">
        <f t="shared" si="41"/>
        <v>0</v>
      </c>
      <c r="S178" s="361">
        <f t="shared" si="32"/>
        <v>0</v>
      </c>
    </row>
    <row r="179" spans="1:19">
      <c r="A179" s="159"/>
      <c r="B179" s="58"/>
      <c r="C179" s="23">
        <f t="shared" si="33"/>
        <v>1</v>
      </c>
      <c r="D179" s="720"/>
      <c r="E179" s="23">
        <f t="shared" si="34"/>
        <v>1</v>
      </c>
      <c r="F179" s="720"/>
      <c r="G179" s="23">
        <f t="shared" si="35"/>
        <v>1</v>
      </c>
      <c r="H179" s="720"/>
      <c r="I179" s="23">
        <f t="shared" si="36"/>
        <v>1</v>
      </c>
      <c r="J179" s="720"/>
      <c r="K179" s="23">
        <f t="shared" si="37"/>
        <v>1</v>
      </c>
      <c r="L179" s="720"/>
      <c r="M179" s="23">
        <f t="shared" si="38"/>
        <v>1</v>
      </c>
      <c r="N179" s="720"/>
      <c r="O179" s="23">
        <f t="shared" si="39"/>
        <v>1</v>
      </c>
      <c r="P179" s="720"/>
      <c r="Q179" s="23">
        <f t="shared" si="40"/>
        <v>1</v>
      </c>
      <c r="R179" s="716">
        <f t="shared" si="41"/>
        <v>0</v>
      </c>
      <c r="S179" s="361">
        <f t="shared" si="32"/>
        <v>0</v>
      </c>
    </row>
    <row r="180" spans="1:19">
      <c r="A180" s="159"/>
      <c r="B180" s="58"/>
      <c r="C180" s="23">
        <f t="shared" si="33"/>
        <v>1</v>
      </c>
      <c r="D180" s="720"/>
      <c r="E180" s="23">
        <f t="shared" si="34"/>
        <v>1</v>
      </c>
      <c r="F180" s="720"/>
      <c r="G180" s="23">
        <f t="shared" si="35"/>
        <v>1</v>
      </c>
      <c r="H180" s="720"/>
      <c r="I180" s="23">
        <f t="shared" si="36"/>
        <v>1</v>
      </c>
      <c r="J180" s="720"/>
      <c r="K180" s="23">
        <f t="shared" si="37"/>
        <v>1</v>
      </c>
      <c r="L180" s="720"/>
      <c r="M180" s="23">
        <f t="shared" si="38"/>
        <v>1</v>
      </c>
      <c r="N180" s="720"/>
      <c r="O180" s="23">
        <f t="shared" si="39"/>
        <v>1</v>
      </c>
      <c r="P180" s="720"/>
      <c r="Q180" s="23">
        <f t="shared" si="40"/>
        <v>1</v>
      </c>
      <c r="R180" s="716">
        <f t="shared" si="41"/>
        <v>0</v>
      </c>
      <c r="S180" s="361">
        <f t="shared" si="32"/>
        <v>0</v>
      </c>
    </row>
    <row r="181" spans="1:19">
      <c r="A181" s="159"/>
      <c r="B181" s="58"/>
      <c r="C181" s="23">
        <f t="shared" si="33"/>
        <v>1</v>
      </c>
      <c r="D181" s="720"/>
      <c r="E181" s="23">
        <f t="shared" si="34"/>
        <v>1</v>
      </c>
      <c r="F181" s="720"/>
      <c r="G181" s="23">
        <f t="shared" si="35"/>
        <v>1</v>
      </c>
      <c r="H181" s="720"/>
      <c r="I181" s="23">
        <f t="shared" si="36"/>
        <v>1</v>
      </c>
      <c r="J181" s="720"/>
      <c r="K181" s="23">
        <f t="shared" si="37"/>
        <v>1</v>
      </c>
      <c r="L181" s="720"/>
      <c r="M181" s="23">
        <f t="shared" si="38"/>
        <v>1</v>
      </c>
      <c r="N181" s="720"/>
      <c r="O181" s="23">
        <f t="shared" si="39"/>
        <v>1</v>
      </c>
      <c r="P181" s="720"/>
      <c r="Q181" s="23">
        <f t="shared" si="40"/>
        <v>1</v>
      </c>
      <c r="R181" s="716">
        <f t="shared" si="41"/>
        <v>0</v>
      </c>
      <c r="S181" s="361">
        <f t="shared" si="32"/>
        <v>0</v>
      </c>
    </row>
    <row r="182" spans="1:19">
      <c r="A182" s="159"/>
      <c r="B182" s="58"/>
      <c r="C182" s="23">
        <f t="shared" si="33"/>
        <v>1</v>
      </c>
      <c r="D182" s="720"/>
      <c r="E182" s="23">
        <f t="shared" si="34"/>
        <v>1</v>
      </c>
      <c r="F182" s="720"/>
      <c r="G182" s="23">
        <f t="shared" si="35"/>
        <v>1</v>
      </c>
      <c r="H182" s="720"/>
      <c r="I182" s="23">
        <f t="shared" si="36"/>
        <v>1</v>
      </c>
      <c r="J182" s="720"/>
      <c r="K182" s="23">
        <f t="shared" si="37"/>
        <v>1</v>
      </c>
      <c r="L182" s="720"/>
      <c r="M182" s="23">
        <f t="shared" si="38"/>
        <v>1</v>
      </c>
      <c r="N182" s="720"/>
      <c r="O182" s="23">
        <f t="shared" si="39"/>
        <v>1</v>
      </c>
      <c r="P182" s="720"/>
      <c r="Q182" s="23">
        <f t="shared" si="40"/>
        <v>1</v>
      </c>
      <c r="R182" s="716">
        <f t="shared" si="41"/>
        <v>0</v>
      </c>
      <c r="S182" s="361">
        <f t="shared" si="32"/>
        <v>0</v>
      </c>
    </row>
    <row r="183" spans="1:19">
      <c r="A183" s="159"/>
      <c r="B183" s="58"/>
      <c r="C183" s="23">
        <f t="shared" si="33"/>
        <v>1</v>
      </c>
      <c r="D183" s="720"/>
      <c r="E183" s="23">
        <f t="shared" si="34"/>
        <v>1</v>
      </c>
      <c r="F183" s="720"/>
      <c r="G183" s="23">
        <f t="shared" si="35"/>
        <v>1</v>
      </c>
      <c r="H183" s="720"/>
      <c r="I183" s="23">
        <f t="shared" si="36"/>
        <v>1</v>
      </c>
      <c r="J183" s="720"/>
      <c r="K183" s="23">
        <f t="shared" si="37"/>
        <v>1</v>
      </c>
      <c r="L183" s="720"/>
      <c r="M183" s="23">
        <f t="shared" si="38"/>
        <v>1</v>
      </c>
      <c r="N183" s="720"/>
      <c r="O183" s="23">
        <f t="shared" si="39"/>
        <v>1</v>
      </c>
      <c r="P183" s="720"/>
      <c r="Q183" s="23">
        <f t="shared" si="40"/>
        <v>1</v>
      </c>
      <c r="R183" s="716">
        <f t="shared" si="41"/>
        <v>0</v>
      </c>
      <c r="S183" s="361">
        <f t="shared" si="32"/>
        <v>0</v>
      </c>
    </row>
    <row r="184" spans="1:19">
      <c r="A184" s="159"/>
      <c r="B184" s="58"/>
      <c r="C184" s="23">
        <f t="shared" si="33"/>
        <v>1</v>
      </c>
      <c r="D184" s="720"/>
      <c r="E184" s="23">
        <f t="shared" si="34"/>
        <v>1</v>
      </c>
      <c r="F184" s="720"/>
      <c r="G184" s="23">
        <f t="shared" si="35"/>
        <v>1</v>
      </c>
      <c r="H184" s="720"/>
      <c r="I184" s="23">
        <f t="shared" si="36"/>
        <v>1</v>
      </c>
      <c r="J184" s="720"/>
      <c r="K184" s="23">
        <f t="shared" si="37"/>
        <v>1</v>
      </c>
      <c r="L184" s="720"/>
      <c r="M184" s="23">
        <f t="shared" si="38"/>
        <v>1</v>
      </c>
      <c r="N184" s="720"/>
      <c r="O184" s="23">
        <f t="shared" si="39"/>
        <v>1</v>
      </c>
      <c r="P184" s="720"/>
      <c r="Q184" s="23">
        <f t="shared" si="40"/>
        <v>1</v>
      </c>
      <c r="R184" s="716">
        <f t="shared" si="41"/>
        <v>0</v>
      </c>
      <c r="S184" s="361">
        <f t="shared" si="32"/>
        <v>0</v>
      </c>
    </row>
    <row r="185" spans="1:19">
      <c r="A185" s="159"/>
      <c r="B185" s="58"/>
      <c r="C185" s="23">
        <f t="shared" si="33"/>
        <v>1</v>
      </c>
      <c r="D185" s="720"/>
      <c r="E185" s="23">
        <f t="shared" si="34"/>
        <v>1</v>
      </c>
      <c r="F185" s="720"/>
      <c r="G185" s="23">
        <f t="shared" si="35"/>
        <v>1</v>
      </c>
      <c r="H185" s="720"/>
      <c r="I185" s="23">
        <f t="shared" si="36"/>
        <v>1</v>
      </c>
      <c r="J185" s="720"/>
      <c r="K185" s="23">
        <f t="shared" si="37"/>
        <v>1</v>
      </c>
      <c r="L185" s="720"/>
      <c r="M185" s="23">
        <f t="shared" si="38"/>
        <v>1</v>
      </c>
      <c r="N185" s="720"/>
      <c r="O185" s="23">
        <f t="shared" si="39"/>
        <v>1</v>
      </c>
      <c r="P185" s="720"/>
      <c r="Q185" s="23">
        <f t="shared" si="40"/>
        <v>1</v>
      </c>
      <c r="R185" s="716">
        <f t="shared" si="41"/>
        <v>0</v>
      </c>
      <c r="S185" s="361">
        <f t="shared" si="32"/>
        <v>0</v>
      </c>
    </row>
    <row r="186" spans="1:19">
      <c r="A186" s="159"/>
      <c r="B186" s="58"/>
      <c r="C186" s="23">
        <f t="shared" si="33"/>
        <v>1</v>
      </c>
      <c r="D186" s="720"/>
      <c r="E186" s="23">
        <f t="shared" si="34"/>
        <v>1</v>
      </c>
      <c r="F186" s="720"/>
      <c r="G186" s="23">
        <f t="shared" si="35"/>
        <v>1</v>
      </c>
      <c r="H186" s="720"/>
      <c r="I186" s="23">
        <f t="shared" si="36"/>
        <v>1</v>
      </c>
      <c r="J186" s="720"/>
      <c r="K186" s="23">
        <f t="shared" si="37"/>
        <v>1</v>
      </c>
      <c r="L186" s="720"/>
      <c r="M186" s="23">
        <f t="shared" si="38"/>
        <v>1</v>
      </c>
      <c r="N186" s="720"/>
      <c r="O186" s="23">
        <f t="shared" si="39"/>
        <v>1</v>
      </c>
      <c r="P186" s="720"/>
      <c r="Q186" s="23">
        <f t="shared" si="40"/>
        <v>1</v>
      </c>
      <c r="R186" s="716">
        <f t="shared" si="41"/>
        <v>0</v>
      </c>
      <c r="S186" s="361">
        <f t="shared" si="32"/>
        <v>0</v>
      </c>
    </row>
    <row r="187" spans="1:19">
      <c r="A187" s="159"/>
      <c r="B187" s="58"/>
      <c r="C187" s="23">
        <f t="shared" si="33"/>
        <v>1</v>
      </c>
      <c r="D187" s="720"/>
      <c r="E187" s="23">
        <f t="shared" si="34"/>
        <v>1</v>
      </c>
      <c r="F187" s="720"/>
      <c r="G187" s="23">
        <f t="shared" si="35"/>
        <v>1</v>
      </c>
      <c r="H187" s="720"/>
      <c r="I187" s="23">
        <f t="shared" si="36"/>
        <v>1</v>
      </c>
      <c r="J187" s="720"/>
      <c r="K187" s="23">
        <f t="shared" si="37"/>
        <v>1</v>
      </c>
      <c r="L187" s="720"/>
      <c r="M187" s="23">
        <f t="shared" si="38"/>
        <v>1</v>
      </c>
      <c r="N187" s="720"/>
      <c r="O187" s="23">
        <f t="shared" si="39"/>
        <v>1</v>
      </c>
      <c r="P187" s="720"/>
      <c r="Q187" s="23">
        <f t="shared" si="40"/>
        <v>1</v>
      </c>
      <c r="R187" s="716">
        <f t="shared" si="41"/>
        <v>0</v>
      </c>
      <c r="S187" s="361">
        <f t="shared" ref="S187:S222" si="42">ROUND(R187*B187/10000,0)</f>
        <v>0</v>
      </c>
    </row>
    <row r="188" spans="1:19">
      <c r="A188" s="159"/>
      <c r="B188" s="58"/>
      <c r="C188" s="23">
        <f t="shared" si="33"/>
        <v>1</v>
      </c>
      <c r="D188" s="720"/>
      <c r="E188" s="23">
        <f t="shared" si="34"/>
        <v>1</v>
      </c>
      <c r="F188" s="720"/>
      <c r="G188" s="23">
        <f t="shared" si="35"/>
        <v>1</v>
      </c>
      <c r="H188" s="720"/>
      <c r="I188" s="23">
        <f t="shared" si="36"/>
        <v>1</v>
      </c>
      <c r="J188" s="720"/>
      <c r="K188" s="23">
        <f t="shared" si="37"/>
        <v>1</v>
      </c>
      <c r="L188" s="720"/>
      <c r="M188" s="23">
        <f t="shared" si="38"/>
        <v>1</v>
      </c>
      <c r="N188" s="720"/>
      <c r="O188" s="23">
        <f t="shared" si="39"/>
        <v>1</v>
      </c>
      <c r="P188" s="720"/>
      <c r="Q188" s="23">
        <f t="shared" si="40"/>
        <v>1</v>
      </c>
      <c r="R188" s="716">
        <f t="shared" si="41"/>
        <v>0</v>
      </c>
      <c r="S188" s="361">
        <f t="shared" si="42"/>
        <v>0</v>
      </c>
    </row>
    <row r="189" spans="1:19">
      <c r="A189" s="159"/>
      <c r="B189" s="58"/>
      <c r="C189" s="23">
        <f t="shared" si="33"/>
        <v>1</v>
      </c>
      <c r="D189" s="720"/>
      <c r="E189" s="23">
        <f t="shared" si="34"/>
        <v>1</v>
      </c>
      <c r="F189" s="720"/>
      <c r="G189" s="23">
        <f t="shared" si="35"/>
        <v>1</v>
      </c>
      <c r="H189" s="720"/>
      <c r="I189" s="23">
        <f t="shared" si="36"/>
        <v>1</v>
      </c>
      <c r="J189" s="720"/>
      <c r="K189" s="23">
        <f t="shared" si="37"/>
        <v>1</v>
      </c>
      <c r="L189" s="720"/>
      <c r="M189" s="23">
        <f t="shared" si="38"/>
        <v>1</v>
      </c>
      <c r="N189" s="720"/>
      <c r="O189" s="23">
        <f t="shared" si="39"/>
        <v>1</v>
      </c>
      <c r="P189" s="720"/>
      <c r="Q189" s="23">
        <f t="shared" si="40"/>
        <v>1</v>
      </c>
      <c r="R189" s="716">
        <f t="shared" si="41"/>
        <v>0</v>
      </c>
      <c r="S189" s="361">
        <f t="shared" si="42"/>
        <v>0</v>
      </c>
    </row>
    <row r="190" spans="1:19">
      <c r="A190" s="159"/>
      <c r="B190" s="58"/>
      <c r="C190" s="23">
        <f t="shared" si="33"/>
        <v>1</v>
      </c>
      <c r="D190" s="720"/>
      <c r="E190" s="23">
        <f t="shared" si="34"/>
        <v>1</v>
      </c>
      <c r="F190" s="720"/>
      <c r="G190" s="23">
        <f t="shared" si="35"/>
        <v>1</v>
      </c>
      <c r="H190" s="720"/>
      <c r="I190" s="23">
        <f t="shared" si="36"/>
        <v>1</v>
      </c>
      <c r="J190" s="720"/>
      <c r="K190" s="23">
        <f t="shared" si="37"/>
        <v>1</v>
      </c>
      <c r="L190" s="720"/>
      <c r="M190" s="23">
        <f t="shared" si="38"/>
        <v>1</v>
      </c>
      <c r="N190" s="720"/>
      <c r="O190" s="23">
        <f t="shared" si="39"/>
        <v>1</v>
      </c>
      <c r="P190" s="720"/>
      <c r="Q190" s="23">
        <f t="shared" si="40"/>
        <v>1</v>
      </c>
      <c r="R190" s="716">
        <f t="shared" si="41"/>
        <v>0</v>
      </c>
      <c r="S190" s="361">
        <f t="shared" si="42"/>
        <v>0</v>
      </c>
    </row>
    <row r="191" spans="1:19">
      <c r="A191" s="159"/>
      <c r="B191" s="58"/>
      <c r="C191" s="23">
        <f t="shared" si="33"/>
        <v>1</v>
      </c>
      <c r="D191" s="720"/>
      <c r="E191" s="23">
        <f t="shared" si="34"/>
        <v>1</v>
      </c>
      <c r="F191" s="720"/>
      <c r="G191" s="23">
        <f t="shared" si="35"/>
        <v>1</v>
      </c>
      <c r="H191" s="720"/>
      <c r="I191" s="23">
        <f t="shared" si="36"/>
        <v>1</v>
      </c>
      <c r="J191" s="720"/>
      <c r="K191" s="23">
        <f t="shared" si="37"/>
        <v>1</v>
      </c>
      <c r="L191" s="720"/>
      <c r="M191" s="23">
        <f t="shared" si="38"/>
        <v>1</v>
      </c>
      <c r="N191" s="720"/>
      <c r="O191" s="23">
        <f t="shared" si="39"/>
        <v>1</v>
      </c>
      <c r="P191" s="720"/>
      <c r="Q191" s="23">
        <f t="shared" si="40"/>
        <v>1</v>
      </c>
      <c r="R191" s="716">
        <f t="shared" si="41"/>
        <v>0</v>
      </c>
      <c r="S191" s="361">
        <f t="shared" si="42"/>
        <v>0</v>
      </c>
    </row>
    <row r="192" spans="1:19">
      <c r="A192" s="159"/>
      <c r="B192" s="58"/>
      <c r="C192" s="23">
        <f t="shared" si="33"/>
        <v>1</v>
      </c>
      <c r="D192" s="720"/>
      <c r="E192" s="23">
        <f t="shared" si="34"/>
        <v>1</v>
      </c>
      <c r="F192" s="720"/>
      <c r="G192" s="23">
        <f t="shared" si="35"/>
        <v>1</v>
      </c>
      <c r="H192" s="720"/>
      <c r="I192" s="23">
        <f t="shared" si="36"/>
        <v>1</v>
      </c>
      <c r="J192" s="720"/>
      <c r="K192" s="23">
        <f t="shared" si="37"/>
        <v>1</v>
      </c>
      <c r="L192" s="720"/>
      <c r="M192" s="23">
        <f t="shared" si="38"/>
        <v>1</v>
      </c>
      <c r="N192" s="720"/>
      <c r="O192" s="23">
        <f t="shared" si="39"/>
        <v>1</v>
      </c>
      <c r="P192" s="720"/>
      <c r="Q192" s="23">
        <f t="shared" si="40"/>
        <v>1</v>
      </c>
      <c r="R192" s="716">
        <f t="shared" si="41"/>
        <v>0</v>
      </c>
      <c r="S192" s="361">
        <f t="shared" si="42"/>
        <v>0</v>
      </c>
    </row>
    <row r="193" spans="1:19">
      <c r="A193" s="159"/>
      <c r="B193" s="58"/>
      <c r="C193" s="23">
        <f t="shared" si="33"/>
        <v>1</v>
      </c>
      <c r="D193" s="720"/>
      <c r="E193" s="23">
        <f t="shared" si="34"/>
        <v>1</v>
      </c>
      <c r="F193" s="720"/>
      <c r="G193" s="23">
        <f t="shared" si="35"/>
        <v>1</v>
      </c>
      <c r="H193" s="720"/>
      <c r="I193" s="23">
        <f t="shared" si="36"/>
        <v>1</v>
      </c>
      <c r="J193" s="720"/>
      <c r="K193" s="23">
        <f t="shared" si="37"/>
        <v>1</v>
      </c>
      <c r="L193" s="720"/>
      <c r="M193" s="23">
        <f t="shared" si="38"/>
        <v>1</v>
      </c>
      <c r="N193" s="720"/>
      <c r="O193" s="23">
        <f t="shared" si="39"/>
        <v>1</v>
      </c>
      <c r="P193" s="720"/>
      <c r="Q193" s="23">
        <f t="shared" si="40"/>
        <v>1</v>
      </c>
      <c r="R193" s="716">
        <f t="shared" si="41"/>
        <v>0</v>
      </c>
      <c r="S193" s="361">
        <f t="shared" si="42"/>
        <v>0</v>
      </c>
    </row>
    <row r="194" spans="1:19">
      <c r="A194" s="159"/>
      <c r="B194" s="58"/>
      <c r="C194" s="23">
        <f t="shared" si="33"/>
        <v>1</v>
      </c>
      <c r="D194" s="720"/>
      <c r="E194" s="23">
        <f t="shared" si="34"/>
        <v>1</v>
      </c>
      <c r="F194" s="720"/>
      <c r="G194" s="23">
        <f t="shared" si="35"/>
        <v>1</v>
      </c>
      <c r="H194" s="720"/>
      <c r="I194" s="23">
        <f t="shared" si="36"/>
        <v>1</v>
      </c>
      <c r="J194" s="720"/>
      <c r="K194" s="23">
        <f t="shared" si="37"/>
        <v>1</v>
      </c>
      <c r="L194" s="720"/>
      <c r="M194" s="23">
        <f t="shared" si="38"/>
        <v>1</v>
      </c>
      <c r="N194" s="720"/>
      <c r="O194" s="23">
        <f t="shared" si="39"/>
        <v>1</v>
      </c>
      <c r="P194" s="720"/>
      <c r="Q194" s="23">
        <f t="shared" si="40"/>
        <v>1</v>
      </c>
      <c r="R194" s="716">
        <f t="shared" si="41"/>
        <v>0</v>
      </c>
      <c r="S194" s="361">
        <f t="shared" si="42"/>
        <v>0</v>
      </c>
    </row>
    <row r="195" spans="1:19">
      <c r="A195" s="159"/>
      <c r="B195" s="58"/>
      <c r="C195" s="23">
        <f t="shared" si="33"/>
        <v>1</v>
      </c>
      <c r="D195" s="720"/>
      <c r="E195" s="23">
        <f t="shared" si="34"/>
        <v>1</v>
      </c>
      <c r="F195" s="720"/>
      <c r="G195" s="23">
        <f t="shared" si="35"/>
        <v>1</v>
      </c>
      <c r="H195" s="720"/>
      <c r="I195" s="23">
        <f t="shared" si="36"/>
        <v>1</v>
      </c>
      <c r="J195" s="720"/>
      <c r="K195" s="23">
        <f t="shared" si="37"/>
        <v>1</v>
      </c>
      <c r="L195" s="720"/>
      <c r="M195" s="23">
        <f t="shared" si="38"/>
        <v>1</v>
      </c>
      <c r="N195" s="720"/>
      <c r="O195" s="23">
        <f t="shared" si="39"/>
        <v>1</v>
      </c>
      <c r="P195" s="720"/>
      <c r="Q195" s="23">
        <f t="shared" si="40"/>
        <v>1</v>
      </c>
      <c r="R195" s="716">
        <f t="shared" si="41"/>
        <v>0</v>
      </c>
      <c r="S195" s="361">
        <f t="shared" si="42"/>
        <v>0</v>
      </c>
    </row>
    <row r="196" spans="1:19">
      <c r="A196" s="159"/>
      <c r="B196" s="58"/>
      <c r="C196" s="23">
        <f t="shared" si="33"/>
        <v>1</v>
      </c>
      <c r="D196" s="720"/>
      <c r="E196" s="23">
        <f t="shared" si="34"/>
        <v>1</v>
      </c>
      <c r="F196" s="720"/>
      <c r="G196" s="23">
        <f t="shared" si="35"/>
        <v>1</v>
      </c>
      <c r="H196" s="720"/>
      <c r="I196" s="23">
        <f t="shared" si="36"/>
        <v>1</v>
      </c>
      <c r="J196" s="720"/>
      <c r="K196" s="23">
        <f t="shared" si="37"/>
        <v>1</v>
      </c>
      <c r="L196" s="720"/>
      <c r="M196" s="23">
        <f t="shared" si="38"/>
        <v>1</v>
      </c>
      <c r="N196" s="720"/>
      <c r="O196" s="23">
        <f t="shared" si="39"/>
        <v>1</v>
      </c>
      <c r="P196" s="720"/>
      <c r="Q196" s="23">
        <f t="shared" si="40"/>
        <v>1</v>
      </c>
      <c r="R196" s="716">
        <f t="shared" si="41"/>
        <v>0</v>
      </c>
      <c r="S196" s="361">
        <f t="shared" si="42"/>
        <v>0</v>
      </c>
    </row>
    <row r="197" spans="1:19">
      <c r="A197" s="159"/>
      <c r="B197" s="58"/>
      <c r="C197" s="23">
        <f t="shared" si="33"/>
        <v>1</v>
      </c>
      <c r="D197" s="720"/>
      <c r="E197" s="23">
        <f t="shared" si="34"/>
        <v>1</v>
      </c>
      <c r="F197" s="720"/>
      <c r="G197" s="23">
        <f t="shared" si="35"/>
        <v>1</v>
      </c>
      <c r="H197" s="720"/>
      <c r="I197" s="23">
        <f t="shared" si="36"/>
        <v>1</v>
      </c>
      <c r="J197" s="720"/>
      <c r="K197" s="23">
        <f t="shared" si="37"/>
        <v>1</v>
      </c>
      <c r="L197" s="720"/>
      <c r="M197" s="23">
        <f t="shared" si="38"/>
        <v>1</v>
      </c>
      <c r="N197" s="720"/>
      <c r="O197" s="23">
        <f t="shared" si="39"/>
        <v>1</v>
      </c>
      <c r="P197" s="720"/>
      <c r="Q197" s="23">
        <f t="shared" si="40"/>
        <v>1</v>
      </c>
      <c r="R197" s="716">
        <f t="shared" si="41"/>
        <v>0</v>
      </c>
      <c r="S197" s="361">
        <f t="shared" si="42"/>
        <v>0</v>
      </c>
    </row>
    <row r="198" spans="1:19">
      <c r="A198" s="159"/>
      <c r="B198" s="58"/>
      <c r="C198" s="23">
        <f t="shared" si="33"/>
        <v>1</v>
      </c>
      <c r="D198" s="720"/>
      <c r="E198" s="23">
        <f t="shared" si="34"/>
        <v>1</v>
      </c>
      <c r="F198" s="720"/>
      <c r="G198" s="23">
        <f t="shared" si="35"/>
        <v>1</v>
      </c>
      <c r="H198" s="720"/>
      <c r="I198" s="23">
        <f t="shared" si="36"/>
        <v>1</v>
      </c>
      <c r="J198" s="720"/>
      <c r="K198" s="23">
        <f t="shared" si="37"/>
        <v>1</v>
      </c>
      <c r="L198" s="720"/>
      <c r="M198" s="23">
        <f t="shared" si="38"/>
        <v>1</v>
      </c>
      <c r="N198" s="720"/>
      <c r="O198" s="23">
        <f t="shared" si="39"/>
        <v>1</v>
      </c>
      <c r="P198" s="720"/>
      <c r="Q198" s="23">
        <f t="shared" si="40"/>
        <v>1</v>
      </c>
      <c r="R198" s="716">
        <f t="shared" si="41"/>
        <v>0</v>
      </c>
      <c r="S198" s="361">
        <f t="shared" si="42"/>
        <v>0</v>
      </c>
    </row>
    <row r="199" spans="1:19">
      <c r="A199" s="159"/>
      <c r="B199" s="58"/>
      <c r="C199" s="23">
        <f t="shared" si="33"/>
        <v>1</v>
      </c>
      <c r="D199" s="720"/>
      <c r="E199" s="23">
        <f t="shared" si="34"/>
        <v>1</v>
      </c>
      <c r="F199" s="720"/>
      <c r="G199" s="23">
        <f t="shared" si="35"/>
        <v>1</v>
      </c>
      <c r="H199" s="720"/>
      <c r="I199" s="23">
        <f t="shared" si="36"/>
        <v>1</v>
      </c>
      <c r="J199" s="720"/>
      <c r="K199" s="23">
        <f t="shared" si="37"/>
        <v>1</v>
      </c>
      <c r="L199" s="720"/>
      <c r="M199" s="23">
        <f t="shared" si="38"/>
        <v>1</v>
      </c>
      <c r="N199" s="720"/>
      <c r="O199" s="23">
        <f t="shared" si="39"/>
        <v>1</v>
      </c>
      <c r="P199" s="720"/>
      <c r="Q199" s="23">
        <f t="shared" si="40"/>
        <v>1</v>
      </c>
      <c r="R199" s="716">
        <f t="shared" si="41"/>
        <v>0</v>
      </c>
      <c r="S199" s="361">
        <f t="shared" si="42"/>
        <v>0</v>
      </c>
    </row>
    <row r="200" spans="1:19">
      <c r="A200" s="159"/>
      <c r="B200" s="58"/>
      <c r="C200" s="23">
        <f t="shared" si="33"/>
        <v>1</v>
      </c>
      <c r="D200" s="720"/>
      <c r="E200" s="23">
        <f t="shared" si="34"/>
        <v>1</v>
      </c>
      <c r="F200" s="720"/>
      <c r="G200" s="23">
        <f t="shared" si="35"/>
        <v>1</v>
      </c>
      <c r="H200" s="720"/>
      <c r="I200" s="23">
        <f t="shared" si="36"/>
        <v>1</v>
      </c>
      <c r="J200" s="720"/>
      <c r="K200" s="23">
        <f t="shared" si="37"/>
        <v>1</v>
      </c>
      <c r="L200" s="720"/>
      <c r="M200" s="23">
        <f t="shared" si="38"/>
        <v>1</v>
      </c>
      <c r="N200" s="720"/>
      <c r="O200" s="23">
        <f t="shared" si="39"/>
        <v>1</v>
      </c>
      <c r="P200" s="720"/>
      <c r="Q200" s="23">
        <f t="shared" si="40"/>
        <v>1</v>
      </c>
      <c r="R200" s="716">
        <f t="shared" si="41"/>
        <v>0</v>
      </c>
      <c r="S200" s="361">
        <f t="shared" si="42"/>
        <v>0</v>
      </c>
    </row>
    <row r="201" spans="1:19">
      <c r="A201" s="159"/>
      <c r="B201" s="58"/>
      <c r="C201" s="23">
        <f t="shared" si="33"/>
        <v>1</v>
      </c>
      <c r="D201" s="720"/>
      <c r="E201" s="23">
        <f t="shared" si="34"/>
        <v>1</v>
      </c>
      <c r="F201" s="720"/>
      <c r="G201" s="23">
        <f t="shared" si="35"/>
        <v>1</v>
      </c>
      <c r="H201" s="720"/>
      <c r="I201" s="23">
        <f t="shared" si="36"/>
        <v>1</v>
      </c>
      <c r="J201" s="720"/>
      <c r="K201" s="23">
        <f t="shared" si="37"/>
        <v>1</v>
      </c>
      <c r="L201" s="720"/>
      <c r="M201" s="23">
        <f t="shared" si="38"/>
        <v>1</v>
      </c>
      <c r="N201" s="720"/>
      <c r="O201" s="23">
        <f t="shared" si="39"/>
        <v>1</v>
      </c>
      <c r="P201" s="720"/>
      <c r="Q201" s="23">
        <f t="shared" si="40"/>
        <v>1</v>
      </c>
      <c r="R201" s="716">
        <f t="shared" si="41"/>
        <v>0</v>
      </c>
      <c r="S201" s="361">
        <f t="shared" si="42"/>
        <v>0</v>
      </c>
    </row>
    <row r="202" spans="1:19">
      <c r="A202" s="159"/>
      <c r="B202" s="58"/>
      <c r="C202" s="23">
        <f t="shared" si="33"/>
        <v>1</v>
      </c>
      <c r="D202" s="720"/>
      <c r="E202" s="23">
        <f t="shared" si="34"/>
        <v>1</v>
      </c>
      <c r="F202" s="720"/>
      <c r="G202" s="23">
        <f t="shared" si="35"/>
        <v>1</v>
      </c>
      <c r="H202" s="720"/>
      <c r="I202" s="23">
        <f t="shared" si="36"/>
        <v>1</v>
      </c>
      <c r="J202" s="720"/>
      <c r="K202" s="23">
        <f t="shared" si="37"/>
        <v>1</v>
      </c>
      <c r="L202" s="720"/>
      <c r="M202" s="23">
        <f t="shared" si="38"/>
        <v>1</v>
      </c>
      <c r="N202" s="720"/>
      <c r="O202" s="23">
        <f t="shared" si="39"/>
        <v>1</v>
      </c>
      <c r="P202" s="720"/>
      <c r="Q202" s="23">
        <f t="shared" si="40"/>
        <v>1</v>
      </c>
      <c r="R202" s="716">
        <f t="shared" si="41"/>
        <v>0</v>
      </c>
      <c r="S202" s="361">
        <f t="shared" si="42"/>
        <v>0</v>
      </c>
    </row>
    <row r="203" spans="1:19">
      <c r="A203" s="159"/>
      <c r="B203" s="58"/>
      <c r="C203" s="23">
        <f t="shared" si="33"/>
        <v>1</v>
      </c>
      <c r="D203" s="720"/>
      <c r="E203" s="23">
        <f t="shared" si="34"/>
        <v>1</v>
      </c>
      <c r="F203" s="720"/>
      <c r="G203" s="23">
        <f t="shared" si="35"/>
        <v>1</v>
      </c>
      <c r="H203" s="720"/>
      <c r="I203" s="23">
        <f t="shared" si="36"/>
        <v>1</v>
      </c>
      <c r="J203" s="720"/>
      <c r="K203" s="23">
        <f t="shared" si="37"/>
        <v>1</v>
      </c>
      <c r="L203" s="720"/>
      <c r="M203" s="23">
        <f t="shared" si="38"/>
        <v>1</v>
      </c>
      <c r="N203" s="720"/>
      <c r="O203" s="23">
        <f t="shared" si="39"/>
        <v>1</v>
      </c>
      <c r="P203" s="720"/>
      <c r="Q203" s="23">
        <f t="shared" si="40"/>
        <v>1</v>
      </c>
      <c r="R203" s="716">
        <f t="shared" si="41"/>
        <v>0</v>
      </c>
      <c r="S203" s="361">
        <f t="shared" si="42"/>
        <v>0</v>
      </c>
    </row>
    <row r="204" spans="1:19">
      <c r="A204" s="159"/>
      <c r="B204" s="58"/>
      <c r="C204" s="23">
        <f t="shared" si="33"/>
        <v>1</v>
      </c>
      <c r="D204" s="720"/>
      <c r="E204" s="23">
        <f t="shared" si="34"/>
        <v>1</v>
      </c>
      <c r="F204" s="720"/>
      <c r="G204" s="23">
        <f t="shared" si="35"/>
        <v>1</v>
      </c>
      <c r="H204" s="720"/>
      <c r="I204" s="23">
        <f t="shared" si="36"/>
        <v>1</v>
      </c>
      <c r="J204" s="720"/>
      <c r="K204" s="23">
        <f t="shared" si="37"/>
        <v>1</v>
      </c>
      <c r="L204" s="720"/>
      <c r="M204" s="23">
        <f t="shared" si="38"/>
        <v>1</v>
      </c>
      <c r="N204" s="720"/>
      <c r="O204" s="23">
        <f t="shared" si="39"/>
        <v>1</v>
      </c>
      <c r="P204" s="720"/>
      <c r="Q204" s="23">
        <f t="shared" si="40"/>
        <v>1</v>
      </c>
      <c r="R204" s="716">
        <f t="shared" si="41"/>
        <v>0</v>
      </c>
      <c r="S204" s="361">
        <f t="shared" si="42"/>
        <v>0</v>
      </c>
    </row>
    <row r="205" spans="1:19">
      <c r="A205" s="159"/>
      <c r="B205" s="58"/>
      <c r="C205" s="23">
        <f t="shared" si="33"/>
        <v>1</v>
      </c>
      <c r="D205" s="720"/>
      <c r="E205" s="23">
        <f t="shared" si="34"/>
        <v>1</v>
      </c>
      <c r="F205" s="720"/>
      <c r="G205" s="23">
        <f t="shared" si="35"/>
        <v>1</v>
      </c>
      <c r="H205" s="720"/>
      <c r="I205" s="23">
        <f t="shared" si="36"/>
        <v>1</v>
      </c>
      <c r="J205" s="720"/>
      <c r="K205" s="23">
        <f t="shared" si="37"/>
        <v>1</v>
      </c>
      <c r="L205" s="720"/>
      <c r="M205" s="23">
        <f t="shared" si="38"/>
        <v>1</v>
      </c>
      <c r="N205" s="720"/>
      <c r="O205" s="23">
        <f t="shared" si="39"/>
        <v>1</v>
      </c>
      <c r="P205" s="720"/>
      <c r="Q205" s="23">
        <f t="shared" si="40"/>
        <v>1</v>
      </c>
      <c r="R205" s="716">
        <f t="shared" si="41"/>
        <v>0</v>
      </c>
      <c r="S205" s="361">
        <f t="shared" si="42"/>
        <v>0</v>
      </c>
    </row>
    <row r="206" spans="1:19">
      <c r="A206" s="159"/>
      <c r="B206" s="58"/>
      <c r="C206" s="23">
        <f t="shared" si="33"/>
        <v>1</v>
      </c>
      <c r="D206" s="720"/>
      <c r="E206" s="23">
        <f t="shared" si="34"/>
        <v>1</v>
      </c>
      <c r="F206" s="720"/>
      <c r="G206" s="23">
        <f t="shared" si="35"/>
        <v>1</v>
      </c>
      <c r="H206" s="720"/>
      <c r="I206" s="23">
        <f t="shared" si="36"/>
        <v>1</v>
      </c>
      <c r="J206" s="720"/>
      <c r="K206" s="23">
        <f t="shared" si="37"/>
        <v>1</v>
      </c>
      <c r="L206" s="720"/>
      <c r="M206" s="23">
        <f t="shared" si="38"/>
        <v>1</v>
      </c>
      <c r="N206" s="720"/>
      <c r="O206" s="23">
        <f t="shared" si="39"/>
        <v>1</v>
      </c>
      <c r="P206" s="720"/>
      <c r="Q206" s="23">
        <f t="shared" si="40"/>
        <v>1</v>
      </c>
      <c r="R206" s="716">
        <f t="shared" si="41"/>
        <v>0</v>
      </c>
      <c r="S206" s="361">
        <f t="shared" si="42"/>
        <v>0</v>
      </c>
    </row>
    <row r="207" spans="1:19">
      <c r="A207" s="159"/>
      <c r="B207" s="58"/>
      <c r="C207" s="23">
        <f t="shared" si="33"/>
        <v>1</v>
      </c>
      <c r="D207" s="720"/>
      <c r="E207" s="23">
        <f t="shared" si="34"/>
        <v>1</v>
      </c>
      <c r="F207" s="720"/>
      <c r="G207" s="23">
        <f t="shared" si="35"/>
        <v>1</v>
      </c>
      <c r="H207" s="720"/>
      <c r="I207" s="23">
        <f t="shared" si="36"/>
        <v>1</v>
      </c>
      <c r="J207" s="720"/>
      <c r="K207" s="23">
        <f t="shared" si="37"/>
        <v>1</v>
      </c>
      <c r="L207" s="720"/>
      <c r="M207" s="23">
        <f t="shared" si="38"/>
        <v>1</v>
      </c>
      <c r="N207" s="720"/>
      <c r="O207" s="23">
        <f t="shared" si="39"/>
        <v>1</v>
      </c>
      <c r="P207" s="720"/>
      <c r="Q207" s="23">
        <f t="shared" si="40"/>
        <v>1</v>
      </c>
      <c r="R207" s="716">
        <f t="shared" si="41"/>
        <v>0</v>
      </c>
      <c r="S207" s="361">
        <f t="shared" si="42"/>
        <v>0</v>
      </c>
    </row>
    <row r="208" spans="1:19">
      <c r="A208" s="159"/>
      <c r="B208" s="58"/>
      <c r="C208" s="23">
        <f t="shared" si="33"/>
        <v>1</v>
      </c>
      <c r="D208" s="720"/>
      <c r="E208" s="23">
        <f t="shared" si="34"/>
        <v>1</v>
      </c>
      <c r="F208" s="720"/>
      <c r="G208" s="23">
        <f t="shared" si="35"/>
        <v>1</v>
      </c>
      <c r="H208" s="720"/>
      <c r="I208" s="23">
        <f t="shared" si="36"/>
        <v>1</v>
      </c>
      <c r="J208" s="720"/>
      <c r="K208" s="23">
        <f t="shared" si="37"/>
        <v>1</v>
      </c>
      <c r="L208" s="720"/>
      <c r="M208" s="23">
        <f t="shared" si="38"/>
        <v>1</v>
      </c>
      <c r="N208" s="720"/>
      <c r="O208" s="23">
        <f t="shared" si="39"/>
        <v>1</v>
      </c>
      <c r="P208" s="720"/>
      <c r="Q208" s="23">
        <f t="shared" si="40"/>
        <v>1</v>
      </c>
      <c r="R208" s="716">
        <f t="shared" si="41"/>
        <v>0</v>
      </c>
      <c r="S208" s="361">
        <f t="shared" si="42"/>
        <v>0</v>
      </c>
    </row>
    <row r="209" spans="1:19">
      <c r="A209" s="159"/>
      <c r="B209" s="58"/>
      <c r="C209" s="23">
        <f t="shared" si="33"/>
        <v>1</v>
      </c>
      <c r="D209" s="720"/>
      <c r="E209" s="23">
        <f t="shared" si="34"/>
        <v>1</v>
      </c>
      <c r="F209" s="720"/>
      <c r="G209" s="23">
        <f t="shared" si="35"/>
        <v>1</v>
      </c>
      <c r="H209" s="720"/>
      <c r="I209" s="23">
        <f t="shared" si="36"/>
        <v>1</v>
      </c>
      <c r="J209" s="720"/>
      <c r="K209" s="23">
        <f t="shared" si="37"/>
        <v>1</v>
      </c>
      <c r="L209" s="720"/>
      <c r="M209" s="23">
        <f t="shared" si="38"/>
        <v>1</v>
      </c>
      <c r="N209" s="720"/>
      <c r="O209" s="23">
        <f t="shared" si="39"/>
        <v>1</v>
      </c>
      <c r="P209" s="720"/>
      <c r="Q209" s="23">
        <f t="shared" si="40"/>
        <v>1</v>
      </c>
      <c r="R209" s="716">
        <f t="shared" si="41"/>
        <v>0</v>
      </c>
      <c r="S209" s="361">
        <f t="shared" si="42"/>
        <v>0</v>
      </c>
    </row>
    <row r="210" spans="1:19">
      <c r="A210" s="159"/>
      <c r="B210" s="58"/>
      <c r="C210" s="23">
        <f t="shared" si="33"/>
        <v>1</v>
      </c>
      <c r="D210" s="720"/>
      <c r="E210" s="23">
        <f t="shared" si="34"/>
        <v>1</v>
      </c>
      <c r="F210" s="720"/>
      <c r="G210" s="23">
        <f t="shared" si="35"/>
        <v>1</v>
      </c>
      <c r="H210" s="720"/>
      <c r="I210" s="23">
        <f t="shared" si="36"/>
        <v>1</v>
      </c>
      <c r="J210" s="720"/>
      <c r="K210" s="23">
        <f t="shared" si="37"/>
        <v>1</v>
      </c>
      <c r="L210" s="720"/>
      <c r="M210" s="23">
        <f t="shared" si="38"/>
        <v>1</v>
      </c>
      <c r="N210" s="720"/>
      <c r="O210" s="23">
        <f t="shared" si="39"/>
        <v>1</v>
      </c>
      <c r="P210" s="720"/>
      <c r="Q210" s="23">
        <f t="shared" si="40"/>
        <v>1</v>
      </c>
      <c r="R210" s="716">
        <f t="shared" si="41"/>
        <v>0</v>
      </c>
      <c r="S210" s="361">
        <f t="shared" si="42"/>
        <v>0</v>
      </c>
    </row>
    <row r="211" spans="1:19">
      <c r="A211" s="159"/>
      <c r="B211" s="58"/>
      <c r="C211" s="23">
        <f t="shared" si="33"/>
        <v>1</v>
      </c>
      <c r="D211" s="720"/>
      <c r="E211" s="23">
        <f t="shared" si="34"/>
        <v>1</v>
      </c>
      <c r="F211" s="720"/>
      <c r="G211" s="23">
        <f t="shared" si="35"/>
        <v>1</v>
      </c>
      <c r="H211" s="720"/>
      <c r="I211" s="23">
        <f t="shared" si="36"/>
        <v>1</v>
      </c>
      <c r="J211" s="720"/>
      <c r="K211" s="23">
        <f t="shared" si="37"/>
        <v>1</v>
      </c>
      <c r="L211" s="720"/>
      <c r="M211" s="23">
        <f t="shared" si="38"/>
        <v>1</v>
      </c>
      <c r="N211" s="720"/>
      <c r="O211" s="23">
        <f t="shared" si="39"/>
        <v>1</v>
      </c>
      <c r="P211" s="720"/>
      <c r="Q211" s="23">
        <f t="shared" si="40"/>
        <v>1</v>
      </c>
      <c r="R211" s="716">
        <f t="shared" si="41"/>
        <v>0</v>
      </c>
      <c r="S211" s="361">
        <f t="shared" si="42"/>
        <v>0</v>
      </c>
    </row>
    <row r="212" spans="1:19">
      <c r="A212" s="159"/>
      <c r="B212" s="58"/>
      <c r="C212" s="23">
        <f t="shared" si="33"/>
        <v>1</v>
      </c>
      <c r="D212" s="720"/>
      <c r="E212" s="23">
        <f t="shared" si="34"/>
        <v>1</v>
      </c>
      <c r="F212" s="720"/>
      <c r="G212" s="23">
        <f t="shared" si="35"/>
        <v>1</v>
      </c>
      <c r="H212" s="720"/>
      <c r="I212" s="23">
        <f t="shared" si="36"/>
        <v>1</v>
      </c>
      <c r="J212" s="720"/>
      <c r="K212" s="23">
        <f t="shared" si="37"/>
        <v>1</v>
      </c>
      <c r="L212" s="720"/>
      <c r="M212" s="23">
        <f t="shared" si="38"/>
        <v>1</v>
      </c>
      <c r="N212" s="720"/>
      <c r="O212" s="23">
        <f t="shared" si="39"/>
        <v>1</v>
      </c>
      <c r="P212" s="720"/>
      <c r="Q212" s="23">
        <f t="shared" si="40"/>
        <v>1</v>
      </c>
      <c r="R212" s="716">
        <f t="shared" si="41"/>
        <v>0</v>
      </c>
      <c r="S212" s="361">
        <f t="shared" si="42"/>
        <v>0</v>
      </c>
    </row>
    <row r="213" spans="1:19">
      <c r="A213" s="159"/>
      <c r="B213" s="58"/>
      <c r="C213" s="23">
        <f t="shared" si="33"/>
        <v>1</v>
      </c>
      <c r="D213" s="720"/>
      <c r="E213" s="23">
        <f t="shared" si="34"/>
        <v>1</v>
      </c>
      <c r="F213" s="720"/>
      <c r="G213" s="23">
        <f t="shared" si="35"/>
        <v>1</v>
      </c>
      <c r="H213" s="720"/>
      <c r="I213" s="23">
        <f t="shared" si="36"/>
        <v>1</v>
      </c>
      <c r="J213" s="720"/>
      <c r="K213" s="23">
        <f t="shared" si="37"/>
        <v>1</v>
      </c>
      <c r="L213" s="720"/>
      <c r="M213" s="23">
        <f t="shared" si="38"/>
        <v>1</v>
      </c>
      <c r="N213" s="720"/>
      <c r="O213" s="23">
        <f t="shared" si="39"/>
        <v>1</v>
      </c>
      <c r="P213" s="720"/>
      <c r="Q213" s="23">
        <f t="shared" si="40"/>
        <v>1</v>
      </c>
      <c r="R213" s="716">
        <f t="shared" si="41"/>
        <v>0</v>
      </c>
      <c r="S213" s="361">
        <f t="shared" si="42"/>
        <v>0</v>
      </c>
    </row>
    <row r="214" spans="1:19">
      <c r="A214" s="159"/>
      <c r="B214" s="58"/>
      <c r="C214" s="23">
        <f t="shared" si="33"/>
        <v>1</v>
      </c>
      <c r="D214" s="720"/>
      <c r="E214" s="23">
        <f t="shared" si="34"/>
        <v>1</v>
      </c>
      <c r="F214" s="720"/>
      <c r="G214" s="23">
        <f t="shared" si="35"/>
        <v>1</v>
      </c>
      <c r="H214" s="720"/>
      <c r="I214" s="23">
        <f t="shared" si="36"/>
        <v>1</v>
      </c>
      <c r="J214" s="720"/>
      <c r="K214" s="23">
        <f t="shared" si="37"/>
        <v>1</v>
      </c>
      <c r="L214" s="720"/>
      <c r="M214" s="23">
        <f t="shared" si="38"/>
        <v>1</v>
      </c>
      <c r="N214" s="720"/>
      <c r="O214" s="23">
        <f t="shared" si="39"/>
        <v>1</v>
      </c>
      <c r="P214" s="720"/>
      <c r="Q214" s="23">
        <f t="shared" si="40"/>
        <v>1</v>
      </c>
      <c r="R214" s="716">
        <f t="shared" si="41"/>
        <v>0</v>
      </c>
      <c r="S214" s="361">
        <f t="shared" si="42"/>
        <v>0</v>
      </c>
    </row>
    <row r="215" spans="1:19">
      <c r="A215" s="159"/>
      <c r="B215" s="58"/>
      <c r="C215" s="23">
        <f t="shared" si="33"/>
        <v>1</v>
      </c>
      <c r="D215" s="720"/>
      <c r="E215" s="23">
        <f t="shared" si="34"/>
        <v>1</v>
      </c>
      <c r="F215" s="720"/>
      <c r="G215" s="23">
        <f t="shared" si="35"/>
        <v>1</v>
      </c>
      <c r="H215" s="720"/>
      <c r="I215" s="23">
        <f t="shared" si="36"/>
        <v>1</v>
      </c>
      <c r="J215" s="720"/>
      <c r="K215" s="23">
        <f t="shared" si="37"/>
        <v>1</v>
      </c>
      <c r="L215" s="720"/>
      <c r="M215" s="23">
        <f t="shared" si="38"/>
        <v>1</v>
      </c>
      <c r="N215" s="720"/>
      <c r="O215" s="23">
        <f t="shared" si="39"/>
        <v>1</v>
      </c>
      <c r="P215" s="720"/>
      <c r="Q215" s="23">
        <f t="shared" si="40"/>
        <v>1</v>
      </c>
      <c r="R215" s="716">
        <f t="shared" si="41"/>
        <v>0</v>
      </c>
      <c r="S215" s="361">
        <f t="shared" si="42"/>
        <v>0</v>
      </c>
    </row>
    <row r="216" spans="1:19">
      <c r="A216" s="159"/>
      <c r="B216" s="58"/>
      <c r="C216" s="23">
        <f t="shared" si="33"/>
        <v>1</v>
      </c>
      <c r="D216" s="720"/>
      <c r="E216" s="23">
        <f t="shared" si="34"/>
        <v>1</v>
      </c>
      <c r="F216" s="720"/>
      <c r="G216" s="23">
        <f t="shared" si="35"/>
        <v>1</v>
      </c>
      <c r="H216" s="720"/>
      <c r="I216" s="23">
        <f t="shared" si="36"/>
        <v>1</v>
      </c>
      <c r="J216" s="720"/>
      <c r="K216" s="23">
        <f t="shared" si="37"/>
        <v>1</v>
      </c>
      <c r="L216" s="720"/>
      <c r="M216" s="23">
        <f t="shared" si="38"/>
        <v>1</v>
      </c>
      <c r="N216" s="720"/>
      <c r="O216" s="23">
        <f t="shared" si="39"/>
        <v>1</v>
      </c>
      <c r="P216" s="720"/>
      <c r="Q216" s="23">
        <f t="shared" si="40"/>
        <v>1</v>
      </c>
      <c r="R216" s="716">
        <f t="shared" si="41"/>
        <v>0</v>
      </c>
      <c r="S216" s="361">
        <f t="shared" si="42"/>
        <v>0</v>
      </c>
    </row>
    <row r="217" spans="1:19">
      <c r="A217" s="159"/>
      <c r="B217" s="58"/>
      <c r="C217" s="23">
        <f t="shared" si="33"/>
        <v>1</v>
      </c>
      <c r="D217" s="720"/>
      <c r="E217" s="23">
        <f t="shared" si="34"/>
        <v>1</v>
      </c>
      <c r="F217" s="720"/>
      <c r="G217" s="23">
        <f t="shared" si="35"/>
        <v>1</v>
      </c>
      <c r="H217" s="720"/>
      <c r="I217" s="23">
        <f t="shared" si="36"/>
        <v>1</v>
      </c>
      <c r="J217" s="720"/>
      <c r="K217" s="23">
        <f t="shared" si="37"/>
        <v>1</v>
      </c>
      <c r="L217" s="720"/>
      <c r="M217" s="23">
        <f t="shared" si="38"/>
        <v>1</v>
      </c>
      <c r="N217" s="720"/>
      <c r="O217" s="23">
        <f t="shared" si="39"/>
        <v>1</v>
      </c>
      <c r="P217" s="720"/>
      <c r="Q217" s="23">
        <f t="shared" si="40"/>
        <v>1</v>
      </c>
      <c r="R217" s="716">
        <f t="shared" si="41"/>
        <v>0</v>
      </c>
      <c r="S217" s="361">
        <f t="shared" si="42"/>
        <v>0</v>
      </c>
    </row>
    <row r="218" spans="1:19">
      <c r="A218" s="159"/>
      <c r="B218" s="58"/>
      <c r="C218" s="23">
        <f t="shared" ref="C218:C281" si="43">IF(B218="",1,(LOOKUP(B218,$3:$3,$4:$4)-LOOKUP($B$24,$3:$3,$4:$4)+100)/100)</f>
        <v>1</v>
      </c>
      <c r="D218" s="720"/>
      <c r="E218" s="23">
        <f t="shared" ref="E218:E281" si="44">(SUMIF($5:$5,D218,$6:$6)-SUMIF($5:$5,$D$24,$6:$6)+100)/100</f>
        <v>1</v>
      </c>
      <c r="F218" s="720"/>
      <c r="G218" s="23">
        <f t="shared" ref="G218:G281" si="45">(SUMIF($7:$7,F218,$8:$8)-SUMIF($7:$7,$F$24,$8:$8)+100)/100</f>
        <v>1</v>
      </c>
      <c r="H218" s="720"/>
      <c r="I218" s="23">
        <f t="shared" ref="I218:I281" si="46">(SUMIF($9:$9,H218,$10:$10)-SUMIF($9:$9,$H$24,$10:$10)+100)/100</f>
        <v>1</v>
      </c>
      <c r="J218" s="720"/>
      <c r="K218" s="23">
        <f t="shared" ref="K218:K281" si="47">(SUMIF($11:$11,J218,$12:$12)-SUMIF($11:$11,$J$24,$12:$12)+100)/100</f>
        <v>1</v>
      </c>
      <c r="L218" s="720"/>
      <c r="M218" s="23">
        <f t="shared" ref="M218:M281" si="48">(SUMIF($13:$13,L218,$14:$14)-SUMIF($13:$13,$L$24,$14:$14)+100)/100</f>
        <v>1</v>
      </c>
      <c r="N218" s="720"/>
      <c r="O218" s="23">
        <f t="shared" ref="O218:O281" si="49">(SUMIF($15:$15,N218,$16:$16)-SUMIF($15:$15,$N$24,$16:$16)+100)/100</f>
        <v>1</v>
      </c>
      <c r="P218" s="720"/>
      <c r="Q218" s="23">
        <f t="shared" ref="Q218:Q281" si="50">(SUMIF($17:$17,P218,$18:$18)-SUMIF($17:$17,$P$24,$18:$18)+100)/100</f>
        <v>1</v>
      </c>
      <c r="R218" s="716">
        <f t="shared" ref="R218:R281" si="51">IF(B218="",0,ROUND($R$24*C218*E218*G218*I218*K218*M218*O218*Q218,0))</f>
        <v>0</v>
      </c>
      <c r="S218" s="361">
        <f t="shared" si="42"/>
        <v>0</v>
      </c>
    </row>
    <row r="219" spans="1:19">
      <c r="A219" s="159"/>
      <c r="B219" s="58"/>
      <c r="C219" s="23">
        <f t="shared" si="43"/>
        <v>1</v>
      </c>
      <c r="D219" s="720"/>
      <c r="E219" s="23">
        <f t="shared" si="44"/>
        <v>1</v>
      </c>
      <c r="F219" s="720"/>
      <c r="G219" s="23">
        <f t="shared" si="45"/>
        <v>1</v>
      </c>
      <c r="H219" s="720"/>
      <c r="I219" s="23">
        <f t="shared" si="46"/>
        <v>1</v>
      </c>
      <c r="J219" s="720"/>
      <c r="K219" s="23">
        <f t="shared" si="47"/>
        <v>1</v>
      </c>
      <c r="L219" s="720"/>
      <c r="M219" s="23">
        <f t="shared" si="48"/>
        <v>1</v>
      </c>
      <c r="N219" s="720"/>
      <c r="O219" s="23">
        <f t="shared" si="49"/>
        <v>1</v>
      </c>
      <c r="P219" s="720"/>
      <c r="Q219" s="23">
        <f t="shared" si="50"/>
        <v>1</v>
      </c>
      <c r="R219" s="716">
        <f t="shared" si="51"/>
        <v>0</v>
      </c>
      <c r="S219" s="361">
        <f t="shared" si="42"/>
        <v>0</v>
      </c>
    </row>
    <row r="220" spans="1:19">
      <c r="A220" s="159"/>
      <c r="B220" s="58"/>
      <c r="C220" s="23">
        <f t="shared" si="43"/>
        <v>1</v>
      </c>
      <c r="D220" s="720"/>
      <c r="E220" s="23">
        <f t="shared" si="44"/>
        <v>1</v>
      </c>
      <c r="F220" s="720"/>
      <c r="G220" s="23">
        <f t="shared" si="45"/>
        <v>1</v>
      </c>
      <c r="H220" s="720"/>
      <c r="I220" s="23">
        <f t="shared" si="46"/>
        <v>1</v>
      </c>
      <c r="J220" s="720"/>
      <c r="K220" s="23">
        <f t="shared" si="47"/>
        <v>1</v>
      </c>
      <c r="L220" s="720"/>
      <c r="M220" s="23">
        <f t="shared" si="48"/>
        <v>1</v>
      </c>
      <c r="N220" s="720"/>
      <c r="O220" s="23">
        <f t="shared" si="49"/>
        <v>1</v>
      </c>
      <c r="P220" s="720"/>
      <c r="Q220" s="23">
        <f t="shared" si="50"/>
        <v>1</v>
      </c>
      <c r="R220" s="716">
        <f t="shared" si="51"/>
        <v>0</v>
      </c>
      <c r="S220" s="361">
        <f t="shared" si="42"/>
        <v>0</v>
      </c>
    </row>
    <row r="221" spans="1:19">
      <c r="A221" s="159"/>
      <c r="B221" s="58"/>
      <c r="C221" s="23">
        <f t="shared" si="43"/>
        <v>1</v>
      </c>
      <c r="D221" s="720"/>
      <c r="E221" s="23">
        <f t="shared" si="44"/>
        <v>1</v>
      </c>
      <c r="F221" s="720"/>
      <c r="G221" s="23">
        <f t="shared" si="45"/>
        <v>1</v>
      </c>
      <c r="H221" s="720"/>
      <c r="I221" s="23">
        <f t="shared" si="46"/>
        <v>1</v>
      </c>
      <c r="J221" s="720"/>
      <c r="K221" s="23">
        <f t="shared" si="47"/>
        <v>1</v>
      </c>
      <c r="L221" s="720"/>
      <c r="M221" s="23">
        <f t="shared" si="48"/>
        <v>1</v>
      </c>
      <c r="N221" s="720"/>
      <c r="O221" s="23">
        <f t="shared" si="49"/>
        <v>1</v>
      </c>
      <c r="P221" s="720"/>
      <c r="Q221" s="23">
        <f t="shared" si="50"/>
        <v>1</v>
      </c>
      <c r="R221" s="716">
        <f t="shared" si="51"/>
        <v>0</v>
      </c>
      <c r="S221" s="361">
        <f t="shared" si="42"/>
        <v>0</v>
      </c>
    </row>
    <row r="222" spans="1:19">
      <c r="A222" s="159"/>
      <c r="B222" s="58"/>
      <c r="C222" s="23">
        <f t="shared" si="43"/>
        <v>1</v>
      </c>
      <c r="D222" s="720"/>
      <c r="E222" s="23">
        <f t="shared" si="44"/>
        <v>1</v>
      </c>
      <c r="F222" s="720"/>
      <c r="G222" s="23">
        <f t="shared" si="45"/>
        <v>1</v>
      </c>
      <c r="H222" s="720"/>
      <c r="I222" s="23">
        <f t="shared" si="46"/>
        <v>1</v>
      </c>
      <c r="J222" s="720"/>
      <c r="K222" s="23">
        <f t="shared" si="47"/>
        <v>1</v>
      </c>
      <c r="L222" s="720"/>
      <c r="M222" s="23">
        <f t="shared" si="48"/>
        <v>1</v>
      </c>
      <c r="N222" s="720"/>
      <c r="O222" s="23">
        <f t="shared" si="49"/>
        <v>1</v>
      </c>
      <c r="P222" s="720"/>
      <c r="Q222" s="23">
        <f t="shared" si="50"/>
        <v>1</v>
      </c>
      <c r="R222" s="716">
        <f t="shared" si="51"/>
        <v>0</v>
      </c>
      <c r="S222" s="361">
        <f t="shared" si="42"/>
        <v>0</v>
      </c>
    </row>
    <row r="223" spans="1:19">
      <c r="A223" s="159"/>
      <c r="B223" s="58"/>
      <c r="C223" s="23">
        <f t="shared" si="43"/>
        <v>1</v>
      </c>
      <c r="D223" s="720"/>
      <c r="E223" s="23">
        <f t="shared" si="44"/>
        <v>1</v>
      </c>
      <c r="F223" s="720"/>
      <c r="G223" s="23">
        <f t="shared" si="45"/>
        <v>1</v>
      </c>
      <c r="H223" s="720"/>
      <c r="I223" s="23">
        <f t="shared" si="46"/>
        <v>1</v>
      </c>
      <c r="J223" s="720"/>
      <c r="K223" s="23">
        <f t="shared" si="47"/>
        <v>1</v>
      </c>
      <c r="L223" s="720"/>
      <c r="M223" s="23">
        <f t="shared" si="48"/>
        <v>1</v>
      </c>
      <c r="N223" s="720"/>
      <c r="O223" s="23">
        <f t="shared" si="49"/>
        <v>1</v>
      </c>
      <c r="P223" s="720"/>
      <c r="Q223" s="23">
        <f t="shared" si="50"/>
        <v>1</v>
      </c>
      <c r="R223" s="716">
        <f t="shared" si="51"/>
        <v>0</v>
      </c>
      <c r="S223" s="361">
        <f t="shared" ref="S223:S286" si="52">ROUND(R223*B223/10000,0)</f>
        <v>0</v>
      </c>
    </row>
    <row r="224" spans="1:19">
      <c r="A224" s="159"/>
      <c r="B224" s="58"/>
      <c r="C224" s="23">
        <f t="shared" si="43"/>
        <v>1</v>
      </c>
      <c r="D224" s="720"/>
      <c r="E224" s="23">
        <f t="shared" si="44"/>
        <v>1</v>
      </c>
      <c r="F224" s="720"/>
      <c r="G224" s="23">
        <f t="shared" si="45"/>
        <v>1</v>
      </c>
      <c r="H224" s="720"/>
      <c r="I224" s="23">
        <f t="shared" si="46"/>
        <v>1</v>
      </c>
      <c r="J224" s="720"/>
      <c r="K224" s="23">
        <f t="shared" si="47"/>
        <v>1</v>
      </c>
      <c r="L224" s="720"/>
      <c r="M224" s="23">
        <f t="shared" si="48"/>
        <v>1</v>
      </c>
      <c r="N224" s="720"/>
      <c r="O224" s="23">
        <f t="shared" si="49"/>
        <v>1</v>
      </c>
      <c r="P224" s="720"/>
      <c r="Q224" s="23">
        <f t="shared" si="50"/>
        <v>1</v>
      </c>
      <c r="R224" s="716">
        <f t="shared" si="51"/>
        <v>0</v>
      </c>
      <c r="S224" s="361">
        <f t="shared" si="52"/>
        <v>0</v>
      </c>
    </row>
    <row r="225" spans="1:19">
      <c r="A225" s="159"/>
      <c r="B225" s="58"/>
      <c r="C225" s="23">
        <f t="shared" si="43"/>
        <v>1</v>
      </c>
      <c r="D225" s="720"/>
      <c r="E225" s="23">
        <f t="shared" si="44"/>
        <v>1</v>
      </c>
      <c r="F225" s="720"/>
      <c r="G225" s="23">
        <f t="shared" si="45"/>
        <v>1</v>
      </c>
      <c r="H225" s="720"/>
      <c r="I225" s="23">
        <f t="shared" si="46"/>
        <v>1</v>
      </c>
      <c r="J225" s="720"/>
      <c r="K225" s="23">
        <f t="shared" si="47"/>
        <v>1</v>
      </c>
      <c r="L225" s="720"/>
      <c r="M225" s="23">
        <f t="shared" si="48"/>
        <v>1</v>
      </c>
      <c r="N225" s="720"/>
      <c r="O225" s="23">
        <f t="shared" si="49"/>
        <v>1</v>
      </c>
      <c r="P225" s="720"/>
      <c r="Q225" s="23">
        <f t="shared" si="50"/>
        <v>1</v>
      </c>
      <c r="R225" s="716">
        <f t="shared" si="51"/>
        <v>0</v>
      </c>
      <c r="S225" s="361">
        <f t="shared" si="52"/>
        <v>0</v>
      </c>
    </row>
    <row r="226" spans="1:19">
      <c r="A226" s="159"/>
      <c r="B226" s="58"/>
      <c r="C226" s="23">
        <f t="shared" si="43"/>
        <v>1</v>
      </c>
      <c r="D226" s="720"/>
      <c r="E226" s="23">
        <f t="shared" si="44"/>
        <v>1</v>
      </c>
      <c r="F226" s="720"/>
      <c r="G226" s="23">
        <f t="shared" si="45"/>
        <v>1</v>
      </c>
      <c r="H226" s="720"/>
      <c r="I226" s="23">
        <f t="shared" si="46"/>
        <v>1</v>
      </c>
      <c r="J226" s="720"/>
      <c r="K226" s="23">
        <f t="shared" si="47"/>
        <v>1</v>
      </c>
      <c r="L226" s="720"/>
      <c r="M226" s="23">
        <f t="shared" si="48"/>
        <v>1</v>
      </c>
      <c r="N226" s="720"/>
      <c r="O226" s="23">
        <f t="shared" si="49"/>
        <v>1</v>
      </c>
      <c r="P226" s="720"/>
      <c r="Q226" s="23">
        <f t="shared" si="50"/>
        <v>1</v>
      </c>
      <c r="R226" s="716">
        <f t="shared" si="51"/>
        <v>0</v>
      </c>
      <c r="S226" s="361">
        <f t="shared" si="52"/>
        <v>0</v>
      </c>
    </row>
    <row r="227" spans="1:19">
      <c r="A227" s="159"/>
      <c r="B227" s="58"/>
      <c r="C227" s="23">
        <f t="shared" si="43"/>
        <v>1</v>
      </c>
      <c r="D227" s="720"/>
      <c r="E227" s="23">
        <f t="shared" si="44"/>
        <v>1</v>
      </c>
      <c r="F227" s="720"/>
      <c r="G227" s="23">
        <f t="shared" si="45"/>
        <v>1</v>
      </c>
      <c r="H227" s="720"/>
      <c r="I227" s="23">
        <f t="shared" si="46"/>
        <v>1</v>
      </c>
      <c r="J227" s="720"/>
      <c r="K227" s="23">
        <f t="shared" si="47"/>
        <v>1</v>
      </c>
      <c r="L227" s="720"/>
      <c r="M227" s="23">
        <f t="shared" si="48"/>
        <v>1</v>
      </c>
      <c r="N227" s="720"/>
      <c r="O227" s="23">
        <f t="shared" si="49"/>
        <v>1</v>
      </c>
      <c r="P227" s="720"/>
      <c r="Q227" s="23">
        <f t="shared" si="50"/>
        <v>1</v>
      </c>
      <c r="R227" s="716">
        <f t="shared" si="51"/>
        <v>0</v>
      </c>
      <c r="S227" s="361">
        <f t="shared" si="52"/>
        <v>0</v>
      </c>
    </row>
    <row r="228" spans="1:19">
      <c r="A228" s="159"/>
      <c r="B228" s="58"/>
      <c r="C228" s="23">
        <f t="shared" si="43"/>
        <v>1</v>
      </c>
      <c r="D228" s="720"/>
      <c r="E228" s="23">
        <f t="shared" si="44"/>
        <v>1</v>
      </c>
      <c r="F228" s="720"/>
      <c r="G228" s="23">
        <f t="shared" si="45"/>
        <v>1</v>
      </c>
      <c r="H228" s="720"/>
      <c r="I228" s="23">
        <f t="shared" si="46"/>
        <v>1</v>
      </c>
      <c r="J228" s="720"/>
      <c r="K228" s="23">
        <f t="shared" si="47"/>
        <v>1</v>
      </c>
      <c r="L228" s="720"/>
      <c r="M228" s="23">
        <f t="shared" si="48"/>
        <v>1</v>
      </c>
      <c r="N228" s="720"/>
      <c r="O228" s="23">
        <f t="shared" si="49"/>
        <v>1</v>
      </c>
      <c r="P228" s="720"/>
      <c r="Q228" s="23">
        <f t="shared" si="50"/>
        <v>1</v>
      </c>
      <c r="R228" s="716">
        <f t="shared" si="51"/>
        <v>0</v>
      </c>
      <c r="S228" s="361">
        <f t="shared" si="52"/>
        <v>0</v>
      </c>
    </row>
    <row r="229" spans="1:19">
      <c r="A229" s="159"/>
      <c r="B229" s="58"/>
      <c r="C229" s="23">
        <f t="shared" si="43"/>
        <v>1</v>
      </c>
      <c r="D229" s="720"/>
      <c r="E229" s="23">
        <f t="shared" si="44"/>
        <v>1</v>
      </c>
      <c r="F229" s="720"/>
      <c r="G229" s="23">
        <f t="shared" si="45"/>
        <v>1</v>
      </c>
      <c r="H229" s="720"/>
      <c r="I229" s="23">
        <f t="shared" si="46"/>
        <v>1</v>
      </c>
      <c r="J229" s="720"/>
      <c r="K229" s="23">
        <f t="shared" si="47"/>
        <v>1</v>
      </c>
      <c r="L229" s="720"/>
      <c r="M229" s="23">
        <f t="shared" si="48"/>
        <v>1</v>
      </c>
      <c r="N229" s="720"/>
      <c r="O229" s="23">
        <f t="shared" si="49"/>
        <v>1</v>
      </c>
      <c r="P229" s="720"/>
      <c r="Q229" s="23">
        <f t="shared" si="50"/>
        <v>1</v>
      </c>
      <c r="R229" s="716">
        <f t="shared" si="51"/>
        <v>0</v>
      </c>
      <c r="S229" s="361">
        <f t="shared" si="52"/>
        <v>0</v>
      </c>
    </row>
    <row r="230" spans="1:19">
      <c r="A230" s="159"/>
      <c r="B230" s="58"/>
      <c r="C230" s="23">
        <f t="shared" si="43"/>
        <v>1</v>
      </c>
      <c r="D230" s="720"/>
      <c r="E230" s="23">
        <f t="shared" si="44"/>
        <v>1</v>
      </c>
      <c r="F230" s="720"/>
      <c r="G230" s="23">
        <f t="shared" si="45"/>
        <v>1</v>
      </c>
      <c r="H230" s="720"/>
      <c r="I230" s="23">
        <f t="shared" si="46"/>
        <v>1</v>
      </c>
      <c r="J230" s="720"/>
      <c r="K230" s="23">
        <f t="shared" si="47"/>
        <v>1</v>
      </c>
      <c r="L230" s="720"/>
      <c r="M230" s="23">
        <f t="shared" si="48"/>
        <v>1</v>
      </c>
      <c r="N230" s="720"/>
      <c r="O230" s="23">
        <f t="shared" si="49"/>
        <v>1</v>
      </c>
      <c r="P230" s="720"/>
      <c r="Q230" s="23">
        <f t="shared" si="50"/>
        <v>1</v>
      </c>
      <c r="R230" s="716">
        <f t="shared" si="51"/>
        <v>0</v>
      </c>
      <c r="S230" s="361">
        <f t="shared" si="52"/>
        <v>0</v>
      </c>
    </row>
    <row r="231" spans="1:19">
      <c r="A231" s="159"/>
      <c r="B231" s="58"/>
      <c r="C231" s="23">
        <f t="shared" si="43"/>
        <v>1</v>
      </c>
      <c r="D231" s="720"/>
      <c r="E231" s="23">
        <f t="shared" si="44"/>
        <v>1</v>
      </c>
      <c r="F231" s="720"/>
      <c r="G231" s="23">
        <f t="shared" si="45"/>
        <v>1</v>
      </c>
      <c r="H231" s="720"/>
      <c r="I231" s="23">
        <f t="shared" si="46"/>
        <v>1</v>
      </c>
      <c r="J231" s="720"/>
      <c r="K231" s="23">
        <f t="shared" si="47"/>
        <v>1</v>
      </c>
      <c r="L231" s="720"/>
      <c r="M231" s="23">
        <f t="shared" si="48"/>
        <v>1</v>
      </c>
      <c r="N231" s="720"/>
      <c r="O231" s="23">
        <f t="shared" si="49"/>
        <v>1</v>
      </c>
      <c r="P231" s="720"/>
      <c r="Q231" s="23">
        <f t="shared" si="50"/>
        <v>1</v>
      </c>
      <c r="R231" s="716">
        <f t="shared" si="51"/>
        <v>0</v>
      </c>
      <c r="S231" s="361">
        <f t="shared" si="52"/>
        <v>0</v>
      </c>
    </row>
    <row r="232" spans="1:19">
      <c r="A232" s="159"/>
      <c r="B232" s="58"/>
      <c r="C232" s="23">
        <f t="shared" si="43"/>
        <v>1</v>
      </c>
      <c r="D232" s="720"/>
      <c r="E232" s="23">
        <f t="shared" si="44"/>
        <v>1</v>
      </c>
      <c r="F232" s="720"/>
      <c r="G232" s="23">
        <f t="shared" si="45"/>
        <v>1</v>
      </c>
      <c r="H232" s="720"/>
      <c r="I232" s="23">
        <f t="shared" si="46"/>
        <v>1</v>
      </c>
      <c r="J232" s="720"/>
      <c r="K232" s="23">
        <f t="shared" si="47"/>
        <v>1</v>
      </c>
      <c r="L232" s="720"/>
      <c r="M232" s="23">
        <f t="shared" si="48"/>
        <v>1</v>
      </c>
      <c r="N232" s="720"/>
      <c r="O232" s="23">
        <f t="shared" si="49"/>
        <v>1</v>
      </c>
      <c r="P232" s="720"/>
      <c r="Q232" s="23">
        <f t="shared" si="50"/>
        <v>1</v>
      </c>
      <c r="R232" s="716">
        <f t="shared" si="51"/>
        <v>0</v>
      </c>
      <c r="S232" s="361">
        <f t="shared" si="52"/>
        <v>0</v>
      </c>
    </row>
    <row r="233" spans="1:19">
      <c r="A233" s="159"/>
      <c r="B233" s="58"/>
      <c r="C233" s="23">
        <f t="shared" si="43"/>
        <v>1</v>
      </c>
      <c r="D233" s="720"/>
      <c r="E233" s="23">
        <f t="shared" si="44"/>
        <v>1</v>
      </c>
      <c r="F233" s="720"/>
      <c r="G233" s="23">
        <f t="shared" si="45"/>
        <v>1</v>
      </c>
      <c r="H233" s="720"/>
      <c r="I233" s="23">
        <f t="shared" si="46"/>
        <v>1</v>
      </c>
      <c r="J233" s="720"/>
      <c r="K233" s="23">
        <f t="shared" si="47"/>
        <v>1</v>
      </c>
      <c r="L233" s="720"/>
      <c r="M233" s="23">
        <f t="shared" si="48"/>
        <v>1</v>
      </c>
      <c r="N233" s="720"/>
      <c r="O233" s="23">
        <f t="shared" si="49"/>
        <v>1</v>
      </c>
      <c r="P233" s="720"/>
      <c r="Q233" s="23">
        <f t="shared" si="50"/>
        <v>1</v>
      </c>
      <c r="R233" s="716">
        <f t="shared" si="51"/>
        <v>0</v>
      </c>
      <c r="S233" s="361">
        <f t="shared" si="52"/>
        <v>0</v>
      </c>
    </row>
    <row r="234" spans="1:19">
      <c r="A234" s="159"/>
      <c r="B234" s="58"/>
      <c r="C234" s="23">
        <f t="shared" si="43"/>
        <v>1</v>
      </c>
      <c r="D234" s="720"/>
      <c r="E234" s="23">
        <f t="shared" si="44"/>
        <v>1</v>
      </c>
      <c r="F234" s="720"/>
      <c r="G234" s="23">
        <f t="shared" si="45"/>
        <v>1</v>
      </c>
      <c r="H234" s="720"/>
      <c r="I234" s="23">
        <f t="shared" si="46"/>
        <v>1</v>
      </c>
      <c r="J234" s="720"/>
      <c r="K234" s="23">
        <f t="shared" si="47"/>
        <v>1</v>
      </c>
      <c r="L234" s="720"/>
      <c r="M234" s="23">
        <f t="shared" si="48"/>
        <v>1</v>
      </c>
      <c r="N234" s="720"/>
      <c r="O234" s="23">
        <f t="shared" si="49"/>
        <v>1</v>
      </c>
      <c r="P234" s="720"/>
      <c r="Q234" s="23">
        <f t="shared" si="50"/>
        <v>1</v>
      </c>
      <c r="R234" s="716">
        <f t="shared" si="51"/>
        <v>0</v>
      </c>
      <c r="S234" s="361">
        <f t="shared" si="52"/>
        <v>0</v>
      </c>
    </row>
    <row r="235" spans="1:19">
      <c r="A235" s="159"/>
      <c r="B235" s="58"/>
      <c r="C235" s="23">
        <f t="shared" si="43"/>
        <v>1</v>
      </c>
      <c r="D235" s="720"/>
      <c r="E235" s="23">
        <f t="shared" si="44"/>
        <v>1</v>
      </c>
      <c r="F235" s="720"/>
      <c r="G235" s="23">
        <f t="shared" si="45"/>
        <v>1</v>
      </c>
      <c r="H235" s="720"/>
      <c r="I235" s="23">
        <f t="shared" si="46"/>
        <v>1</v>
      </c>
      <c r="J235" s="720"/>
      <c r="K235" s="23">
        <f t="shared" si="47"/>
        <v>1</v>
      </c>
      <c r="L235" s="720"/>
      <c r="M235" s="23">
        <f t="shared" si="48"/>
        <v>1</v>
      </c>
      <c r="N235" s="720"/>
      <c r="O235" s="23">
        <f t="shared" si="49"/>
        <v>1</v>
      </c>
      <c r="P235" s="720"/>
      <c r="Q235" s="23">
        <f t="shared" si="50"/>
        <v>1</v>
      </c>
      <c r="R235" s="716">
        <f t="shared" si="51"/>
        <v>0</v>
      </c>
      <c r="S235" s="361">
        <f t="shared" si="52"/>
        <v>0</v>
      </c>
    </row>
    <row r="236" spans="1:19">
      <c r="A236" s="159"/>
      <c r="B236" s="58"/>
      <c r="C236" s="23">
        <f t="shared" si="43"/>
        <v>1</v>
      </c>
      <c r="D236" s="720"/>
      <c r="E236" s="23">
        <f t="shared" si="44"/>
        <v>1</v>
      </c>
      <c r="F236" s="720"/>
      <c r="G236" s="23">
        <f t="shared" si="45"/>
        <v>1</v>
      </c>
      <c r="H236" s="720"/>
      <c r="I236" s="23">
        <f t="shared" si="46"/>
        <v>1</v>
      </c>
      <c r="J236" s="720"/>
      <c r="K236" s="23">
        <f t="shared" si="47"/>
        <v>1</v>
      </c>
      <c r="L236" s="720"/>
      <c r="M236" s="23">
        <f t="shared" si="48"/>
        <v>1</v>
      </c>
      <c r="N236" s="720"/>
      <c r="O236" s="23">
        <f t="shared" si="49"/>
        <v>1</v>
      </c>
      <c r="P236" s="720"/>
      <c r="Q236" s="23">
        <f t="shared" si="50"/>
        <v>1</v>
      </c>
      <c r="R236" s="716">
        <f t="shared" si="51"/>
        <v>0</v>
      </c>
      <c r="S236" s="361">
        <f t="shared" si="52"/>
        <v>0</v>
      </c>
    </row>
    <row r="237" spans="1:19">
      <c r="A237" s="159"/>
      <c r="B237" s="58"/>
      <c r="C237" s="23">
        <f t="shared" si="43"/>
        <v>1</v>
      </c>
      <c r="D237" s="720"/>
      <c r="E237" s="23">
        <f t="shared" si="44"/>
        <v>1</v>
      </c>
      <c r="F237" s="720"/>
      <c r="G237" s="23">
        <f t="shared" si="45"/>
        <v>1</v>
      </c>
      <c r="H237" s="720"/>
      <c r="I237" s="23">
        <f t="shared" si="46"/>
        <v>1</v>
      </c>
      <c r="J237" s="720"/>
      <c r="K237" s="23">
        <f t="shared" si="47"/>
        <v>1</v>
      </c>
      <c r="L237" s="720"/>
      <c r="M237" s="23">
        <f t="shared" si="48"/>
        <v>1</v>
      </c>
      <c r="N237" s="720"/>
      <c r="O237" s="23">
        <f t="shared" si="49"/>
        <v>1</v>
      </c>
      <c r="P237" s="720"/>
      <c r="Q237" s="23">
        <f t="shared" si="50"/>
        <v>1</v>
      </c>
      <c r="R237" s="716">
        <f t="shared" si="51"/>
        <v>0</v>
      </c>
      <c r="S237" s="361">
        <f t="shared" si="52"/>
        <v>0</v>
      </c>
    </row>
    <row r="238" spans="1:19">
      <c r="A238" s="159"/>
      <c r="B238" s="58"/>
      <c r="C238" s="23">
        <f t="shared" si="43"/>
        <v>1</v>
      </c>
      <c r="D238" s="720"/>
      <c r="E238" s="23">
        <f t="shared" si="44"/>
        <v>1</v>
      </c>
      <c r="F238" s="720"/>
      <c r="G238" s="23">
        <f t="shared" si="45"/>
        <v>1</v>
      </c>
      <c r="H238" s="720"/>
      <c r="I238" s="23">
        <f t="shared" si="46"/>
        <v>1</v>
      </c>
      <c r="J238" s="720"/>
      <c r="K238" s="23">
        <f t="shared" si="47"/>
        <v>1</v>
      </c>
      <c r="L238" s="720"/>
      <c r="M238" s="23">
        <f t="shared" si="48"/>
        <v>1</v>
      </c>
      <c r="N238" s="720"/>
      <c r="O238" s="23">
        <f t="shared" si="49"/>
        <v>1</v>
      </c>
      <c r="P238" s="720"/>
      <c r="Q238" s="23">
        <f t="shared" si="50"/>
        <v>1</v>
      </c>
      <c r="R238" s="716">
        <f t="shared" si="51"/>
        <v>0</v>
      </c>
      <c r="S238" s="361">
        <f t="shared" si="52"/>
        <v>0</v>
      </c>
    </row>
    <row r="239" spans="1:19">
      <c r="A239" s="159"/>
      <c r="B239" s="58"/>
      <c r="C239" s="23">
        <f t="shared" si="43"/>
        <v>1</v>
      </c>
      <c r="D239" s="720"/>
      <c r="E239" s="23">
        <f t="shared" si="44"/>
        <v>1</v>
      </c>
      <c r="F239" s="720"/>
      <c r="G239" s="23">
        <f t="shared" si="45"/>
        <v>1</v>
      </c>
      <c r="H239" s="720"/>
      <c r="I239" s="23">
        <f t="shared" si="46"/>
        <v>1</v>
      </c>
      <c r="J239" s="720"/>
      <c r="K239" s="23">
        <f t="shared" si="47"/>
        <v>1</v>
      </c>
      <c r="L239" s="720"/>
      <c r="M239" s="23">
        <f t="shared" si="48"/>
        <v>1</v>
      </c>
      <c r="N239" s="720"/>
      <c r="O239" s="23">
        <f t="shared" si="49"/>
        <v>1</v>
      </c>
      <c r="P239" s="720"/>
      <c r="Q239" s="23">
        <f t="shared" si="50"/>
        <v>1</v>
      </c>
      <c r="R239" s="716">
        <f t="shared" si="51"/>
        <v>0</v>
      </c>
      <c r="S239" s="361">
        <f t="shared" si="52"/>
        <v>0</v>
      </c>
    </row>
    <row r="240" spans="1:19">
      <c r="A240" s="159"/>
      <c r="B240" s="58"/>
      <c r="C240" s="23">
        <f t="shared" si="43"/>
        <v>1</v>
      </c>
      <c r="D240" s="720"/>
      <c r="E240" s="23">
        <f t="shared" si="44"/>
        <v>1</v>
      </c>
      <c r="F240" s="720"/>
      <c r="G240" s="23">
        <f t="shared" si="45"/>
        <v>1</v>
      </c>
      <c r="H240" s="720"/>
      <c r="I240" s="23">
        <f t="shared" si="46"/>
        <v>1</v>
      </c>
      <c r="J240" s="720"/>
      <c r="K240" s="23">
        <f t="shared" si="47"/>
        <v>1</v>
      </c>
      <c r="L240" s="720"/>
      <c r="M240" s="23">
        <f t="shared" si="48"/>
        <v>1</v>
      </c>
      <c r="N240" s="720"/>
      <c r="O240" s="23">
        <f t="shared" si="49"/>
        <v>1</v>
      </c>
      <c r="P240" s="720"/>
      <c r="Q240" s="23">
        <f t="shared" si="50"/>
        <v>1</v>
      </c>
      <c r="R240" s="716">
        <f t="shared" si="51"/>
        <v>0</v>
      </c>
      <c r="S240" s="361">
        <f t="shared" si="52"/>
        <v>0</v>
      </c>
    </row>
    <row r="241" spans="1:19">
      <c r="A241" s="159"/>
      <c r="B241" s="58"/>
      <c r="C241" s="23">
        <f t="shared" si="43"/>
        <v>1</v>
      </c>
      <c r="D241" s="720"/>
      <c r="E241" s="23">
        <f t="shared" si="44"/>
        <v>1</v>
      </c>
      <c r="F241" s="720"/>
      <c r="G241" s="23">
        <f t="shared" si="45"/>
        <v>1</v>
      </c>
      <c r="H241" s="720"/>
      <c r="I241" s="23">
        <f t="shared" si="46"/>
        <v>1</v>
      </c>
      <c r="J241" s="720"/>
      <c r="K241" s="23">
        <f t="shared" si="47"/>
        <v>1</v>
      </c>
      <c r="L241" s="720"/>
      <c r="M241" s="23">
        <f t="shared" si="48"/>
        <v>1</v>
      </c>
      <c r="N241" s="720"/>
      <c r="O241" s="23">
        <f t="shared" si="49"/>
        <v>1</v>
      </c>
      <c r="P241" s="720"/>
      <c r="Q241" s="23">
        <f t="shared" si="50"/>
        <v>1</v>
      </c>
      <c r="R241" s="716">
        <f t="shared" si="51"/>
        <v>0</v>
      </c>
      <c r="S241" s="361">
        <f t="shared" si="52"/>
        <v>0</v>
      </c>
    </row>
    <row r="242" spans="1:19">
      <c r="A242" s="159"/>
      <c r="B242" s="58"/>
      <c r="C242" s="23">
        <f t="shared" si="43"/>
        <v>1</v>
      </c>
      <c r="D242" s="720"/>
      <c r="E242" s="23">
        <f t="shared" si="44"/>
        <v>1</v>
      </c>
      <c r="F242" s="720"/>
      <c r="G242" s="23">
        <f t="shared" si="45"/>
        <v>1</v>
      </c>
      <c r="H242" s="720"/>
      <c r="I242" s="23">
        <f t="shared" si="46"/>
        <v>1</v>
      </c>
      <c r="J242" s="720"/>
      <c r="K242" s="23">
        <f t="shared" si="47"/>
        <v>1</v>
      </c>
      <c r="L242" s="720"/>
      <c r="M242" s="23">
        <f t="shared" si="48"/>
        <v>1</v>
      </c>
      <c r="N242" s="720"/>
      <c r="O242" s="23">
        <f t="shared" si="49"/>
        <v>1</v>
      </c>
      <c r="P242" s="720"/>
      <c r="Q242" s="23">
        <f t="shared" si="50"/>
        <v>1</v>
      </c>
      <c r="R242" s="716">
        <f t="shared" si="51"/>
        <v>0</v>
      </c>
      <c r="S242" s="361">
        <f t="shared" si="52"/>
        <v>0</v>
      </c>
    </row>
    <row r="243" spans="1:19">
      <c r="A243" s="159"/>
      <c r="B243" s="58"/>
      <c r="C243" s="23">
        <f t="shared" si="43"/>
        <v>1</v>
      </c>
      <c r="D243" s="720"/>
      <c r="E243" s="23">
        <f t="shared" si="44"/>
        <v>1</v>
      </c>
      <c r="F243" s="720"/>
      <c r="G243" s="23">
        <f t="shared" si="45"/>
        <v>1</v>
      </c>
      <c r="H243" s="720"/>
      <c r="I243" s="23">
        <f t="shared" si="46"/>
        <v>1</v>
      </c>
      <c r="J243" s="720"/>
      <c r="K243" s="23">
        <f t="shared" si="47"/>
        <v>1</v>
      </c>
      <c r="L243" s="720"/>
      <c r="M243" s="23">
        <f t="shared" si="48"/>
        <v>1</v>
      </c>
      <c r="N243" s="720"/>
      <c r="O243" s="23">
        <f t="shared" si="49"/>
        <v>1</v>
      </c>
      <c r="P243" s="720"/>
      <c r="Q243" s="23">
        <f t="shared" si="50"/>
        <v>1</v>
      </c>
      <c r="R243" s="716">
        <f t="shared" si="51"/>
        <v>0</v>
      </c>
      <c r="S243" s="361">
        <f t="shared" si="52"/>
        <v>0</v>
      </c>
    </row>
    <row r="244" spans="1:19">
      <c r="A244" s="159"/>
      <c r="B244" s="58"/>
      <c r="C244" s="23">
        <f t="shared" si="43"/>
        <v>1</v>
      </c>
      <c r="D244" s="720"/>
      <c r="E244" s="23">
        <f t="shared" si="44"/>
        <v>1</v>
      </c>
      <c r="F244" s="720"/>
      <c r="G244" s="23">
        <f t="shared" si="45"/>
        <v>1</v>
      </c>
      <c r="H244" s="720"/>
      <c r="I244" s="23">
        <f t="shared" si="46"/>
        <v>1</v>
      </c>
      <c r="J244" s="720"/>
      <c r="K244" s="23">
        <f t="shared" si="47"/>
        <v>1</v>
      </c>
      <c r="L244" s="720"/>
      <c r="M244" s="23">
        <f t="shared" si="48"/>
        <v>1</v>
      </c>
      <c r="N244" s="720"/>
      <c r="O244" s="23">
        <f t="shared" si="49"/>
        <v>1</v>
      </c>
      <c r="P244" s="720"/>
      <c r="Q244" s="23">
        <f t="shared" si="50"/>
        <v>1</v>
      </c>
      <c r="R244" s="716">
        <f t="shared" si="51"/>
        <v>0</v>
      </c>
      <c r="S244" s="361">
        <f t="shared" si="52"/>
        <v>0</v>
      </c>
    </row>
    <row r="245" spans="1:19">
      <c r="A245" s="159"/>
      <c r="B245" s="58"/>
      <c r="C245" s="23">
        <f t="shared" si="43"/>
        <v>1</v>
      </c>
      <c r="D245" s="720"/>
      <c r="E245" s="23">
        <f t="shared" si="44"/>
        <v>1</v>
      </c>
      <c r="F245" s="720"/>
      <c r="G245" s="23">
        <f t="shared" si="45"/>
        <v>1</v>
      </c>
      <c r="H245" s="720"/>
      <c r="I245" s="23">
        <f t="shared" si="46"/>
        <v>1</v>
      </c>
      <c r="J245" s="720"/>
      <c r="K245" s="23">
        <f t="shared" si="47"/>
        <v>1</v>
      </c>
      <c r="L245" s="720"/>
      <c r="M245" s="23">
        <f t="shared" si="48"/>
        <v>1</v>
      </c>
      <c r="N245" s="720"/>
      <c r="O245" s="23">
        <f t="shared" si="49"/>
        <v>1</v>
      </c>
      <c r="P245" s="720"/>
      <c r="Q245" s="23">
        <f t="shared" si="50"/>
        <v>1</v>
      </c>
      <c r="R245" s="716">
        <f t="shared" si="51"/>
        <v>0</v>
      </c>
      <c r="S245" s="361">
        <f t="shared" si="52"/>
        <v>0</v>
      </c>
    </row>
    <row r="246" spans="1:19">
      <c r="A246" s="159"/>
      <c r="B246" s="58"/>
      <c r="C246" s="23">
        <f t="shared" si="43"/>
        <v>1</v>
      </c>
      <c r="D246" s="720"/>
      <c r="E246" s="23">
        <f t="shared" si="44"/>
        <v>1</v>
      </c>
      <c r="F246" s="720"/>
      <c r="G246" s="23">
        <f t="shared" si="45"/>
        <v>1</v>
      </c>
      <c r="H246" s="720"/>
      <c r="I246" s="23">
        <f t="shared" si="46"/>
        <v>1</v>
      </c>
      <c r="J246" s="720"/>
      <c r="K246" s="23">
        <f t="shared" si="47"/>
        <v>1</v>
      </c>
      <c r="L246" s="720"/>
      <c r="M246" s="23">
        <f t="shared" si="48"/>
        <v>1</v>
      </c>
      <c r="N246" s="720"/>
      <c r="O246" s="23">
        <f t="shared" si="49"/>
        <v>1</v>
      </c>
      <c r="P246" s="720"/>
      <c r="Q246" s="23">
        <f t="shared" si="50"/>
        <v>1</v>
      </c>
      <c r="R246" s="716">
        <f t="shared" si="51"/>
        <v>0</v>
      </c>
      <c r="S246" s="361">
        <f t="shared" si="52"/>
        <v>0</v>
      </c>
    </row>
    <row r="247" spans="1:19">
      <c r="A247" s="159"/>
      <c r="B247" s="58"/>
      <c r="C247" s="23">
        <f t="shared" si="43"/>
        <v>1</v>
      </c>
      <c r="D247" s="720"/>
      <c r="E247" s="23">
        <f t="shared" si="44"/>
        <v>1</v>
      </c>
      <c r="F247" s="720"/>
      <c r="G247" s="23">
        <f t="shared" si="45"/>
        <v>1</v>
      </c>
      <c r="H247" s="720"/>
      <c r="I247" s="23">
        <f t="shared" si="46"/>
        <v>1</v>
      </c>
      <c r="J247" s="720"/>
      <c r="K247" s="23">
        <f t="shared" si="47"/>
        <v>1</v>
      </c>
      <c r="L247" s="720"/>
      <c r="M247" s="23">
        <f t="shared" si="48"/>
        <v>1</v>
      </c>
      <c r="N247" s="720"/>
      <c r="O247" s="23">
        <f t="shared" si="49"/>
        <v>1</v>
      </c>
      <c r="P247" s="720"/>
      <c r="Q247" s="23">
        <f t="shared" si="50"/>
        <v>1</v>
      </c>
      <c r="R247" s="716">
        <f t="shared" si="51"/>
        <v>0</v>
      </c>
      <c r="S247" s="361">
        <f t="shared" si="52"/>
        <v>0</v>
      </c>
    </row>
    <row r="248" spans="1:19">
      <c r="A248" s="159"/>
      <c r="B248" s="58"/>
      <c r="C248" s="23">
        <f t="shared" si="43"/>
        <v>1</v>
      </c>
      <c r="D248" s="720"/>
      <c r="E248" s="23">
        <f t="shared" si="44"/>
        <v>1</v>
      </c>
      <c r="F248" s="720"/>
      <c r="G248" s="23">
        <f t="shared" si="45"/>
        <v>1</v>
      </c>
      <c r="H248" s="720"/>
      <c r="I248" s="23">
        <f t="shared" si="46"/>
        <v>1</v>
      </c>
      <c r="J248" s="720"/>
      <c r="K248" s="23">
        <f t="shared" si="47"/>
        <v>1</v>
      </c>
      <c r="L248" s="720"/>
      <c r="M248" s="23">
        <f t="shared" si="48"/>
        <v>1</v>
      </c>
      <c r="N248" s="720"/>
      <c r="O248" s="23">
        <f t="shared" si="49"/>
        <v>1</v>
      </c>
      <c r="P248" s="720"/>
      <c r="Q248" s="23">
        <f t="shared" si="50"/>
        <v>1</v>
      </c>
      <c r="R248" s="716">
        <f t="shared" si="51"/>
        <v>0</v>
      </c>
      <c r="S248" s="361">
        <f t="shared" si="52"/>
        <v>0</v>
      </c>
    </row>
    <row r="249" spans="1:19">
      <c r="A249" s="159"/>
      <c r="B249" s="58"/>
      <c r="C249" s="23">
        <f t="shared" si="43"/>
        <v>1</v>
      </c>
      <c r="D249" s="720"/>
      <c r="E249" s="23">
        <f t="shared" si="44"/>
        <v>1</v>
      </c>
      <c r="F249" s="720"/>
      <c r="G249" s="23">
        <f t="shared" si="45"/>
        <v>1</v>
      </c>
      <c r="H249" s="720"/>
      <c r="I249" s="23">
        <f t="shared" si="46"/>
        <v>1</v>
      </c>
      <c r="J249" s="720"/>
      <c r="K249" s="23">
        <f t="shared" si="47"/>
        <v>1</v>
      </c>
      <c r="L249" s="720"/>
      <c r="M249" s="23">
        <f t="shared" si="48"/>
        <v>1</v>
      </c>
      <c r="N249" s="720"/>
      <c r="O249" s="23">
        <f t="shared" si="49"/>
        <v>1</v>
      </c>
      <c r="P249" s="720"/>
      <c r="Q249" s="23">
        <f t="shared" si="50"/>
        <v>1</v>
      </c>
      <c r="R249" s="716">
        <f t="shared" si="51"/>
        <v>0</v>
      </c>
      <c r="S249" s="361">
        <f t="shared" si="52"/>
        <v>0</v>
      </c>
    </row>
    <row r="250" spans="1:19">
      <c r="A250" s="159"/>
      <c r="B250" s="58"/>
      <c r="C250" s="23">
        <f t="shared" si="43"/>
        <v>1</v>
      </c>
      <c r="D250" s="720"/>
      <c r="E250" s="23">
        <f t="shared" si="44"/>
        <v>1</v>
      </c>
      <c r="F250" s="720"/>
      <c r="G250" s="23">
        <f t="shared" si="45"/>
        <v>1</v>
      </c>
      <c r="H250" s="720"/>
      <c r="I250" s="23">
        <f t="shared" si="46"/>
        <v>1</v>
      </c>
      <c r="J250" s="720"/>
      <c r="K250" s="23">
        <f t="shared" si="47"/>
        <v>1</v>
      </c>
      <c r="L250" s="720"/>
      <c r="M250" s="23">
        <f t="shared" si="48"/>
        <v>1</v>
      </c>
      <c r="N250" s="720"/>
      <c r="O250" s="23">
        <f t="shared" si="49"/>
        <v>1</v>
      </c>
      <c r="P250" s="720"/>
      <c r="Q250" s="23">
        <f t="shared" si="50"/>
        <v>1</v>
      </c>
      <c r="R250" s="716">
        <f t="shared" si="51"/>
        <v>0</v>
      </c>
      <c r="S250" s="361">
        <f t="shared" si="52"/>
        <v>0</v>
      </c>
    </row>
    <row r="251" spans="1:19">
      <c r="A251" s="159"/>
      <c r="B251" s="58"/>
      <c r="C251" s="23">
        <f t="shared" si="43"/>
        <v>1</v>
      </c>
      <c r="D251" s="720"/>
      <c r="E251" s="23">
        <f t="shared" si="44"/>
        <v>1</v>
      </c>
      <c r="F251" s="720"/>
      <c r="G251" s="23">
        <f t="shared" si="45"/>
        <v>1</v>
      </c>
      <c r="H251" s="720"/>
      <c r="I251" s="23">
        <f t="shared" si="46"/>
        <v>1</v>
      </c>
      <c r="J251" s="720"/>
      <c r="K251" s="23">
        <f t="shared" si="47"/>
        <v>1</v>
      </c>
      <c r="L251" s="720"/>
      <c r="M251" s="23">
        <f t="shared" si="48"/>
        <v>1</v>
      </c>
      <c r="N251" s="720"/>
      <c r="O251" s="23">
        <f t="shared" si="49"/>
        <v>1</v>
      </c>
      <c r="P251" s="720"/>
      <c r="Q251" s="23">
        <f t="shared" si="50"/>
        <v>1</v>
      </c>
      <c r="R251" s="716">
        <f t="shared" si="51"/>
        <v>0</v>
      </c>
      <c r="S251" s="361">
        <f t="shared" si="52"/>
        <v>0</v>
      </c>
    </row>
    <row r="252" spans="1:19">
      <c r="A252" s="159"/>
      <c r="B252" s="58"/>
      <c r="C252" s="23">
        <f t="shared" si="43"/>
        <v>1</v>
      </c>
      <c r="D252" s="720"/>
      <c r="E252" s="23">
        <f t="shared" si="44"/>
        <v>1</v>
      </c>
      <c r="F252" s="720"/>
      <c r="G252" s="23">
        <f t="shared" si="45"/>
        <v>1</v>
      </c>
      <c r="H252" s="720"/>
      <c r="I252" s="23">
        <f t="shared" si="46"/>
        <v>1</v>
      </c>
      <c r="J252" s="720"/>
      <c r="K252" s="23">
        <f t="shared" si="47"/>
        <v>1</v>
      </c>
      <c r="L252" s="720"/>
      <c r="M252" s="23">
        <f t="shared" si="48"/>
        <v>1</v>
      </c>
      <c r="N252" s="720"/>
      <c r="O252" s="23">
        <f t="shared" si="49"/>
        <v>1</v>
      </c>
      <c r="P252" s="720"/>
      <c r="Q252" s="23">
        <f t="shared" si="50"/>
        <v>1</v>
      </c>
      <c r="R252" s="716">
        <f t="shared" si="51"/>
        <v>0</v>
      </c>
      <c r="S252" s="361">
        <f t="shared" si="52"/>
        <v>0</v>
      </c>
    </row>
    <row r="253" spans="1:19">
      <c r="A253" s="159"/>
      <c r="B253" s="58"/>
      <c r="C253" s="23">
        <f t="shared" si="43"/>
        <v>1</v>
      </c>
      <c r="D253" s="720"/>
      <c r="E253" s="23">
        <f t="shared" si="44"/>
        <v>1</v>
      </c>
      <c r="F253" s="720"/>
      <c r="G253" s="23">
        <f t="shared" si="45"/>
        <v>1</v>
      </c>
      <c r="H253" s="720"/>
      <c r="I253" s="23">
        <f t="shared" si="46"/>
        <v>1</v>
      </c>
      <c r="J253" s="720"/>
      <c r="K253" s="23">
        <f t="shared" si="47"/>
        <v>1</v>
      </c>
      <c r="L253" s="720"/>
      <c r="M253" s="23">
        <f t="shared" si="48"/>
        <v>1</v>
      </c>
      <c r="N253" s="720"/>
      <c r="O253" s="23">
        <f t="shared" si="49"/>
        <v>1</v>
      </c>
      <c r="P253" s="720"/>
      <c r="Q253" s="23">
        <f t="shared" si="50"/>
        <v>1</v>
      </c>
      <c r="R253" s="716">
        <f t="shared" si="51"/>
        <v>0</v>
      </c>
      <c r="S253" s="361">
        <f t="shared" si="52"/>
        <v>0</v>
      </c>
    </row>
    <row r="254" spans="1:19">
      <c r="A254" s="159"/>
      <c r="B254" s="58"/>
      <c r="C254" s="23">
        <f t="shared" si="43"/>
        <v>1</v>
      </c>
      <c r="D254" s="720"/>
      <c r="E254" s="23">
        <f t="shared" si="44"/>
        <v>1</v>
      </c>
      <c r="F254" s="720"/>
      <c r="G254" s="23">
        <f t="shared" si="45"/>
        <v>1</v>
      </c>
      <c r="H254" s="720"/>
      <c r="I254" s="23">
        <f t="shared" si="46"/>
        <v>1</v>
      </c>
      <c r="J254" s="720"/>
      <c r="K254" s="23">
        <f t="shared" si="47"/>
        <v>1</v>
      </c>
      <c r="L254" s="720"/>
      <c r="M254" s="23">
        <f t="shared" si="48"/>
        <v>1</v>
      </c>
      <c r="N254" s="720"/>
      <c r="O254" s="23">
        <f t="shared" si="49"/>
        <v>1</v>
      </c>
      <c r="P254" s="720"/>
      <c r="Q254" s="23">
        <f t="shared" si="50"/>
        <v>1</v>
      </c>
      <c r="R254" s="716">
        <f t="shared" si="51"/>
        <v>0</v>
      </c>
      <c r="S254" s="361">
        <f t="shared" si="52"/>
        <v>0</v>
      </c>
    </row>
    <row r="255" spans="1:19">
      <c r="A255" s="159"/>
      <c r="B255" s="58"/>
      <c r="C255" s="23">
        <f t="shared" si="43"/>
        <v>1</v>
      </c>
      <c r="D255" s="720"/>
      <c r="E255" s="23">
        <f t="shared" si="44"/>
        <v>1</v>
      </c>
      <c r="F255" s="720"/>
      <c r="G255" s="23">
        <f t="shared" si="45"/>
        <v>1</v>
      </c>
      <c r="H255" s="720"/>
      <c r="I255" s="23">
        <f t="shared" si="46"/>
        <v>1</v>
      </c>
      <c r="J255" s="720"/>
      <c r="K255" s="23">
        <f t="shared" si="47"/>
        <v>1</v>
      </c>
      <c r="L255" s="720"/>
      <c r="M255" s="23">
        <f t="shared" si="48"/>
        <v>1</v>
      </c>
      <c r="N255" s="720"/>
      <c r="O255" s="23">
        <f t="shared" si="49"/>
        <v>1</v>
      </c>
      <c r="P255" s="720"/>
      <c r="Q255" s="23">
        <f t="shared" si="50"/>
        <v>1</v>
      </c>
      <c r="R255" s="716">
        <f t="shared" si="51"/>
        <v>0</v>
      </c>
      <c r="S255" s="361">
        <f t="shared" si="52"/>
        <v>0</v>
      </c>
    </row>
    <row r="256" spans="1:19">
      <c r="A256" s="159"/>
      <c r="B256" s="58"/>
      <c r="C256" s="23">
        <f t="shared" si="43"/>
        <v>1</v>
      </c>
      <c r="D256" s="720"/>
      <c r="E256" s="23">
        <f t="shared" si="44"/>
        <v>1</v>
      </c>
      <c r="F256" s="720"/>
      <c r="G256" s="23">
        <f t="shared" si="45"/>
        <v>1</v>
      </c>
      <c r="H256" s="720"/>
      <c r="I256" s="23">
        <f t="shared" si="46"/>
        <v>1</v>
      </c>
      <c r="J256" s="720"/>
      <c r="K256" s="23">
        <f t="shared" si="47"/>
        <v>1</v>
      </c>
      <c r="L256" s="720"/>
      <c r="M256" s="23">
        <f t="shared" si="48"/>
        <v>1</v>
      </c>
      <c r="N256" s="720"/>
      <c r="O256" s="23">
        <f t="shared" si="49"/>
        <v>1</v>
      </c>
      <c r="P256" s="720"/>
      <c r="Q256" s="23">
        <f t="shared" si="50"/>
        <v>1</v>
      </c>
      <c r="R256" s="716">
        <f t="shared" si="51"/>
        <v>0</v>
      </c>
      <c r="S256" s="361">
        <f t="shared" si="52"/>
        <v>0</v>
      </c>
    </row>
    <row r="257" spans="1:19">
      <c r="A257" s="159"/>
      <c r="B257" s="58"/>
      <c r="C257" s="23">
        <f t="shared" si="43"/>
        <v>1</v>
      </c>
      <c r="D257" s="720"/>
      <c r="E257" s="23">
        <f t="shared" si="44"/>
        <v>1</v>
      </c>
      <c r="F257" s="720"/>
      <c r="G257" s="23">
        <f t="shared" si="45"/>
        <v>1</v>
      </c>
      <c r="H257" s="720"/>
      <c r="I257" s="23">
        <f t="shared" si="46"/>
        <v>1</v>
      </c>
      <c r="J257" s="720"/>
      <c r="K257" s="23">
        <f t="shared" si="47"/>
        <v>1</v>
      </c>
      <c r="L257" s="720"/>
      <c r="M257" s="23">
        <f t="shared" si="48"/>
        <v>1</v>
      </c>
      <c r="N257" s="720"/>
      <c r="O257" s="23">
        <f t="shared" si="49"/>
        <v>1</v>
      </c>
      <c r="P257" s="720"/>
      <c r="Q257" s="23">
        <f t="shared" si="50"/>
        <v>1</v>
      </c>
      <c r="R257" s="716">
        <f t="shared" si="51"/>
        <v>0</v>
      </c>
      <c r="S257" s="361">
        <f t="shared" si="52"/>
        <v>0</v>
      </c>
    </row>
    <row r="258" spans="1:19">
      <c r="A258" s="159"/>
      <c r="B258" s="58"/>
      <c r="C258" s="23">
        <f t="shared" si="43"/>
        <v>1</v>
      </c>
      <c r="D258" s="720"/>
      <c r="E258" s="23">
        <f t="shared" si="44"/>
        <v>1</v>
      </c>
      <c r="F258" s="720"/>
      <c r="G258" s="23">
        <f t="shared" si="45"/>
        <v>1</v>
      </c>
      <c r="H258" s="720"/>
      <c r="I258" s="23">
        <f t="shared" si="46"/>
        <v>1</v>
      </c>
      <c r="J258" s="720"/>
      <c r="K258" s="23">
        <f t="shared" si="47"/>
        <v>1</v>
      </c>
      <c r="L258" s="720"/>
      <c r="M258" s="23">
        <f t="shared" si="48"/>
        <v>1</v>
      </c>
      <c r="N258" s="720"/>
      <c r="O258" s="23">
        <f t="shared" si="49"/>
        <v>1</v>
      </c>
      <c r="P258" s="720"/>
      <c r="Q258" s="23">
        <f t="shared" si="50"/>
        <v>1</v>
      </c>
      <c r="R258" s="716">
        <f t="shared" si="51"/>
        <v>0</v>
      </c>
      <c r="S258" s="361">
        <f t="shared" si="52"/>
        <v>0</v>
      </c>
    </row>
    <row r="259" spans="1:19">
      <c r="A259" s="159"/>
      <c r="B259" s="58"/>
      <c r="C259" s="23">
        <f t="shared" si="43"/>
        <v>1</v>
      </c>
      <c r="D259" s="720"/>
      <c r="E259" s="23">
        <f t="shared" si="44"/>
        <v>1</v>
      </c>
      <c r="F259" s="720"/>
      <c r="G259" s="23">
        <f t="shared" si="45"/>
        <v>1</v>
      </c>
      <c r="H259" s="720"/>
      <c r="I259" s="23">
        <f t="shared" si="46"/>
        <v>1</v>
      </c>
      <c r="J259" s="720"/>
      <c r="K259" s="23">
        <f t="shared" si="47"/>
        <v>1</v>
      </c>
      <c r="L259" s="720"/>
      <c r="M259" s="23">
        <f t="shared" si="48"/>
        <v>1</v>
      </c>
      <c r="N259" s="720"/>
      <c r="O259" s="23">
        <f t="shared" si="49"/>
        <v>1</v>
      </c>
      <c r="P259" s="720"/>
      <c r="Q259" s="23">
        <f t="shared" si="50"/>
        <v>1</v>
      </c>
      <c r="R259" s="716">
        <f t="shared" si="51"/>
        <v>0</v>
      </c>
      <c r="S259" s="361">
        <f t="shared" si="52"/>
        <v>0</v>
      </c>
    </row>
    <row r="260" spans="1:19">
      <c r="A260" s="159"/>
      <c r="B260" s="58"/>
      <c r="C260" s="23">
        <f t="shared" si="43"/>
        <v>1</v>
      </c>
      <c r="D260" s="720"/>
      <c r="E260" s="23">
        <f t="shared" si="44"/>
        <v>1</v>
      </c>
      <c r="F260" s="720"/>
      <c r="G260" s="23">
        <f t="shared" si="45"/>
        <v>1</v>
      </c>
      <c r="H260" s="720"/>
      <c r="I260" s="23">
        <f t="shared" si="46"/>
        <v>1</v>
      </c>
      <c r="J260" s="720"/>
      <c r="K260" s="23">
        <f t="shared" si="47"/>
        <v>1</v>
      </c>
      <c r="L260" s="720"/>
      <c r="M260" s="23">
        <f t="shared" si="48"/>
        <v>1</v>
      </c>
      <c r="N260" s="720"/>
      <c r="O260" s="23">
        <f t="shared" si="49"/>
        <v>1</v>
      </c>
      <c r="P260" s="720"/>
      <c r="Q260" s="23">
        <f t="shared" si="50"/>
        <v>1</v>
      </c>
      <c r="R260" s="716">
        <f t="shared" si="51"/>
        <v>0</v>
      </c>
      <c r="S260" s="361">
        <f t="shared" si="52"/>
        <v>0</v>
      </c>
    </row>
    <row r="261" spans="1:19">
      <c r="A261" s="159"/>
      <c r="B261" s="58"/>
      <c r="C261" s="23">
        <f t="shared" si="43"/>
        <v>1</v>
      </c>
      <c r="D261" s="720"/>
      <c r="E261" s="23">
        <f t="shared" si="44"/>
        <v>1</v>
      </c>
      <c r="F261" s="720"/>
      <c r="G261" s="23">
        <f t="shared" si="45"/>
        <v>1</v>
      </c>
      <c r="H261" s="720"/>
      <c r="I261" s="23">
        <f t="shared" si="46"/>
        <v>1</v>
      </c>
      <c r="J261" s="720"/>
      <c r="K261" s="23">
        <f t="shared" si="47"/>
        <v>1</v>
      </c>
      <c r="L261" s="720"/>
      <c r="M261" s="23">
        <f t="shared" si="48"/>
        <v>1</v>
      </c>
      <c r="N261" s="720"/>
      <c r="O261" s="23">
        <f t="shared" si="49"/>
        <v>1</v>
      </c>
      <c r="P261" s="720"/>
      <c r="Q261" s="23">
        <f t="shared" si="50"/>
        <v>1</v>
      </c>
      <c r="R261" s="716">
        <f t="shared" si="51"/>
        <v>0</v>
      </c>
      <c r="S261" s="361">
        <f t="shared" si="52"/>
        <v>0</v>
      </c>
    </row>
    <row r="262" spans="1:19">
      <c r="A262" s="159"/>
      <c r="B262" s="58"/>
      <c r="C262" s="23">
        <f t="shared" si="43"/>
        <v>1</v>
      </c>
      <c r="D262" s="720"/>
      <c r="E262" s="23">
        <f t="shared" si="44"/>
        <v>1</v>
      </c>
      <c r="F262" s="720"/>
      <c r="G262" s="23">
        <f t="shared" si="45"/>
        <v>1</v>
      </c>
      <c r="H262" s="720"/>
      <c r="I262" s="23">
        <f t="shared" si="46"/>
        <v>1</v>
      </c>
      <c r="J262" s="720"/>
      <c r="K262" s="23">
        <f t="shared" si="47"/>
        <v>1</v>
      </c>
      <c r="L262" s="720"/>
      <c r="M262" s="23">
        <f t="shared" si="48"/>
        <v>1</v>
      </c>
      <c r="N262" s="720"/>
      <c r="O262" s="23">
        <f t="shared" si="49"/>
        <v>1</v>
      </c>
      <c r="P262" s="720"/>
      <c r="Q262" s="23">
        <f t="shared" si="50"/>
        <v>1</v>
      </c>
      <c r="R262" s="716">
        <f t="shared" si="51"/>
        <v>0</v>
      </c>
      <c r="S262" s="361">
        <f t="shared" si="52"/>
        <v>0</v>
      </c>
    </row>
    <row r="263" spans="1:19">
      <c r="A263" s="159"/>
      <c r="B263" s="58"/>
      <c r="C263" s="23">
        <f t="shared" si="43"/>
        <v>1</v>
      </c>
      <c r="D263" s="720"/>
      <c r="E263" s="23">
        <f t="shared" si="44"/>
        <v>1</v>
      </c>
      <c r="F263" s="720"/>
      <c r="G263" s="23">
        <f t="shared" si="45"/>
        <v>1</v>
      </c>
      <c r="H263" s="720"/>
      <c r="I263" s="23">
        <f t="shared" si="46"/>
        <v>1</v>
      </c>
      <c r="J263" s="720"/>
      <c r="K263" s="23">
        <f t="shared" si="47"/>
        <v>1</v>
      </c>
      <c r="L263" s="720"/>
      <c r="M263" s="23">
        <f t="shared" si="48"/>
        <v>1</v>
      </c>
      <c r="N263" s="720"/>
      <c r="O263" s="23">
        <f t="shared" si="49"/>
        <v>1</v>
      </c>
      <c r="P263" s="720"/>
      <c r="Q263" s="23">
        <f t="shared" si="50"/>
        <v>1</v>
      </c>
      <c r="R263" s="716">
        <f t="shared" si="51"/>
        <v>0</v>
      </c>
      <c r="S263" s="361">
        <f t="shared" si="52"/>
        <v>0</v>
      </c>
    </row>
    <row r="264" spans="1:19">
      <c r="A264" s="159"/>
      <c r="B264" s="58"/>
      <c r="C264" s="23">
        <f t="shared" si="43"/>
        <v>1</v>
      </c>
      <c r="D264" s="720"/>
      <c r="E264" s="23">
        <f t="shared" si="44"/>
        <v>1</v>
      </c>
      <c r="F264" s="720"/>
      <c r="G264" s="23">
        <f t="shared" si="45"/>
        <v>1</v>
      </c>
      <c r="H264" s="720"/>
      <c r="I264" s="23">
        <f t="shared" si="46"/>
        <v>1</v>
      </c>
      <c r="J264" s="720"/>
      <c r="K264" s="23">
        <f t="shared" si="47"/>
        <v>1</v>
      </c>
      <c r="L264" s="720"/>
      <c r="M264" s="23">
        <f t="shared" si="48"/>
        <v>1</v>
      </c>
      <c r="N264" s="720"/>
      <c r="O264" s="23">
        <f t="shared" si="49"/>
        <v>1</v>
      </c>
      <c r="P264" s="720"/>
      <c r="Q264" s="23">
        <f t="shared" si="50"/>
        <v>1</v>
      </c>
      <c r="R264" s="716">
        <f t="shared" si="51"/>
        <v>0</v>
      </c>
      <c r="S264" s="361">
        <f t="shared" si="52"/>
        <v>0</v>
      </c>
    </row>
    <row r="265" spans="1:19">
      <c r="A265" s="159"/>
      <c r="B265" s="58"/>
      <c r="C265" s="23">
        <f t="shared" si="43"/>
        <v>1</v>
      </c>
      <c r="D265" s="720"/>
      <c r="E265" s="23">
        <f t="shared" si="44"/>
        <v>1</v>
      </c>
      <c r="F265" s="720"/>
      <c r="G265" s="23">
        <f t="shared" si="45"/>
        <v>1</v>
      </c>
      <c r="H265" s="720"/>
      <c r="I265" s="23">
        <f t="shared" si="46"/>
        <v>1</v>
      </c>
      <c r="J265" s="720"/>
      <c r="K265" s="23">
        <f t="shared" si="47"/>
        <v>1</v>
      </c>
      <c r="L265" s="720"/>
      <c r="M265" s="23">
        <f t="shared" si="48"/>
        <v>1</v>
      </c>
      <c r="N265" s="720"/>
      <c r="O265" s="23">
        <f t="shared" si="49"/>
        <v>1</v>
      </c>
      <c r="P265" s="720"/>
      <c r="Q265" s="23">
        <f t="shared" si="50"/>
        <v>1</v>
      </c>
      <c r="R265" s="716">
        <f t="shared" si="51"/>
        <v>0</v>
      </c>
      <c r="S265" s="361">
        <f t="shared" si="52"/>
        <v>0</v>
      </c>
    </row>
    <row r="266" spans="1:19">
      <c r="A266" s="159"/>
      <c r="B266" s="58"/>
      <c r="C266" s="23">
        <f t="shared" si="43"/>
        <v>1</v>
      </c>
      <c r="D266" s="720"/>
      <c r="E266" s="23">
        <f t="shared" si="44"/>
        <v>1</v>
      </c>
      <c r="F266" s="720"/>
      <c r="G266" s="23">
        <f t="shared" si="45"/>
        <v>1</v>
      </c>
      <c r="H266" s="720"/>
      <c r="I266" s="23">
        <f t="shared" si="46"/>
        <v>1</v>
      </c>
      <c r="J266" s="720"/>
      <c r="K266" s="23">
        <f t="shared" si="47"/>
        <v>1</v>
      </c>
      <c r="L266" s="720"/>
      <c r="M266" s="23">
        <f t="shared" si="48"/>
        <v>1</v>
      </c>
      <c r="N266" s="720"/>
      <c r="O266" s="23">
        <f t="shared" si="49"/>
        <v>1</v>
      </c>
      <c r="P266" s="720"/>
      <c r="Q266" s="23">
        <f t="shared" si="50"/>
        <v>1</v>
      </c>
      <c r="R266" s="716">
        <f t="shared" si="51"/>
        <v>0</v>
      </c>
      <c r="S266" s="361">
        <f t="shared" si="52"/>
        <v>0</v>
      </c>
    </row>
    <row r="267" spans="1:19">
      <c r="A267" s="159"/>
      <c r="B267" s="58"/>
      <c r="C267" s="23">
        <f t="shared" si="43"/>
        <v>1</v>
      </c>
      <c r="D267" s="720"/>
      <c r="E267" s="23">
        <f t="shared" si="44"/>
        <v>1</v>
      </c>
      <c r="F267" s="720"/>
      <c r="G267" s="23">
        <f t="shared" si="45"/>
        <v>1</v>
      </c>
      <c r="H267" s="720"/>
      <c r="I267" s="23">
        <f t="shared" si="46"/>
        <v>1</v>
      </c>
      <c r="J267" s="720"/>
      <c r="K267" s="23">
        <f t="shared" si="47"/>
        <v>1</v>
      </c>
      <c r="L267" s="720"/>
      <c r="M267" s="23">
        <f t="shared" si="48"/>
        <v>1</v>
      </c>
      <c r="N267" s="720"/>
      <c r="O267" s="23">
        <f t="shared" si="49"/>
        <v>1</v>
      </c>
      <c r="P267" s="720"/>
      <c r="Q267" s="23">
        <f t="shared" si="50"/>
        <v>1</v>
      </c>
      <c r="R267" s="716">
        <f t="shared" si="51"/>
        <v>0</v>
      </c>
      <c r="S267" s="361">
        <f t="shared" si="52"/>
        <v>0</v>
      </c>
    </row>
    <row r="268" spans="1:19">
      <c r="A268" s="159"/>
      <c r="B268" s="58"/>
      <c r="C268" s="23">
        <f t="shared" si="43"/>
        <v>1</v>
      </c>
      <c r="D268" s="720"/>
      <c r="E268" s="23">
        <f t="shared" si="44"/>
        <v>1</v>
      </c>
      <c r="F268" s="720"/>
      <c r="G268" s="23">
        <f t="shared" si="45"/>
        <v>1</v>
      </c>
      <c r="H268" s="720"/>
      <c r="I268" s="23">
        <f t="shared" si="46"/>
        <v>1</v>
      </c>
      <c r="J268" s="720"/>
      <c r="K268" s="23">
        <f t="shared" si="47"/>
        <v>1</v>
      </c>
      <c r="L268" s="720"/>
      <c r="M268" s="23">
        <f t="shared" si="48"/>
        <v>1</v>
      </c>
      <c r="N268" s="720"/>
      <c r="O268" s="23">
        <f t="shared" si="49"/>
        <v>1</v>
      </c>
      <c r="P268" s="720"/>
      <c r="Q268" s="23">
        <f t="shared" si="50"/>
        <v>1</v>
      </c>
      <c r="R268" s="716">
        <f t="shared" si="51"/>
        <v>0</v>
      </c>
      <c r="S268" s="361">
        <f t="shared" si="52"/>
        <v>0</v>
      </c>
    </row>
    <row r="269" spans="1:19">
      <c r="A269" s="159"/>
      <c r="B269" s="58"/>
      <c r="C269" s="23">
        <f t="shared" si="43"/>
        <v>1</v>
      </c>
      <c r="D269" s="720"/>
      <c r="E269" s="23">
        <f t="shared" si="44"/>
        <v>1</v>
      </c>
      <c r="F269" s="720"/>
      <c r="G269" s="23">
        <f t="shared" si="45"/>
        <v>1</v>
      </c>
      <c r="H269" s="720"/>
      <c r="I269" s="23">
        <f t="shared" si="46"/>
        <v>1</v>
      </c>
      <c r="J269" s="720"/>
      <c r="K269" s="23">
        <f t="shared" si="47"/>
        <v>1</v>
      </c>
      <c r="L269" s="720"/>
      <c r="M269" s="23">
        <f t="shared" si="48"/>
        <v>1</v>
      </c>
      <c r="N269" s="720"/>
      <c r="O269" s="23">
        <f t="shared" si="49"/>
        <v>1</v>
      </c>
      <c r="P269" s="720"/>
      <c r="Q269" s="23">
        <f t="shared" si="50"/>
        <v>1</v>
      </c>
      <c r="R269" s="716">
        <f t="shared" si="51"/>
        <v>0</v>
      </c>
      <c r="S269" s="361">
        <f t="shared" si="52"/>
        <v>0</v>
      </c>
    </row>
    <row r="270" spans="1:19">
      <c r="A270" s="159"/>
      <c r="B270" s="58"/>
      <c r="C270" s="23">
        <f t="shared" si="43"/>
        <v>1</v>
      </c>
      <c r="D270" s="720"/>
      <c r="E270" s="23">
        <f t="shared" si="44"/>
        <v>1</v>
      </c>
      <c r="F270" s="720"/>
      <c r="G270" s="23">
        <f t="shared" si="45"/>
        <v>1</v>
      </c>
      <c r="H270" s="720"/>
      <c r="I270" s="23">
        <f t="shared" si="46"/>
        <v>1</v>
      </c>
      <c r="J270" s="720"/>
      <c r="K270" s="23">
        <f t="shared" si="47"/>
        <v>1</v>
      </c>
      <c r="L270" s="720"/>
      <c r="M270" s="23">
        <f t="shared" si="48"/>
        <v>1</v>
      </c>
      <c r="N270" s="720"/>
      <c r="O270" s="23">
        <f t="shared" si="49"/>
        <v>1</v>
      </c>
      <c r="P270" s="720"/>
      <c r="Q270" s="23">
        <f t="shared" si="50"/>
        <v>1</v>
      </c>
      <c r="R270" s="716">
        <f t="shared" si="51"/>
        <v>0</v>
      </c>
      <c r="S270" s="361">
        <f t="shared" si="52"/>
        <v>0</v>
      </c>
    </row>
    <row r="271" spans="1:19">
      <c r="A271" s="159"/>
      <c r="B271" s="58"/>
      <c r="C271" s="23">
        <f t="shared" si="43"/>
        <v>1</v>
      </c>
      <c r="D271" s="720"/>
      <c r="E271" s="23">
        <f t="shared" si="44"/>
        <v>1</v>
      </c>
      <c r="F271" s="720"/>
      <c r="G271" s="23">
        <f t="shared" si="45"/>
        <v>1</v>
      </c>
      <c r="H271" s="720"/>
      <c r="I271" s="23">
        <f t="shared" si="46"/>
        <v>1</v>
      </c>
      <c r="J271" s="720"/>
      <c r="K271" s="23">
        <f t="shared" si="47"/>
        <v>1</v>
      </c>
      <c r="L271" s="720"/>
      <c r="M271" s="23">
        <f t="shared" si="48"/>
        <v>1</v>
      </c>
      <c r="N271" s="720"/>
      <c r="O271" s="23">
        <f t="shared" si="49"/>
        <v>1</v>
      </c>
      <c r="P271" s="720"/>
      <c r="Q271" s="23">
        <f t="shared" si="50"/>
        <v>1</v>
      </c>
      <c r="R271" s="716">
        <f t="shared" si="51"/>
        <v>0</v>
      </c>
      <c r="S271" s="361">
        <f t="shared" si="52"/>
        <v>0</v>
      </c>
    </row>
    <row r="272" spans="1:19">
      <c r="A272" s="159"/>
      <c r="B272" s="58"/>
      <c r="C272" s="23">
        <f t="shared" si="43"/>
        <v>1</v>
      </c>
      <c r="D272" s="720"/>
      <c r="E272" s="23">
        <f t="shared" si="44"/>
        <v>1</v>
      </c>
      <c r="F272" s="720"/>
      <c r="G272" s="23">
        <f t="shared" si="45"/>
        <v>1</v>
      </c>
      <c r="H272" s="720"/>
      <c r="I272" s="23">
        <f t="shared" si="46"/>
        <v>1</v>
      </c>
      <c r="J272" s="720"/>
      <c r="K272" s="23">
        <f t="shared" si="47"/>
        <v>1</v>
      </c>
      <c r="L272" s="720"/>
      <c r="M272" s="23">
        <f t="shared" si="48"/>
        <v>1</v>
      </c>
      <c r="N272" s="720"/>
      <c r="O272" s="23">
        <f t="shared" si="49"/>
        <v>1</v>
      </c>
      <c r="P272" s="720"/>
      <c r="Q272" s="23">
        <f t="shared" si="50"/>
        <v>1</v>
      </c>
      <c r="R272" s="716">
        <f t="shared" si="51"/>
        <v>0</v>
      </c>
      <c r="S272" s="361">
        <f t="shared" si="52"/>
        <v>0</v>
      </c>
    </row>
    <row r="273" spans="1:19">
      <c r="A273" s="159"/>
      <c r="B273" s="58"/>
      <c r="C273" s="23">
        <f t="shared" si="43"/>
        <v>1</v>
      </c>
      <c r="D273" s="720"/>
      <c r="E273" s="23">
        <f t="shared" si="44"/>
        <v>1</v>
      </c>
      <c r="F273" s="720"/>
      <c r="G273" s="23">
        <f t="shared" si="45"/>
        <v>1</v>
      </c>
      <c r="H273" s="720"/>
      <c r="I273" s="23">
        <f t="shared" si="46"/>
        <v>1</v>
      </c>
      <c r="J273" s="720"/>
      <c r="K273" s="23">
        <f t="shared" si="47"/>
        <v>1</v>
      </c>
      <c r="L273" s="720"/>
      <c r="M273" s="23">
        <f t="shared" si="48"/>
        <v>1</v>
      </c>
      <c r="N273" s="720"/>
      <c r="O273" s="23">
        <f t="shared" si="49"/>
        <v>1</v>
      </c>
      <c r="P273" s="720"/>
      <c r="Q273" s="23">
        <f t="shared" si="50"/>
        <v>1</v>
      </c>
      <c r="R273" s="716">
        <f t="shared" si="51"/>
        <v>0</v>
      </c>
      <c r="S273" s="361">
        <f t="shared" si="52"/>
        <v>0</v>
      </c>
    </row>
    <row r="274" spans="1:19">
      <c r="A274" s="159"/>
      <c r="B274" s="58"/>
      <c r="C274" s="23">
        <f t="shared" si="43"/>
        <v>1</v>
      </c>
      <c r="D274" s="720"/>
      <c r="E274" s="23">
        <f t="shared" si="44"/>
        <v>1</v>
      </c>
      <c r="F274" s="720"/>
      <c r="G274" s="23">
        <f t="shared" si="45"/>
        <v>1</v>
      </c>
      <c r="H274" s="720"/>
      <c r="I274" s="23">
        <f t="shared" si="46"/>
        <v>1</v>
      </c>
      <c r="J274" s="720"/>
      <c r="K274" s="23">
        <f t="shared" si="47"/>
        <v>1</v>
      </c>
      <c r="L274" s="720"/>
      <c r="M274" s="23">
        <f t="shared" si="48"/>
        <v>1</v>
      </c>
      <c r="N274" s="720"/>
      <c r="O274" s="23">
        <f t="shared" si="49"/>
        <v>1</v>
      </c>
      <c r="P274" s="720"/>
      <c r="Q274" s="23">
        <f t="shared" si="50"/>
        <v>1</v>
      </c>
      <c r="R274" s="716">
        <f t="shared" si="51"/>
        <v>0</v>
      </c>
      <c r="S274" s="361">
        <f t="shared" si="52"/>
        <v>0</v>
      </c>
    </row>
    <row r="275" spans="1:19">
      <c r="A275" s="159"/>
      <c r="B275" s="58"/>
      <c r="C275" s="23">
        <f t="shared" si="43"/>
        <v>1</v>
      </c>
      <c r="D275" s="720"/>
      <c r="E275" s="23">
        <f t="shared" si="44"/>
        <v>1</v>
      </c>
      <c r="F275" s="720"/>
      <c r="G275" s="23">
        <f t="shared" si="45"/>
        <v>1</v>
      </c>
      <c r="H275" s="720"/>
      <c r="I275" s="23">
        <f t="shared" si="46"/>
        <v>1</v>
      </c>
      <c r="J275" s="720"/>
      <c r="K275" s="23">
        <f t="shared" si="47"/>
        <v>1</v>
      </c>
      <c r="L275" s="720"/>
      <c r="M275" s="23">
        <f t="shared" si="48"/>
        <v>1</v>
      </c>
      <c r="N275" s="720"/>
      <c r="O275" s="23">
        <f t="shared" si="49"/>
        <v>1</v>
      </c>
      <c r="P275" s="720"/>
      <c r="Q275" s="23">
        <f t="shared" si="50"/>
        <v>1</v>
      </c>
      <c r="R275" s="716">
        <f t="shared" si="51"/>
        <v>0</v>
      </c>
      <c r="S275" s="361">
        <f t="shared" si="52"/>
        <v>0</v>
      </c>
    </row>
    <row r="276" spans="1:19">
      <c r="A276" s="159"/>
      <c r="B276" s="58"/>
      <c r="C276" s="23">
        <f t="shared" si="43"/>
        <v>1</v>
      </c>
      <c r="D276" s="720"/>
      <c r="E276" s="23">
        <f t="shared" si="44"/>
        <v>1</v>
      </c>
      <c r="F276" s="720"/>
      <c r="G276" s="23">
        <f t="shared" si="45"/>
        <v>1</v>
      </c>
      <c r="H276" s="720"/>
      <c r="I276" s="23">
        <f t="shared" si="46"/>
        <v>1</v>
      </c>
      <c r="J276" s="720"/>
      <c r="K276" s="23">
        <f t="shared" si="47"/>
        <v>1</v>
      </c>
      <c r="L276" s="720"/>
      <c r="M276" s="23">
        <f t="shared" si="48"/>
        <v>1</v>
      </c>
      <c r="N276" s="720"/>
      <c r="O276" s="23">
        <f t="shared" si="49"/>
        <v>1</v>
      </c>
      <c r="P276" s="720"/>
      <c r="Q276" s="23">
        <f t="shared" si="50"/>
        <v>1</v>
      </c>
      <c r="R276" s="716">
        <f t="shared" si="51"/>
        <v>0</v>
      </c>
      <c r="S276" s="361">
        <f t="shared" si="52"/>
        <v>0</v>
      </c>
    </row>
    <row r="277" spans="1:19">
      <c r="A277" s="159"/>
      <c r="B277" s="58"/>
      <c r="C277" s="23">
        <f t="shared" si="43"/>
        <v>1</v>
      </c>
      <c r="D277" s="720"/>
      <c r="E277" s="23">
        <f t="shared" si="44"/>
        <v>1</v>
      </c>
      <c r="F277" s="720"/>
      <c r="G277" s="23">
        <f t="shared" si="45"/>
        <v>1</v>
      </c>
      <c r="H277" s="720"/>
      <c r="I277" s="23">
        <f t="shared" si="46"/>
        <v>1</v>
      </c>
      <c r="J277" s="720"/>
      <c r="K277" s="23">
        <f t="shared" si="47"/>
        <v>1</v>
      </c>
      <c r="L277" s="720"/>
      <c r="M277" s="23">
        <f t="shared" si="48"/>
        <v>1</v>
      </c>
      <c r="N277" s="720"/>
      <c r="O277" s="23">
        <f t="shared" si="49"/>
        <v>1</v>
      </c>
      <c r="P277" s="720"/>
      <c r="Q277" s="23">
        <f t="shared" si="50"/>
        <v>1</v>
      </c>
      <c r="R277" s="716">
        <f t="shared" si="51"/>
        <v>0</v>
      </c>
      <c r="S277" s="361">
        <f t="shared" si="52"/>
        <v>0</v>
      </c>
    </row>
    <row r="278" spans="1:19">
      <c r="A278" s="159"/>
      <c r="B278" s="58"/>
      <c r="C278" s="23">
        <f t="shared" si="43"/>
        <v>1</v>
      </c>
      <c r="D278" s="720"/>
      <c r="E278" s="23">
        <f t="shared" si="44"/>
        <v>1</v>
      </c>
      <c r="F278" s="720"/>
      <c r="G278" s="23">
        <f t="shared" si="45"/>
        <v>1</v>
      </c>
      <c r="H278" s="720"/>
      <c r="I278" s="23">
        <f t="shared" si="46"/>
        <v>1</v>
      </c>
      <c r="J278" s="720"/>
      <c r="K278" s="23">
        <f t="shared" si="47"/>
        <v>1</v>
      </c>
      <c r="L278" s="720"/>
      <c r="M278" s="23">
        <f t="shared" si="48"/>
        <v>1</v>
      </c>
      <c r="N278" s="720"/>
      <c r="O278" s="23">
        <f t="shared" si="49"/>
        <v>1</v>
      </c>
      <c r="P278" s="720"/>
      <c r="Q278" s="23">
        <f t="shared" si="50"/>
        <v>1</v>
      </c>
      <c r="R278" s="716">
        <f t="shared" si="51"/>
        <v>0</v>
      </c>
      <c r="S278" s="361">
        <f t="shared" si="52"/>
        <v>0</v>
      </c>
    </row>
    <row r="279" spans="1:19">
      <c r="A279" s="159"/>
      <c r="B279" s="58"/>
      <c r="C279" s="23">
        <f t="shared" si="43"/>
        <v>1</v>
      </c>
      <c r="D279" s="720"/>
      <c r="E279" s="23">
        <f t="shared" si="44"/>
        <v>1</v>
      </c>
      <c r="F279" s="720"/>
      <c r="G279" s="23">
        <f t="shared" si="45"/>
        <v>1</v>
      </c>
      <c r="H279" s="720"/>
      <c r="I279" s="23">
        <f t="shared" si="46"/>
        <v>1</v>
      </c>
      <c r="J279" s="720"/>
      <c r="K279" s="23">
        <f t="shared" si="47"/>
        <v>1</v>
      </c>
      <c r="L279" s="720"/>
      <c r="M279" s="23">
        <f t="shared" si="48"/>
        <v>1</v>
      </c>
      <c r="N279" s="720"/>
      <c r="O279" s="23">
        <f t="shared" si="49"/>
        <v>1</v>
      </c>
      <c r="P279" s="720"/>
      <c r="Q279" s="23">
        <f t="shared" si="50"/>
        <v>1</v>
      </c>
      <c r="R279" s="716">
        <f t="shared" si="51"/>
        <v>0</v>
      </c>
      <c r="S279" s="361">
        <f t="shared" si="52"/>
        <v>0</v>
      </c>
    </row>
    <row r="280" spans="1:19">
      <c r="A280" s="159"/>
      <c r="B280" s="58"/>
      <c r="C280" s="23">
        <f t="shared" si="43"/>
        <v>1</v>
      </c>
      <c r="D280" s="720"/>
      <c r="E280" s="23">
        <f t="shared" si="44"/>
        <v>1</v>
      </c>
      <c r="F280" s="720"/>
      <c r="G280" s="23">
        <f t="shared" si="45"/>
        <v>1</v>
      </c>
      <c r="H280" s="720"/>
      <c r="I280" s="23">
        <f t="shared" si="46"/>
        <v>1</v>
      </c>
      <c r="J280" s="720"/>
      <c r="K280" s="23">
        <f t="shared" si="47"/>
        <v>1</v>
      </c>
      <c r="L280" s="720"/>
      <c r="M280" s="23">
        <f t="shared" si="48"/>
        <v>1</v>
      </c>
      <c r="N280" s="720"/>
      <c r="O280" s="23">
        <f t="shared" si="49"/>
        <v>1</v>
      </c>
      <c r="P280" s="720"/>
      <c r="Q280" s="23">
        <f t="shared" si="50"/>
        <v>1</v>
      </c>
      <c r="R280" s="716">
        <f t="shared" si="51"/>
        <v>0</v>
      </c>
      <c r="S280" s="361">
        <f t="shared" si="52"/>
        <v>0</v>
      </c>
    </row>
    <row r="281" spans="1:19">
      <c r="A281" s="159"/>
      <c r="B281" s="58"/>
      <c r="C281" s="23">
        <f t="shared" si="43"/>
        <v>1</v>
      </c>
      <c r="D281" s="720"/>
      <c r="E281" s="23">
        <f t="shared" si="44"/>
        <v>1</v>
      </c>
      <c r="F281" s="720"/>
      <c r="G281" s="23">
        <f t="shared" si="45"/>
        <v>1</v>
      </c>
      <c r="H281" s="720"/>
      <c r="I281" s="23">
        <f t="shared" si="46"/>
        <v>1</v>
      </c>
      <c r="J281" s="720"/>
      <c r="K281" s="23">
        <f t="shared" si="47"/>
        <v>1</v>
      </c>
      <c r="L281" s="720"/>
      <c r="M281" s="23">
        <f t="shared" si="48"/>
        <v>1</v>
      </c>
      <c r="N281" s="720"/>
      <c r="O281" s="23">
        <f t="shared" si="49"/>
        <v>1</v>
      </c>
      <c r="P281" s="720"/>
      <c r="Q281" s="23">
        <f t="shared" si="50"/>
        <v>1</v>
      </c>
      <c r="R281" s="716">
        <f t="shared" si="51"/>
        <v>0</v>
      </c>
      <c r="S281" s="361">
        <f t="shared" si="52"/>
        <v>0</v>
      </c>
    </row>
    <row r="282" spans="1:19">
      <c r="A282" s="159"/>
      <c r="B282" s="58"/>
      <c r="C282" s="23">
        <f t="shared" ref="C282:C345" si="53">IF(B282="",1,(LOOKUP(B282,$3:$3,$4:$4)-LOOKUP($B$24,$3:$3,$4:$4)+100)/100)</f>
        <v>1</v>
      </c>
      <c r="D282" s="720"/>
      <c r="E282" s="23">
        <f t="shared" ref="E282:E345" si="54">(SUMIF($5:$5,D282,$6:$6)-SUMIF($5:$5,$D$24,$6:$6)+100)/100</f>
        <v>1</v>
      </c>
      <c r="F282" s="720"/>
      <c r="G282" s="23">
        <f t="shared" ref="G282:G345" si="55">(SUMIF($7:$7,F282,$8:$8)-SUMIF($7:$7,$F$24,$8:$8)+100)/100</f>
        <v>1</v>
      </c>
      <c r="H282" s="720"/>
      <c r="I282" s="23">
        <f t="shared" ref="I282:I345" si="56">(SUMIF($9:$9,H282,$10:$10)-SUMIF($9:$9,$H$24,$10:$10)+100)/100</f>
        <v>1</v>
      </c>
      <c r="J282" s="720"/>
      <c r="K282" s="23">
        <f t="shared" ref="K282:K345" si="57">(SUMIF($11:$11,J282,$12:$12)-SUMIF($11:$11,$J$24,$12:$12)+100)/100</f>
        <v>1</v>
      </c>
      <c r="L282" s="720"/>
      <c r="M282" s="23">
        <f t="shared" ref="M282:M345" si="58">(SUMIF($13:$13,L282,$14:$14)-SUMIF($13:$13,$L$24,$14:$14)+100)/100</f>
        <v>1</v>
      </c>
      <c r="N282" s="720"/>
      <c r="O282" s="23">
        <f t="shared" ref="O282:O345" si="59">(SUMIF($15:$15,N282,$16:$16)-SUMIF($15:$15,$N$24,$16:$16)+100)/100</f>
        <v>1</v>
      </c>
      <c r="P282" s="720"/>
      <c r="Q282" s="23">
        <f t="shared" ref="Q282:Q345" si="60">(SUMIF($17:$17,P282,$18:$18)-SUMIF($17:$17,$P$24,$18:$18)+100)/100</f>
        <v>1</v>
      </c>
      <c r="R282" s="716">
        <f t="shared" ref="R282:R345" si="61">IF(B282="",0,ROUND($R$24*C282*E282*G282*I282*K282*M282*O282*Q282,0))</f>
        <v>0</v>
      </c>
      <c r="S282" s="361">
        <f t="shared" si="52"/>
        <v>0</v>
      </c>
    </row>
    <row r="283" spans="1:19">
      <c r="A283" s="159"/>
      <c r="B283" s="58"/>
      <c r="C283" s="23">
        <f t="shared" si="53"/>
        <v>1</v>
      </c>
      <c r="D283" s="720"/>
      <c r="E283" s="23">
        <f t="shared" si="54"/>
        <v>1</v>
      </c>
      <c r="F283" s="720"/>
      <c r="G283" s="23">
        <f t="shared" si="55"/>
        <v>1</v>
      </c>
      <c r="H283" s="720"/>
      <c r="I283" s="23">
        <f t="shared" si="56"/>
        <v>1</v>
      </c>
      <c r="J283" s="720"/>
      <c r="K283" s="23">
        <f t="shared" si="57"/>
        <v>1</v>
      </c>
      <c r="L283" s="720"/>
      <c r="M283" s="23">
        <f t="shared" si="58"/>
        <v>1</v>
      </c>
      <c r="N283" s="720"/>
      <c r="O283" s="23">
        <f t="shared" si="59"/>
        <v>1</v>
      </c>
      <c r="P283" s="720"/>
      <c r="Q283" s="23">
        <f t="shared" si="60"/>
        <v>1</v>
      </c>
      <c r="R283" s="716">
        <f t="shared" si="61"/>
        <v>0</v>
      </c>
      <c r="S283" s="361">
        <f t="shared" si="52"/>
        <v>0</v>
      </c>
    </row>
    <row r="284" spans="1:19">
      <c r="A284" s="159"/>
      <c r="B284" s="58"/>
      <c r="C284" s="23">
        <f t="shared" si="53"/>
        <v>1</v>
      </c>
      <c r="D284" s="720"/>
      <c r="E284" s="23">
        <f t="shared" si="54"/>
        <v>1</v>
      </c>
      <c r="F284" s="720"/>
      <c r="G284" s="23">
        <f t="shared" si="55"/>
        <v>1</v>
      </c>
      <c r="H284" s="720"/>
      <c r="I284" s="23">
        <f t="shared" si="56"/>
        <v>1</v>
      </c>
      <c r="J284" s="720"/>
      <c r="K284" s="23">
        <f t="shared" si="57"/>
        <v>1</v>
      </c>
      <c r="L284" s="720"/>
      <c r="M284" s="23">
        <f t="shared" si="58"/>
        <v>1</v>
      </c>
      <c r="N284" s="720"/>
      <c r="O284" s="23">
        <f t="shared" si="59"/>
        <v>1</v>
      </c>
      <c r="P284" s="720"/>
      <c r="Q284" s="23">
        <f t="shared" si="60"/>
        <v>1</v>
      </c>
      <c r="R284" s="716">
        <f t="shared" si="61"/>
        <v>0</v>
      </c>
      <c r="S284" s="361">
        <f t="shared" si="52"/>
        <v>0</v>
      </c>
    </row>
    <row r="285" spans="1:19">
      <c r="A285" s="159"/>
      <c r="B285" s="58"/>
      <c r="C285" s="23">
        <f t="shared" si="53"/>
        <v>1</v>
      </c>
      <c r="D285" s="720"/>
      <c r="E285" s="23">
        <f t="shared" si="54"/>
        <v>1</v>
      </c>
      <c r="F285" s="720"/>
      <c r="G285" s="23">
        <f t="shared" si="55"/>
        <v>1</v>
      </c>
      <c r="H285" s="720"/>
      <c r="I285" s="23">
        <f t="shared" si="56"/>
        <v>1</v>
      </c>
      <c r="J285" s="720"/>
      <c r="K285" s="23">
        <f t="shared" si="57"/>
        <v>1</v>
      </c>
      <c r="L285" s="720"/>
      <c r="M285" s="23">
        <f t="shared" si="58"/>
        <v>1</v>
      </c>
      <c r="N285" s="720"/>
      <c r="O285" s="23">
        <f t="shared" si="59"/>
        <v>1</v>
      </c>
      <c r="P285" s="720"/>
      <c r="Q285" s="23">
        <f t="shared" si="60"/>
        <v>1</v>
      </c>
      <c r="R285" s="716">
        <f t="shared" si="61"/>
        <v>0</v>
      </c>
      <c r="S285" s="361">
        <f t="shared" si="52"/>
        <v>0</v>
      </c>
    </row>
    <row r="286" spans="1:19">
      <c r="A286" s="159"/>
      <c r="B286" s="58"/>
      <c r="C286" s="23">
        <f t="shared" si="53"/>
        <v>1</v>
      </c>
      <c r="D286" s="720"/>
      <c r="E286" s="23">
        <f t="shared" si="54"/>
        <v>1</v>
      </c>
      <c r="F286" s="720"/>
      <c r="G286" s="23">
        <f t="shared" si="55"/>
        <v>1</v>
      </c>
      <c r="H286" s="720"/>
      <c r="I286" s="23">
        <f t="shared" si="56"/>
        <v>1</v>
      </c>
      <c r="J286" s="720"/>
      <c r="K286" s="23">
        <f t="shared" si="57"/>
        <v>1</v>
      </c>
      <c r="L286" s="720"/>
      <c r="M286" s="23">
        <f t="shared" si="58"/>
        <v>1</v>
      </c>
      <c r="N286" s="720"/>
      <c r="O286" s="23">
        <f t="shared" si="59"/>
        <v>1</v>
      </c>
      <c r="P286" s="720"/>
      <c r="Q286" s="23">
        <f t="shared" si="60"/>
        <v>1</v>
      </c>
      <c r="R286" s="716">
        <f t="shared" si="61"/>
        <v>0</v>
      </c>
      <c r="S286" s="361">
        <f t="shared" si="52"/>
        <v>0</v>
      </c>
    </row>
    <row r="287" spans="1:19">
      <c r="A287" s="159"/>
      <c r="B287" s="58"/>
      <c r="C287" s="23">
        <f t="shared" si="53"/>
        <v>1</v>
      </c>
      <c r="D287" s="720"/>
      <c r="E287" s="23">
        <f t="shared" si="54"/>
        <v>1</v>
      </c>
      <c r="F287" s="720"/>
      <c r="G287" s="23">
        <f t="shared" si="55"/>
        <v>1</v>
      </c>
      <c r="H287" s="720"/>
      <c r="I287" s="23">
        <f t="shared" si="56"/>
        <v>1</v>
      </c>
      <c r="J287" s="720"/>
      <c r="K287" s="23">
        <f t="shared" si="57"/>
        <v>1</v>
      </c>
      <c r="L287" s="720"/>
      <c r="M287" s="23">
        <f t="shared" si="58"/>
        <v>1</v>
      </c>
      <c r="N287" s="720"/>
      <c r="O287" s="23">
        <f t="shared" si="59"/>
        <v>1</v>
      </c>
      <c r="P287" s="720"/>
      <c r="Q287" s="23">
        <f t="shared" si="60"/>
        <v>1</v>
      </c>
      <c r="R287" s="716">
        <f t="shared" si="61"/>
        <v>0</v>
      </c>
      <c r="S287" s="361">
        <f t="shared" ref="S287:S320" si="62">ROUND(R287*B287/10000,0)</f>
        <v>0</v>
      </c>
    </row>
    <row r="288" spans="1:19">
      <c r="A288" s="159"/>
      <c r="B288" s="58"/>
      <c r="C288" s="23">
        <f t="shared" si="53"/>
        <v>1</v>
      </c>
      <c r="D288" s="720"/>
      <c r="E288" s="23">
        <f t="shared" si="54"/>
        <v>1</v>
      </c>
      <c r="F288" s="720"/>
      <c r="G288" s="23">
        <f t="shared" si="55"/>
        <v>1</v>
      </c>
      <c r="H288" s="720"/>
      <c r="I288" s="23">
        <f t="shared" si="56"/>
        <v>1</v>
      </c>
      <c r="J288" s="720"/>
      <c r="K288" s="23">
        <f t="shared" si="57"/>
        <v>1</v>
      </c>
      <c r="L288" s="720"/>
      <c r="M288" s="23">
        <f t="shared" si="58"/>
        <v>1</v>
      </c>
      <c r="N288" s="720"/>
      <c r="O288" s="23">
        <f t="shared" si="59"/>
        <v>1</v>
      </c>
      <c r="P288" s="720"/>
      <c r="Q288" s="23">
        <f t="shared" si="60"/>
        <v>1</v>
      </c>
      <c r="R288" s="716">
        <f t="shared" si="61"/>
        <v>0</v>
      </c>
      <c r="S288" s="361">
        <f t="shared" si="62"/>
        <v>0</v>
      </c>
    </row>
    <row r="289" spans="1:19">
      <c r="A289" s="159"/>
      <c r="B289" s="58"/>
      <c r="C289" s="23">
        <f t="shared" si="53"/>
        <v>1</v>
      </c>
      <c r="D289" s="720"/>
      <c r="E289" s="23">
        <f t="shared" si="54"/>
        <v>1</v>
      </c>
      <c r="F289" s="720"/>
      <c r="G289" s="23">
        <f t="shared" si="55"/>
        <v>1</v>
      </c>
      <c r="H289" s="720"/>
      <c r="I289" s="23">
        <f t="shared" si="56"/>
        <v>1</v>
      </c>
      <c r="J289" s="720"/>
      <c r="K289" s="23">
        <f t="shared" si="57"/>
        <v>1</v>
      </c>
      <c r="L289" s="720"/>
      <c r="M289" s="23">
        <f t="shared" si="58"/>
        <v>1</v>
      </c>
      <c r="N289" s="720"/>
      <c r="O289" s="23">
        <f t="shared" si="59"/>
        <v>1</v>
      </c>
      <c r="P289" s="720"/>
      <c r="Q289" s="23">
        <f t="shared" si="60"/>
        <v>1</v>
      </c>
      <c r="R289" s="716">
        <f t="shared" si="61"/>
        <v>0</v>
      </c>
      <c r="S289" s="361">
        <f t="shared" si="62"/>
        <v>0</v>
      </c>
    </row>
    <row r="290" spans="1:19">
      <c r="A290" s="159"/>
      <c r="B290" s="58"/>
      <c r="C290" s="23">
        <f t="shared" si="53"/>
        <v>1</v>
      </c>
      <c r="D290" s="720"/>
      <c r="E290" s="23">
        <f t="shared" si="54"/>
        <v>1</v>
      </c>
      <c r="F290" s="720"/>
      <c r="G290" s="23">
        <f t="shared" si="55"/>
        <v>1</v>
      </c>
      <c r="H290" s="720"/>
      <c r="I290" s="23">
        <f t="shared" si="56"/>
        <v>1</v>
      </c>
      <c r="J290" s="720"/>
      <c r="K290" s="23">
        <f t="shared" si="57"/>
        <v>1</v>
      </c>
      <c r="L290" s="720"/>
      <c r="M290" s="23">
        <f t="shared" si="58"/>
        <v>1</v>
      </c>
      <c r="N290" s="720"/>
      <c r="O290" s="23">
        <f t="shared" si="59"/>
        <v>1</v>
      </c>
      <c r="P290" s="720"/>
      <c r="Q290" s="23">
        <f t="shared" si="60"/>
        <v>1</v>
      </c>
      <c r="R290" s="716">
        <f t="shared" si="61"/>
        <v>0</v>
      </c>
      <c r="S290" s="361">
        <f t="shared" si="62"/>
        <v>0</v>
      </c>
    </row>
    <row r="291" spans="1:19">
      <c r="A291" s="159"/>
      <c r="B291" s="58"/>
      <c r="C291" s="23">
        <f t="shared" si="53"/>
        <v>1</v>
      </c>
      <c r="D291" s="720"/>
      <c r="E291" s="23">
        <f t="shared" si="54"/>
        <v>1</v>
      </c>
      <c r="F291" s="720"/>
      <c r="G291" s="23">
        <f t="shared" si="55"/>
        <v>1</v>
      </c>
      <c r="H291" s="720"/>
      <c r="I291" s="23">
        <f t="shared" si="56"/>
        <v>1</v>
      </c>
      <c r="J291" s="720"/>
      <c r="K291" s="23">
        <f t="shared" si="57"/>
        <v>1</v>
      </c>
      <c r="L291" s="720"/>
      <c r="M291" s="23">
        <f t="shared" si="58"/>
        <v>1</v>
      </c>
      <c r="N291" s="720"/>
      <c r="O291" s="23">
        <f t="shared" si="59"/>
        <v>1</v>
      </c>
      <c r="P291" s="720"/>
      <c r="Q291" s="23">
        <f t="shared" si="60"/>
        <v>1</v>
      </c>
      <c r="R291" s="716">
        <f t="shared" si="61"/>
        <v>0</v>
      </c>
      <c r="S291" s="361">
        <f t="shared" si="62"/>
        <v>0</v>
      </c>
    </row>
    <row r="292" spans="1:19">
      <c r="A292" s="159"/>
      <c r="B292" s="58"/>
      <c r="C292" s="23">
        <f t="shared" si="53"/>
        <v>1</v>
      </c>
      <c r="D292" s="720"/>
      <c r="E292" s="23">
        <f t="shared" si="54"/>
        <v>1</v>
      </c>
      <c r="F292" s="720"/>
      <c r="G292" s="23">
        <f t="shared" si="55"/>
        <v>1</v>
      </c>
      <c r="H292" s="720"/>
      <c r="I292" s="23">
        <f t="shared" si="56"/>
        <v>1</v>
      </c>
      <c r="J292" s="720"/>
      <c r="K292" s="23">
        <f t="shared" si="57"/>
        <v>1</v>
      </c>
      <c r="L292" s="720"/>
      <c r="M292" s="23">
        <f t="shared" si="58"/>
        <v>1</v>
      </c>
      <c r="N292" s="720"/>
      <c r="O292" s="23">
        <f t="shared" si="59"/>
        <v>1</v>
      </c>
      <c r="P292" s="720"/>
      <c r="Q292" s="23">
        <f t="shared" si="60"/>
        <v>1</v>
      </c>
      <c r="R292" s="716">
        <f t="shared" si="61"/>
        <v>0</v>
      </c>
      <c r="S292" s="361">
        <f t="shared" si="62"/>
        <v>0</v>
      </c>
    </row>
    <row r="293" spans="1:19">
      <c r="A293" s="159"/>
      <c r="B293" s="58"/>
      <c r="C293" s="23">
        <f t="shared" si="53"/>
        <v>1</v>
      </c>
      <c r="D293" s="720"/>
      <c r="E293" s="23">
        <f t="shared" si="54"/>
        <v>1</v>
      </c>
      <c r="F293" s="720"/>
      <c r="G293" s="23">
        <f t="shared" si="55"/>
        <v>1</v>
      </c>
      <c r="H293" s="720"/>
      <c r="I293" s="23">
        <f t="shared" si="56"/>
        <v>1</v>
      </c>
      <c r="J293" s="720"/>
      <c r="K293" s="23">
        <f t="shared" si="57"/>
        <v>1</v>
      </c>
      <c r="L293" s="720"/>
      <c r="M293" s="23">
        <f t="shared" si="58"/>
        <v>1</v>
      </c>
      <c r="N293" s="720"/>
      <c r="O293" s="23">
        <f t="shared" si="59"/>
        <v>1</v>
      </c>
      <c r="P293" s="720"/>
      <c r="Q293" s="23">
        <f t="shared" si="60"/>
        <v>1</v>
      </c>
      <c r="R293" s="716">
        <f t="shared" si="61"/>
        <v>0</v>
      </c>
      <c r="S293" s="361">
        <f t="shared" si="62"/>
        <v>0</v>
      </c>
    </row>
    <row r="294" spans="1:19">
      <c r="A294" s="159"/>
      <c r="B294" s="58"/>
      <c r="C294" s="23">
        <f t="shared" si="53"/>
        <v>1</v>
      </c>
      <c r="D294" s="720"/>
      <c r="E294" s="23">
        <f t="shared" si="54"/>
        <v>1</v>
      </c>
      <c r="F294" s="720"/>
      <c r="G294" s="23">
        <f t="shared" si="55"/>
        <v>1</v>
      </c>
      <c r="H294" s="720"/>
      <c r="I294" s="23">
        <f t="shared" si="56"/>
        <v>1</v>
      </c>
      <c r="J294" s="720"/>
      <c r="K294" s="23">
        <f t="shared" si="57"/>
        <v>1</v>
      </c>
      <c r="L294" s="720"/>
      <c r="M294" s="23">
        <f t="shared" si="58"/>
        <v>1</v>
      </c>
      <c r="N294" s="720"/>
      <c r="O294" s="23">
        <f t="shared" si="59"/>
        <v>1</v>
      </c>
      <c r="P294" s="720"/>
      <c r="Q294" s="23">
        <f t="shared" si="60"/>
        <v>1</v>
      </c>
      <c r="R294" s="716">
        <f t="shared" si="61"/>
        <v>0</v>
      </c>
      <c r="S294" s="361">
        <f t="shared" si="62"/>
        <v>0</v>
      </c>
    </row>
    <row r="295" spans="1:19">
      <c r="A295" s="159"/>
      <c r="B295" s="58"/>
      <c r="C295" s="23">
        <f t="shared" si="53"/>
        <v>1</v>
      </c>
      <c r="D295" s="720"/>
      <c r="E295" s="23">
        <f t="shared" si="54"/>
        <v>1</v>
      </c>
      <c r="F295" s="720"/>
      <c r="G295" s="23">
        <f t="shared" si="55"/>
        <v>1</v>
      </c>
      <c r="H295" s="720"/>
      <c r="I295" s="23">
        <f t="shared" si="56"/>
        <v>1</v>
      </c>
      <c r="J295" s="720"/>
      <c r="K295" s="23">
        <f t="shared" si="57"/>
        <v>1</v>
      </c>
      <c r="L295" s="720"/>
      <c r="M295" s="23">
        <f t="shared" si="58"/>
        <v>1</v>
      </c>
      <c r="N295" s="720"/>
      <c r="O295" s="23">
        <f t="shared" si="59"/>
        <v>1</v>
      </c>
      <c r="P295" s="720"/>
      <c r="Q295" s="23">
        <f t="shared" si="60"/>
        <v>1</v>
      </c>
      <c r="R295" s="716">
        <f t="shared" si="61"/>
        <v>0</v>
      </c>
      <c r="S295" s="361">
        <f t="shared" si="62"/>
        <v>0</v>
      </c>
    </row>
    <row r="296" spans="1:19">
      <c r="A296" s="159"/>
      <c r="B296" s="58"/>
      <c r="C296" s="23">
        <f t="shared" si="53"/>
        <v>1</v>
      </c>
      <c r="D296" s="720"/>
      <c r="E296" s="23">
        <f t="shared" si="54"/>
        <v>1</v>
      </c>
      <c r="F296" s="720"/>
      <c r="G296" s="23">
        <f t="shared" si="55"/>
        <v>1</v>
      </c>
      <c r="H296" s="720"/>
      <c r="I296" s="23">
        <f t="shared" si="56"/>
        <v>1</v>
      </c>
      <c r="J296" s="720"/>
      <c r="K296" s="23">
        <f t="shared" si="57"/>
        <v>1</v>
      </c>
      <c r="L296" s="720"/>
      <c r="M296" s="23">
        <f t="shared" si="58"/>
        <v>1</v>
      </c>
      <c r="N296" s="720"/>
      <c r="O296" s="23">
        <f t="shared" si="59"/>
        <v>1</v>
      </c>
      <c r="P296" s="720"/>
      <c r="Q296" s="23">
        <f t="shared" si="60"/>
        <v>1</v>
      </c>
      <c r="R296" s="716">
        <f t="shared" si="61"/>
        <v>0</v>
      </c>
      <c r="S296" s="361">
        <f t="shared" si="62"/>
        <v>0</v>
      </c>
    </row>
    <row r="297" spans="1:19">
      <c r="A297" s="159"/>
      <c r="B297" s="58"/>
      <c r="C297" s="23">
        <f t="shared" si="53"/>
        <v>1</v>
      </c>
      <c r="D297" s="720"/>
      <c r="E297" s="23">
        <f t="shared" si="54"/>
        <v>1</v>
      </c>
      <c r="F297" s="720"/>
      <c r="G297" s="23">
        <f t="shared" si="55"/>
        <v>1</v>
      </c>
      <c r="H297" s="720"/>
      <c r="I297" s="23">
        <f t="shared" si="56"/>
        <v>1</v>
      </c>
      <c r="J297" s="720"/>
      <c r="K297" s="23">
        <f t="shared" si="57"/>
        <v>1</v>
      </c>
      <c r="L297" s="720"/>
      <c r="M297" s="23">
        <f t="shared" si="58"/>
        <v>1</v>
      </c>
      <c r="N297" s="720"/>
      <c r="O297" s="23">
        <f t="shared" si="59"/>
        <v>1</v>
      </c>
      <c r="P297" s="720"/>
      <c r="Q297" s="23">
        <f t="shared" si="60"/>
        <v>1</v>
      </c>
      <c r="R297" s="716">
        <f t="shared" si="61"/>
        <v>0</v>
      </c>
      <c r="S297" s="361">
        <f t="shared" si="62"/>
        <v>0</v>
      </c>
    </row>
    <row r="298" spans="1:19">
      <c r="A298" s="159"/>
      <c r="B298" s="58"/>
      <c r="C298" s="23">
        <f t="shared" si="53"/>
        <v>1</v>
      </c>
      <c r="D298" s="720"/>
      <c r="E298" s="23">
        <f t="shared" si="54"/>
        <v>1</v>
      </c>
      <c r="F298" s="720"/>
      <c r="G298" s="23">
        <f t="shared" si="55"/>
        <v>1</v>
      </c>
      <c r="H298" s="720"/>
      <c r="I298" s="23">
        <f t="shared" si="56"/>
        <v>1</v>
      </c>
      <c r="J298" s="720"/>
      <c r="K298" s="23">
        <f t="shared" si="57"/>
        <v>1</v>
      </c>
      <c r="L298" s="720"/>
      <c r="M298" s="23">
        <f t="shared" si="58"/>
        <v>1</v>
      </c>
      <c r="N298" s="720"/>
      <c r="O298" s="23">
        <f t="shared" si="59"/>
        <v>1</v>
      </c>
      <c r="P298" s="720"/>
      <c r="Q298" s="23">
        <f t="shared" si="60"/>
        <v>1</v>
      </c>
      <c r="R298" s="716">
        <f t="shared" si="61"/>
        <v>0</v>
      </c>
      <c r="S298" s="361">
        <f t="shared" si="62"/>
        <v>0</v>
      </c>
    </row>
    <row r="299" spans="1:19">
      <c r="A299" s="159"/>
      <c r="B299" s="58"/>
      <c r="C299" s="23">
        <f t="shared" si="53"/>
        <v>1</v>
      </c>
      <c r="D299" s="720"/>
      <c r="E299" s="23">
        <f t="shared" si="54"/>
        <v>1</v>
      </c>
      <c r="F299" s="720"/>
      <c r="G299" s="23">
        <f t="shared" si="55"/>
        <v>1</v>
      </c>
      <c r="H299" s="720"/>
      <c r="I299" s="23">
        <f t="shared" si="56"/>
        <v>1</v>
      </c>
      <c r="J299" s="720"/>
      <c r="K299" s="23">
        <f t="shared" si="57"/>
        <v>1</v>
      </c>
      <c r="L299" s="720"/>
      <c r="M299" s="23">
        <f t="shared" si="58"/>
        <v>1</v>
      </c>
      <c r="N299" s="720"/>
      <c r="O299" s="23">
        <f t="shared" si="59"/>
        <v>1</v>
      </c>
      <c r="P299" s="720"/>
      <c r="Q299" s="23">
        <f t="shared" si="60"/>
        <v>1</v>
      </c>
      <c r="R299" s="716">
        <f t="shared" si="61"/>
        <v>0</v>
      </c>
      <c r="S299" s="361">
        <f t="shared" si="62"/>
        <v>0</v>
      </c>
    </row>
    <row r="300" spans="1:19">
      <c r="A300" s="159"/>
      <c r="B300" s="58"/>
      <c r="C300" s="23">
        <f t="shared" si="53"/>
        <v>1</v>
      </c>
      <c r="D300" s="720"/>
      <c r="E300" s="23">
        <f t="shared" si="54"/>
        <v>1</v>
      </c>
      <c r="F300" s="720"/>
      <c r="G300" s="23">
        <f t="shared" si="55"/>
        <v>1</v>
      </c>
      <c r="H300" s="720"/>
      <c r="I300" s="23">
        <f t="shared" si="56"/>
        <v>1</v>
      </c>
      <c r="J300" s="720"/>
      <c r="K300" s="23">
        <f t="shared" si="57"/>
        <v>1</v>
      </c>
      <c r="L300" s="720"/>
      <c r="M300" s="23">
        <f t="shared" si="58"/>
        <v>1</v>
      </c>
      <c r="N300" s="720"/>
      <c r="O300" s="23">
        <f t="shared" si="59"/>
        <v>1</v>
      </c>
      <c r="P300" s="720"/>
      <c r="Q300" s="23">
        <f t="shared" si="60"/>
        <v>1</v>
      </c>
      <c r="R300" s="716">
        <f t="shared" si="61"/>
        <v>0</v>
      </c>
      <c r="S300" s="361">
        <f t="shared" si="62"/>
        <v>0</v>
      </c>
    </row>
    <row r="301" spans="1:19">
      <c r="A301" s="159"/>
      <c r="B301" s="58"/>
      <c r="C301" s="23">
        <f t="shared" si="53"/>
        <v>1</v>
      </c>
      <c r="D301" s="720"/>
      <c r="E301" s="23">
        <f t="shared" si="54"/>
        <v>1</v>
      </c>
      <c r="F301" s="720"/>
      <c r="G301" s="23">
        <f t="shared" si="55"/>
        <v>1</v>
      </c>
      <c r="H301" s="720"/>
      <c r="I301" s="23">
        <f t="shared" si="56"/>
        <v>1</v>
      </c>
      <c r="J301" s="720"/>
      <c r="K301" s="23">
        <f t="shared" si="57"/>
        <v>1</v>
      </c>
      <c r="L301" s="720"/>
      <c r="M301" s="23">
        <f t="shared" si="58"/>
        <v>1</v>
      </c>
      <c r="N301" s="720"/>
      <c r="O301" s="23">
        <f t="shared" si="59"/>
        <v>1</v>
      </c>
      <c r="P301" s="720"/>
      <c r="Q301" s="23">
        <f t="shared" si="60"/>
        <v>1</v>
      </c>
      <c r="R301" s="716">
        <f t="shared" si="61"/>
        <v>0</v>
      </c>
      <c r="S301" s="361">
        <f t="shared" si="62"/>
        <v>0</v>
      </c>
    </row>
    <row r="302" spans="1:19">
      <c r="A302" s="159"/>
      <c r="B302" s="58"/>
      <c r="C302" s="23">
        <f t="shared" si="53"/>
        <v>1</v>
      </c>
      <c r="D302" s="720"/>
      <c r="E302" s="23">
        <f t="shared" si="54"/>
        <v>1</v>
      </c>
      <c r="F302" s="720"/>
      <c r="G302" s="23">
        <f t="shared" si="55"/>
        <v>1</v>
      </c>
      <c r="H302" s="720"/>
      <c r="I302" s="23">
        <f t="shared" si="56"/>
        <v>1</v>
      </c>
      <c r="J302" s="720"/>
      <c r="K302" s="23">
        <f t="shared" si="57"/>
        <v>1</v>
      </c>
      <c r="L302" s="720"/>
      <c r="M302" s="23">
        <f t="shared" si="58"/>
        <v>1</v>
      </c>
      <c r="N302" s="720"/>
      <c r="O302" s="23">
        <f t="shared" si="59"/>
        <v>1</v>
      </c>
      <c r="P302" s="720"/>
      <c r="Q302" s="23">
        <f t="shared" si="60"/>
        <v>1</v>
      </c>
      <c r="R302" s="716">
        <f t="shared" si="61"/>
        <v>0</v>
      </c>
      <c r="S302" s="361">
        <f t="shared" si="62"/>
        <v>0</v>
      </c>
    </row>
    <row r="303" spans="1:19">
      <c r="A303" s="159"/>
      <c r="B303" s="58"/>
      <c r="C303" s="23">
        <f t="shared" si="53"/>
        <v>1</v>
      </c>
      <c r="D303" s="720"/>
      <c r="E303" s="23">
        <f t="shared" si="54"/>
        <v>1</v>
      </c>
      <c r="F303" s="720"/>
      <c r="G303" s="23">
        <f t="shared" si="55"/>
        <v>1</v>
      </c>
      <c r="H303" s="720"/>
      <c r="I303" s="23">
        <f t="shared" si="56"/>
        <v>1</v>
      </c>
      <c r="J303" s="720"/>
      <c r="K303" s="23">
        <f t="shared" si="57"/>
        <v>1</v>
      </c>
      <c r="L303" s="720"/>
      <c r="M303" s="23">
        <f t="shared" si="58"/>
        <v>1</v>
      </c>
      <c r="N303" s="720"/>
      <c r="O303" s="23">
        <f t="shared" si="59"/>
        <v>1</v>
      </c>
      <c r="P303" s="720"/>
      <c r="Q303" s="23">
        <f t="shared" si="60"/>
        <v>1</v>
      </c>
      <c r="R303" s="716">
        <f t="shared" si="61"/>
        <v>0</v>
      </c>
      <c r="S303" s="361">
        <f t="shared" si="62"/>
        <v>0</v>
      </c>
    </row>
    <row r="304" spans="1:19">
      <c r="A304" s="159"/>
      <c r="B304" s="58"/>
      <c r="C304" s="23">
        <f t="shared" si="53"/>
        <v>1</v>
      </c>
      <c r="D304" s="720"/>
      <c r="E304" s="23">
        <f t="shared" si="54"/>
        <v>1</v>
      </c>
      <c r="F304" s="720"/>
      <c r="G304" s="23">
        <f t="shared" si="55"/>
        <v>1</v>
      </c>
      <c r="H304" s="720"/>
      <c r="I304" s="23">
        <f t="shared" si="56"/>
        <v>1</v>
      </c>
      <c r="J304" s="720"/>
      <c r="K304" s="23">
        <f t="shared" si="57"/>
        <v>1</v>
      </c>
      <c r="L304" s="720"/>
      <c r="M304" s="23">
        <f t="shared" si="58"/>
        <v>1</v>
      </c>
      <c r="N304" s="720"/>
      <c r="O304" s="23">
        <f t="shared" si="59"/>
        <v>1</v>
      </c>
      <c r="P304" s="720"/>
      <c r="Q304" s="23">
        <f t="shared" si="60"/>
        <v>1</v>
      </c>
      <c r="R304" s="716">
        <f t="shared" si="61"/>
        <v>0</v>
      </c>
      <c r="S304" s="361">
        <f t="shared" si="62"/>
        <v>0</v>
      </c>
    </row>
    <row r="305" spans="1:19">
      <c r="A305" s="159"/>
      <c r="B305" s="58"/>
      <c r="C305" s="23">
        <f t="shared" si="53"/>
        <v>1</v>
      </c>
      <c r="D305" s="720"/>
      <c r="E305" s="23">
        <f t="shared" si="54"/>
        <v>1</v>
      </c>
      <c r="F305" s="720"/>
      <c r="G305" s="23">
        <f t="shared" si="55"/>
        <v>1</v>
      </c>
      <c r="H305" s="720"/>
      <c r="I305" s="23">
        <f t="shared" si="56"/>
        <v>1</v>
      </c>
      <c r="J305" s="720"/>
      <c r="K305" s="23">
        <f t="shared" si="57"/>
        <v>1</v>
      </c>
      <c r="L305" s="720"/>
      <c r="M305" s="23">
        <f t="shared" si="58"/>
        <v>1</v>
      </c>
      <c r="N305" s="720"/>
      <c r="O305" s="23">
        <f t="shared" si="59"/>
        <v>1</v>
      </c>
      <c r="P305" s="720"/>
      <c r="Q305" s="23">
        <f t="shared" si="60"/>
        <v>1</v>
      </c>
      <c r="R305" s="716">
        <f t="shared" si="61"/>
        <v>0</v>
      </c>
      <c r="S305" s="361">
        <f t="shared" si="62"/>
        <v>0</v>
      </c>
    </row>
    <row r="306" spans="1:19">
      <c r="A306" s="159"/>
      <c r="B306" s="58"/>
      <c r="C306" s="23">
        <f t="shared" si="53"/>
        <v>1</v>
      </c>
      <c r="D306" s="720"/>
      <c r="E306" s="23">
        <f t="shared" si="54"/>
        <v>1</v>
      </c>
      <c r="F306" s="720"/>
      <c r="G306" s="23">
        <f t="shared" si="55"/>
        <v>1</v>
      </c>
      <c r="H306" s="720"/>
      <c r="I306" s="23">
        <f t="shared" si="56"/>
        <v>1</v>
      </c>
      <c r="J306" s="720"/>
      <c r="K306" s="23">
        <f t="shared" si="57"/>
        <v>1</v>
      </c>
      <c r="L306" s="720"/>
      <c r="M306" s="23">
        <f t="shared" si="58"/>
        <v>1</v>
      </c>
      <c r="N306" s="720"/>
      <c r="O306" s="23">
        <f t="shared" si="59"/>
        <v>1</v>
      </c>
      <c r="P306" s="720"/>
      <c r="Q306" s="23">
        <f t="shared" si="60"/>
        <v>1</v>
      </c>
      <c r="R306" s="716">
        <f t="shared" si="61"/>
        <v>0</v>
      </c>
      <c r="S306" s="361">
        <f t="shared" si="62"/>
        <v>0</v>
      </c>
    </row>
    <row r="307" spans="1:19">
      <c r="A307" s="159"/>
      <c r="B307" s="58"/>
      <c r="C307" s="23">
        <f t="shared" si="53"/>
        <v>1</v>
      </c>
      <c r="D307" s="720"/>
      <c r="E307" s="23">
        <f t="shared" si="54"/>
        <v>1</v>
      </c>
      <c r="F307" s="720"/>
      <c r="G307" s="23">
        <f t="shared" si="55"/>
        <v>1</v>
      </c>
      <c r="H307" s="720"/>
      <c r="I307" s="23">
        <f t="shared" si="56"/>
        <v>1</v>
      </c>
      <c r="J307" s="720"/>
      <c r="K307" s="23">
        <f t="shared" si="57"/>
        <v>1</v>
      </c>
      <c r="L307" s="720"/>
      <c r="M307" s="23">
        <f t="shared" si="58"/>
        <v>1</v>
      </c>
      <c r="N307" s="720"/>
      <c r="O307" s="23">
        <f t="shared" si="59"/>
        <v>1</v>
      </c>
      <c r="P307" s="720"/>
      <c r="Q307" s="23">
        <f t="shared" si="60"/>
        <v>1</v>
      </c>
      <c r="R307" s="716">
        <f t="shared" si="61"/>
        <v>0</v>
      </c>
      <c r="S307" s="361">
        <f t="shared" si="62"/>
        <v>0</v>
      </c>
    </row>
    <row r="308" spans="1:19">
      <c r="A308" s="159"/>
      <c r="B308" s="58"/>
      <c r="C308" s="23">
        <f t="shared" si="53"/>
        <v>1</v>
      </c>
      <c r="D308" s="720"/>
      <c r="E308" s="23">
        <f t="shared" si="54"/>
        <v>1</v>
      </c>
      <c r="F308" s="720"/>
      <c r="G308" s="23">
        <f t="shared" si="55"/>
        <v>1</v>
      </c>
      <c r="H308" s="720"/>
      <c r="I308" s="23">
        <f t="shared" si="56"/>
        <v>1</v>
      </c>
      <c r="J308" s="720"/>
      <c r="K308" s="23">
        <f t="shared" si="57"/>
        <v>1</v>
      </c>
      <c r="L308" s="720"/>
      <c r="M308" s="23">
        <f t="shared" si="58"/>
        <v>1</v>
      </c>
      <c r="N308" s="720"/>
      <c r="O308" s="23">
        <f t="shared" si="59"/>
        <v>1</v>
      </c>
      <c r="P308" s="720"/>
      <c r="Q308" s="23">
        <f t="shared" si="60"/>
        <v>1</v>
      </c>
      <c r="R308" s="716">
        <f t="shared" si="61"/>
        <v>0</v>
      </c>
      <c r="S308" s="361">
        <f t="shared" si="62"/>
        <v>0</v>
      </c>
    </row>
    <row r="309" spans="1:19">
      <c r="A309" s="159"/>
      <c r="B309" s="58"/>
      <c r="C309" s="23">
        <f t="shared" si="53"/>
        <v>1</v>
      </c>
      <c r="D309" s="720"/>
      <c r="E309" s="23">
        <f t="shared" si="54"/>
        <v>1</v>
      </c>
      <c r="F309" s="720"/>
      <c r="G309" s="23">
        <f t="shared" si="55"/>
        <v>1</v>
      </c>
      <c r="H309" s="720"/>
      <c r="I309" s="23">
        <f t="shared" si="56"/>
        <v>1</v>
      </c>
      <c r="J309" s="720"/>
      <c r="K309" s="23">
        <f t="shared" si="57"/>
        <v>1</v>
      </c>
      <c r="L309" s="720"/>
      <c r="M309" s="23">
        <f t="shared" si="58"/>
        <v>1</v>
      </c>
      <c r="N309" s="720"/>
      <c r="O309" s="23">
        <f t="shared" si="59"/>
        <v>1</v>
      </c>
      <c r="P309" s="720"/>
      <c r="Q309" s="23">
        <f t="shared" si="60"/>
        <v>1</v>
      </c>
      <c r="R309" s="716">
        <f t="shared" si="61"/>
        <v>0</v>
      </c>
      <c r="S309" s="361">
        <f t="shared" si="62"/>
        <v>0</v>
      </c>
    </row>
    <row r="310" spans="1:19">
      <c r="A310" s="159"/>
      <c r="B310" s="58"/>
      <c r="C310" s="23">
        <f t="shared" si="53"/>
        <v>1</v>
      </c>
      <c r="D310" s="720"/>
      <c r="E310" s="23">
        <f t="shared" si="54"/>
        <v>1</v>
      </c>
      <c r="F310" s="720"/>
      <c r="G310" s="23">
        <f t="shared" si="55"/>
        <v>1</v>
      </c>
      <c r="H310" s="720"/>
      <c r="I310" s="23">
        <f t="shared" si="56"/>
        <v>1</v>
      </c>
      <c r="J310" s="720"/>
      <c r="K310" s="23">
        <f t="shared" si="57"/>
        <v>1</v>
      </c>
      <c r="L310" s="720"/>
      <c r="M310" s="23">
        <f t="shared" si="58"/>
        <v>1</v>
      </c>
      <c r="N310" s="720"/>
      <c r="O310" s="23">
        <f t="shared" si="59"/>
        <v>1</v>
      </c>
      <c r="P310" s="720"/>
      <c r="Q310" s="23">
        <f t="shared" si="60"/>
        <v>1</v>
      </c>
      <c r="R310" s="716">
        <f t="shared" si="61"/>
        <v>0</v>
      </c>
      <c r="S310" s="361">
        <f t="shared" si="62"/>
        <v>0</v>
      </c>
    </row>
    <row r="311" spans="1:19">
      <c r="A311" s="159"/>
      <c r="B311" s="58"/>
      <c r="C311" s="23">
        <f t="shared" si="53"/>
        <v>1</v>
      </c>
      <c r="D311" s="720"/>
      <c r="E311" s="23">
        <f t="shared" si="54"/>
        <v>1</v>
      </c>
      <c r="F311" s="720"/>
      <c r="G311" s="23">
        <f t="shared" si="55"/>
        <v>1</v>
      </c>
      <c r="H311" s="720"/>
      <c r="I311" s="23">
        <f t="shared" si="56"/>
        <v>1</v>
      </c>
      <c r="J311" s="720"/>
      <c r="K311" s="23">
        <f t="shared" si="57"/>
        <v>1</v>
      </c>
      <c r="L311" s="720"/>
      <c r="M311" s="23">
        <f t="shared" si="58"/>
        <v>1</v>
      </c>
      <c r="N311" s="720"/>
      <c r="O311" s="23">
        <f t="shared" si="59"/>
        <v>1</v>
      </c>
      <c r="P311" s="720"/>
      <c r="Q311" s="23">
        <f t="shared" si="60"/>
        <v>1</v>
      </c>
      <c r="R311" s="716">
        <f t="shared" si="61"/>
        <v>0</v>
      </c>
      <c r="S311" s="361">
        <f t="shared" si="62"/>
        <v>0</v>
      </c>
    </row>
    <row r="312" spans="1:19">
      <c r="A312" s="159"/>
      <c r="B312" s="58"/>
      <c r="C312" s="23">
        <f t="shared" si="53"/>
        <v>1</v>
      </c>
      <c r="D312" s="720"/>
      <c r="E312" s="23">
        <f t="shared" si="54"/>
        <v>1</v>
      </c>
      <c r="F312" s="720"/>
      <c r="G312" s="23">
        <f t="shared" si="55"/>
        <v>1</v>
      </c>
      <c r="H312" s="720"/>
      <c r="I312" s="23">
        <f t="shared" si="56"/>
        <v>1</v>
      </c>
      <c r="J312" s="720"/>
      <c r="K312" s="23">
        <f t="shared" si="57"/>
        <v>1</v>
      </c>
      <c r="L312" s="720"/>
      <c r="M312" s="23">
        <f t="shared" si="58"/>
        <v>1</v>
      </c>
      <c r="N312" s="720"/>
      <c r="O312" s="23">
        <f t="shared" si="59"/>
        <v>1</v>
      </c>
      <c r="P312" s="720"/>
      <c r="Q312" s="23">
        <f t="shared" si="60"/>
        <v>1</v>
      </c>
      <c r="R312" s="716">
        <f t="shared" si="61"/>
        <v>0</v>
      </c>
      <c r="S312" s="361">
        <f t="shared" si="62"/>
        <v>0</v>
      </c>
    </row>
    <row r="313" spans="1:19">
      <c r="A313" s="159"/>
      <c r="B313" s="58"/>
      <c r="C313" s="23">
        <f t="shared" si="53"/>
        <v>1</v>
      </c>
      <c r="D313" s="720"/>
      <c r="E313" s="23">
        <f t="shared" si="54"/>
        <v>1</v>
      </c>
      <c r="F313" s="720"/>
      <c r="G313" s="23">
        <f t="shared" si="55"/>
        <v>1</v>
      </c>
      <c r="H313" s="720"/>
      <c r="I313" s="23">
        <f t="shared" si="56"/>
        <v>1</v>
      </c>
      <c r="J313" s="720"/>
      <c r="K313" s="23">
        <f t="shared" si="57"/>
        <v>1</v>
      </c>
      <c r="L313" s="720"/>
      <c r="M313" s="23">
        <f t="shared" si="58"/>
        <v>1</v>
      </c>
      <c r="N313" s="720"/>
      <c r="O313" s="23">
        <f t="shared" si="59"/>
        <v>1</v>
      </c>
      <c r="P313" s="720"/>
      <c r="Q313" s="23">
        <f t="shared" si="60"/>
        <v>1</v>
      </c>
      <c r="R313" s="716">
        <f t="shared" si="61"/>
        <v>0</v>
      </c>
      <c r="S313" s="361">
        <f t="shared" si="62"/>
        <v>0</v>
      </c>
    </row>
    <row r="314" spans="1:19">
      <c r="A314" s="159"/>
      <c r="B314" s="58"/>
      <c r="C314" s="23">
        <f t="shared" si="53"/>
        <v>1</v>
      </c>
      <c r="D314" s="720"/>
      <c r="E314" s="23">
        <f t="shared" si="54"/>
        <v>1</v>
      </c>
      <c r="F314" s="720"/>
      <c r="G314" s="23">
        <f t="shared" si="55"/>
        <v>1</v>
      </c>
      <c r="H314" s="720"/>
      <c r="I314" s="23">
        <f t="shared" si="56"/>
        <v>1</v>
      </c>
      <c r="J314" s="720"/>
      <c r="K314" s="23">
        <f t="shared" si="57"/>
        <v>1</v>
      </c>
      <c r="L314" s="720"/>
      <c r="M314" s="23">
        <f t="shared" si="58"/>
        <v>1</v>
      </c>
      <c r="N314" s="720"/>
      <c r="O314" s="23">
        <f t="shared" si="59"/>
        <v>1</v>
      </c>
      <c r="P314" s="720"/>
      <c r="Q314" s="23">
        <f t="shared" si="60"/>
        <v>1</v>
      </c>
      <c r="R314" s="716">
        <f t="shared" si="61"/>
        <v>0</v>
      </c>
      <c r="S314" s="361">
        <f t="shared" si="62"/>
        <v>0</v>
      </c>
    </row>
    <row r="315" spans="1:19">
      <c r="A315" s="159"/>
      <c r="B315" s="58"/>
      <c r="C315" s="23">
        <f t="shared" si="53"/>
        <v>1</v>
      </c>
      <c r="D315" s="720"/>
      <c r="E315" s="23">
        <f t="shared" si="54"/>
        <v>1</v>
      </c>
      <c r="F315" s="720"/>
      <c r="G315" s="23">
        <f t="shared" si="55"/>
        <v>1</v>
      </c>
      <c r="H315" s="720"/>
      <c r="I315" s="23">
        <f t="shared" si="56"/>
        <v>1</v>
      </c>
      <c r="J315" s="720"/>
      <c r="K315" s="23">
        <f t="shared" si="57"/>
        <v>1</v>
      </c>
      <c r="L315" s="720"/>
      <c r="M315" s="23">
        <f t="shared" si="58"/>
        <v>1</v>
      </c>
      <c r="N315" s="720"/>
      <c r="O315" s="23">
        <f t="shared" si="59"/>
        <v>1</v>
      </c>
      <c r="P315" s="720"/>
      <c r="Q315" s="23">
        <f t="shared" si="60"/>
        <v>1</v>
      </c>
      <c r="R315" s="716">
        <f t="shared" si="61"/>
        <v>0</v>
      </c>
      <c r="S315" s="361">
        <f t="shared" si="62"/>
        <v>0</v>
      </c>
    </row>
    <row r="316" spans="1:19">
      <c r="A316" s="159"/>
      <c r="B316" s="58"/>
      <c r="C316" s="23">
        <f t="shared" si="53"/>
        <v>1</v>
      </c>
      <c r="D316" s="720"/>
      <c r="E316" s="23">
        <f t="shared" si="54"/>
        <v>1</v>
      </c>
      <c r="F316" s="720"/>
      <c r="G316" s="23">
        <f t="shared" si="55"/>
        <v>1</v>
      </c>
      <c r="H316" s="720"/>
      <c r="I316" s="23">
        <f t="shared" si="56"/>
        <v>1</v>
      </c>
      <c r="J316" s="720"/>
      <c r="K316" s="23">
        <f t="shared" si="57"/>
        <v>1</v>
      </c>
      <c r="L316" s="720"/>
      <c r="M316" s="23">
        <f t="shared" si="58"/>
        <v>1</v>
      </c>
      <c r="N316" s="720"/>
      <c r="O316" s="23">
        <f t="shared" si="59"/>
        <v>1</v>
      </c>
      <c r="P316" s="720"/>
      <c r="Q316" s="23">
        <f t="shared" si="60"/>
        <v>1</v>
      </c>
      <c r="R316" s="716">
        <f t="shared" si="61"/>
        <v>0</v>
      </c>
      <c r="S316" s="361">
        <f t="shared" si="62"/>
        <v>0</v>
      </c>
    </row>
    <row r="317" spans="1:19">
      <c r="A317" s="159"/>
      <c r="B317" s="58"/>
      <c r="C317" s="23">
        <f t="shared" si="53"/>
        <v>1</v>
      </c>
      <c r="D317" s="720"/>
      <c r="E317" s="23">
        <f t="shared" si="54"/>
        <v>1</v>
      </c>
      <c r="F317" s="720"/>
      <c r="G317" s="23">
        <f t="shared" si="55"/>
        <v>1</v>
      </c>
      <c r="H317" s="720"/>
      <c r="I317" s="23">
        <f t="shared" si="56"/>
        <v>1</v>
      </c>
      <c r="J317" s="720"/>
      <c r="K317" s="23">
        <f t="shared" si="57"/>
        <v>1</v>
      </c>
      <c r="L317" s="720"/>
      <c r="M317" s="23">
        <f t="shared" si="58"/>
        <v>1</v>
      </c>
      <c r="N317" s="720"/>
      <c r="O317" s="23">
        <f t="shared" si="59"/>
        <v>1</v>
      </c>
      <c r="P317" s="720"/>
      <c r="Q317" s="23">
        <f t="shared" si="60"/>
        <v>1</v>
      </c>
      <c r="R317" s="716">
        <f t="shared" si="61"/>
        <v>0</v>
      </c>
      <c r="S317" s="361">
        <f t="shared" si="62"/>
        <v>0</v>
      </c>
    </row>
    <row r="318" spans="1:19">
      <c r="A318" s="159"/>
      <c r="B318" s="58"/>
      <c r="C318" s="23">
        <f t="shared" si="53"/>
        <v>1</v>
      </c>
      <c r="D318" s="720"/>
      <c r="E318" s="23">
        <f t="shared" si="54"/>
        <v>1</v>
      </c>
      <c r="F318" s="720"/>
      <c r="G318" s="23">
        <f t="shared" si="55"/>
        <v>1</v>
      </c>
      <c r="H318" s="720"/>
      <c r="I318" s="23">
        <f t="shared" si="56"/>
        <v>1</v>
      </c>
      <c r="J318" s="720"/>
      <c r="K318" s="23">
        <f t="shared" si="57"/>
        <v>1</v>
      </c>
      <c r="L318" s="720"/>
      <c r="M318" s="23">
        <f t="shared" si="58"/>
        <v>1</v>
      </c>
      <c r="N318" s="720"/>
      <c r="O318" s="23">
        <f t="shared" si="59"/>
        <v>1</v>
      </c>
      <c r="P318" s="720"/>
      <c r="Q318" s="23">
        <f t="shared" si="60"/>
        <v>1</v>
      </c>
      <c r="R318" s="716">
        <f t="shared" si="61"/>
        <v>0</v>
      </c>
      <c r="S318" s="361">
        <f t="shared" si="62"/>
        <v>0</v>
      </c>
    </row>
    <row r="319" spans="1:19">
      <c r="A319" s="159"/>
      <c r="B319" s="58"/>
      <c r="C319" s="23">
        <f t="shared" si="53"/>
        <v>1</v>
      </c>
      <c r="D319" s="720"/>
      <c r="E319" s="23">
        <f t="shared" si="54"/>
        <v>1</v>
      </c>
      <c r="F319" s="720"/>
      <c r="G319" s="23">
        <f t="shared" si="55"/>
        <v>1</v>
      </c>
      <c r="H319" s="720"/>
      <c r="I319" s="23">
        <f t="shared" si="56"/>
        <v>1</v>
      </c>
      <c r="J319" s="720"/>
      <c r="K319" s="23">
        <f t="shared" si="57"/>
        <v>1</v>
      </c>
      <c r="L319" s="720"/>
      <c r="M319" s="23">
        <f t="shared" si="58"/>
        <v>1</v>
      </c>
      <c r="N319" s="720"/>
      <c r="O319" s="23">
        <f t="shared" si="59"/>
        <v>1</v>
      </c>
      <c r="P319" s="720"/>
      <c r="Q319" s="23">
        <f t="shared" si="60"/>
        <v>1</v>
      </c>
      <c r="R319" s="716">
        <f t="shared" si="61"/>
        <v>0</v>
      </c>
      <c r="S319" s="361">
        <f t="shared" si="62"/>
        <v>0</v>
      </c>
    </row>
    <row r="320" spans="1:19">
      <c r="A320" s="159"/>
      <c r="B320" s="58"/>
      <c r="C320" s="23">
        <f t="shared" si="53"/>
        <v>1</v>
      </c>
      <c r="D320" s="720"/>
      <c r="E320" s="23">
        <f t="shared" si="54"/>
        <v>1</v>
      </c>
      <c r="F320" s="720"/>
      <c r="G320" s="23">
        <f t="shared" si="55"/>
        <v>1</v>
      </c>
      <c r="H320" s="720"/>
      <c r="I320" s="23">
        <f t="shared" si="56"/>
        <v>1</v>
      </c>
      <c r="J320" s="720"/>
      <c r="K320" s="23">
        <f t="shared" si="57"/>
        <v>1</v>
      </c>
      <c r="L320" s="720"/>
      <c r="M320" s="23">
        <f t="shared" si="58"/>
        <v>1</v>
      </c>
      <c r="N320" s="720"/>
      <c r="O320" s="23">
        <f t="shared" si="59"/>
        <v>1</v>
      </c>
      <c r="P320" s="720"/>
      <c r="Q320" s="23">
        <f t="shared" si="60"/>
        <v>1</v>
      </c>
      <c r="R320" s="716">
        <f t="shared" si="61"/>
        <v>0</v>
      </c>
      <c r="S320" s="361">
        <f t="shared" si="62"/>
        <v>0</v>
      </c>
    </row>
    <row r="321" spans="1:19">
      <c r="A321" s="159"/>
      <c r="B321" s="58"/>
      <c r="C321" s="23">
        <f t="shared" si="53"/>
        <v>1</v>
      </c>
      <c r="D321" s="720"/>
      <c r="E321" s="23">
        <f t="shared" si="54"/>
        <v>1</v>
      </c>
      <c r="F321" s="720"/>
      <c r="G321" s="23">
        <f t="shared" si="55"/>
        <v>1</v>
      </c>
      <c r="H321" s="720"/>
      <c r="I321" s="23">
        <f t="shared" si="56"/>
        <v>1</v>
      </c>
      <c r="J321" s="720"/>
      <c r="K321" s="23">
        <f t="shared" si="57"/>
        <v>1</v>
      </c>
      <c r="L321" s="720"/>
      <c r="M321" s="23">
        <f t="shared" si="58"/>
        <v>1</v>
      </c>
      <c r="N321" s="720"/>
      <c r="O321" s="23">
        <f t="shared" si="59"/>
        <v>1</v>
      </c>
      <c r="P321" s="720"/>
      <c r="Q321" s="23">
        <f t="shared" si="60"/>
        <v>1</v>
      </c>
      <c r="R321" s="716">
        <f t="shared" si="61"/>
        <v>0</v>
      </c>
      <c r="S321" s="361">
        <f t="shared" ref="S321:S384" si="63">ROUND(R321*B321/10000,0)</f>
        <v>0</v>
      </c>
    </row>
    <row r="322" spans="1:19">
      <c r="A322" s="159"/>
      <c r="B322" s="58"/>
      <c r="C322" s="23">
        <f t="shared" si="53"/>
        <v>1</v>
      </c>
      <c r="D322" s="720"/>
      <c r="E322" s="23">
        <f t="shared" si="54"/>
        <v>1</v>
      </c>
      <c r="F322" s="720"/>
      <c r="G322" s="23">
        <f t="shared" si="55"/>
        <v>1</v>
      </c>
      <c r="H322" s="720"/>
      <c r="I322" s="23">
        <f t="shared" si="56"/>
        <v>1</v>
      </c>
      <c r="J322" s="720"/>
      <c r="K322" s="23">
        <f t="shared" si="57"/>
        <v>1</v>
      </c>
      <c r="L322" s="720"/>
      <c r="M322" s="23">
        <f t="shared" si="58"/>
        <v>1</v>
      </c>
      <c r="N322" s="720"/>
      <c r="O322" s="23">
        <f t="shared" si="59"/>
        <v>1</v>
      </c>
      <c r="P322" s="720"/>
      <c r="Q322" s="23">
        <f t="shared" si="60"/>
        <v>1</v>
      </c>
      <c r="R322" s="716">
        <f t="shared" si="61"/>
        <v>0</v>
      </c>
      <c r="S322" s="361">
        <f t="shared" si="63"/>
        <v>0</v>
      </c>
    </row>
    <row r="323" spans="1:19">
      <c r="A323" s="159"/>
      <c r="B323" s="58"/>
      <c r="C323" s="23">
        <f t="shared" si="53"/>
        <v>1</v>
      </c>
      <c r="D323" s="720"/>
      <c r="E323" s="23">
        <f t="shared" si="54"/>
        <v>1</v>
      </c>
      <c r="F323" s="720"/>
      <c r="G323" s="23">
        <f t="shared" si="55"/>
        <v>1</v>
      </c>
      <c r="H323" s="720"/>
      <c r="I323" s="23">
        <f t="shared" si="56"/>
        <v>1</v>
      </c>
      <c r="J323" s="720"/>
      <c r="K323" s="23">
        <f t="shared" si="57"/>
        <v>1</v>
      </c>
      <c r="L323" s="720"/>
      <c r="M323" s="23">
        <f t="shared" si="58"/>
        <v>1</v>
      </c>
      <c r="N323" s="720"/>
      <c r="O323" s="23">
        <f t="shared" si="59"/>
        <v>1</v>
      </c>
      <c r="P323" s="720"/>
      <c r="Q323" s="23">
        <f t="shared" si="60"/>
        <v>1</v>
      </c>
      <c r="R323" s="716">
        <f t="shared" si="61"/>
        <v>0</v>
      </c>
      <c r="S323" s="361">
        <f t="shared" si="63"/>
        <v>0</v>
      </c>
    </row>
    <row r="324" spans="1:19">
      <c r="A324" s="159"/>
      <c r="B324" s="58"/>
      <c r="C324" s="23">
        <f t="shared" si="53"/>
        <v>1</v>
      </c>
      <c r="D324" s="720"/>
      <c r="E324" s="23">
        <f t="shared" si="54"/>
        <v>1</v>
      </c>
      <c r="F324" s="720"/>
      <c r="G324" s="23">
        <f t="shared" si="55"/>
        <v>1</v>
      </c>
      <c r="H324" s="720"/>
      <c r="I324" s="23">
        <f t="shared" si="56"/>
        <v>1</v>
      </c>
      <c r="J324" s="720"/>
      <c r="K324" s="23">
        <f t="shared" si="57"/>
        <v>1</v>
      </c>
      <c r="L324" s="720"/>
      <c r="M324" s="23">
        <f t="shared" si="58"/>
        <v>1</v>
      </c>
      <c r="N324" s="720"/>
      <c r="O324" s="23">
        <f t="shared" si="59"/>
        <v>1</v>
      </c>
      <c r="P324" s="720"/>
      <c r="Q324" s="23">
        <f t="shared" si="60"/>
        <v>1</v>
      </c>
      <c r="R324" s="716">
        <f t="shared" si="61"/>
        <v>0</v>
      </c>
      <c r="S324" s="361">
        <f t="shared" si="63"/>
        <v>0</v>
      </c>
    </row>
    <row r="325" spans="1:19">
      <c r="A325" s="159"/>
      <c r="B325" s="58"/>
      <c r="C325" s="23">
        <f t="shared" si="53"/>
        <v>1</v>
      </c>
      <c r="D325" s="720"/>
      <c r="E325" s="23">
        <f t="shared" si="54"/>
        <v>1</v>
      </c>
      <c r="F325" s="720"/>
      <c r="G325" s="23">
        <f t="shared" si="55"/>
        <v>1</v>
      </c>
      <c r="H325" s="720"/>
      <c r="I325" s="23">
        <f t="shared" si="56"/>
        <v>1</v>
      </c>
      <c r="J325" s="720"/>
      <c r="K325" s="23">
        <f t="shared" si="57"/>
        <v>1</v>
      </c>
      <c r="L325" s="720"/>
      <c r="M325" s="23">
        <f t="shared" si="58"/>
        <v>1</v>
      </c>
      <c r="N325" s="720"/>
      <c r="O325" s="23">
        <f t="shared" si="59"/>
        <v>1</v>
      </c>
      <c r="P325" s="720"/>
      <c r="Q325" s="23">
        <f t="shared" si="60"/>
        <v>1</v>
      </c>
      <c r="R325" s="716">
        <f t="shared" si="61"/>
        <v>0</v>
      </c>
      <c r="S325" s="361">
        <f t="shared" si="63"/>
        <v>0</v>
      </c>
    </row>
    <row r="326" spans="1:19">
      <c r="A326" s="159"/>
      <c r="B326" s="58"/>
      <c r="C326" s="23">
        <f t="shared" si="53"/>
        <v>1</v>
      </c>
      <c r="D326" s="720"/>
      <c r="E326" s="23">
        <f t="shared" si="54"/>
        <v>1</v>
      </c>
      <c r="F326" s="720"/>
      <c r="G326" s="23">
        <f t="shared" si="55"/>
        <v>1</v>
      </c>
      <c r="H326" s="720"/>
      <c r="I326" s="23">
        <f t="shared" si="56"/>
        <v>1</v>
      </c>
      <c r="J326" s="720"/>
      <c r="K326" s="23">
        <f t="shared" si="57"/>
        <v>1</v>
      </c>
      <c r="L326" s="720"/>
      <c r="M326" s="23">
        <f t="shared" si="58"/>
        <v>1</v>
      </c>
      <c r="N326" s="720"/>
      <c r="O326" s="23">
        <f t="shared" si="59"/>
        <v>1</v>
      </c>
      <c r="P326" s="720"/>
      <c r="Q326" s="23">
        <f t="shared" si="60"/>
        <v>1</v>
      </c>
      <c r="R326" s="716">
        <f t="shared" si="61"/>
        <v>0</v>
      </c>
      <c r="S326" s="361">
        <f t="shared" si="63"/>
        <v>0</v>
      </c>
    </row>
    <row r="327" spans="1:19">
      <c r="A327" s="159"/>
      <c r="B327" s="58"/>
      <c r="C327" s="23">
        <f t="shared" si="53"/>
        <v>1</v>
      </c>
      <c r="D327" s="720"/>
      <c r="E327" s="23">
        <f t="shared" si="54"/>
        <v>1</v>
      </c>
      <c r="F327" s="720"/>
      <c r="G327" s="23">
        <f t="shared" si="55"/>
        <v>1</v>
      </c>
      <c r="H327" s="720"/>
      <c r="I327" s="23">
        <f t="shared" si="56"/>
        <v>1</v>
      </c>
      <c r="J327" s="720"/>
      <c r="K327" s="23">
        <f t="shared" si="57"/>
        <v>1</v>
      </c>
      <c r="L327" s="720"/>
      <c r="M327" s="23">
        <f t="shared" si="58"/>
        <v>1</v>
      </c>
      <c r="N327" s="720"/>
      <c r="O327" s="23">
        <f t="shared" si="59"/>
        <v>1</v>
      </c>
      <c r="P327" s="720"/>
      <c r="Q327" s="23">
        <f t="shared" si="60"/>
        <v>1</v>
      </c>
      <c r="R327" s="716">
        <f t="shared" si="61"/>
        <v>0</v>
      </c>
      <c r="S327" s="361">
        <f t="shared" si="63"/>
        <v>0</v>
      </c>
    </row>
    <row r="328" spans="1:19">
      <c r="A328" s="159"/>
      <c r="B328" s="58"/>
      <c r="C328" s="23">
        <f t="shared" si="53"/>
        <v>1</v>
      </c>
      <c r="D328" s="720"/>
      <c r="E328" s="23">
        <f t="shared" si="54"/>
        <v>1</v>
      </c>
      <c r="F328" s="720"/>
      <c r="G328" s="23">
        <f t="shared" si="55"/>
        <v>1</v>
      </c>
      <c r="H328" s="720"/>
      <c r="I328" s="23">
        <f t="shared" si="56"/>
        <v>1</v>
      </c>
      <c r="J328" s="720"/>
      <c r="K328" s="23">
        <f t="shared" si="57"/>
        <v>1</v>
      </c>
      <c r="L328" s="720"/>
      <c r="M328" s="23">
        <f t="shared" si="58"/>
        <v>1</v>
      </c>
      <c r="N328" s="720"/>
      <c r="O328" s="23">
        <f t="shared" si="59"/>
        <v>1</v>
      </c>
      <c r="P328" s="720"/>
      <c r="Q328" s="23">
        <f t="shared" si="60"/>
        <v>1</v>
      </c>
      <c r="R328" s="716">
        <f t="shared" si="61"/>
        <v>0</v>
      </c>
      <c r="S328" s="361">
        <f t="shared" si="63"/>
        <v>0</v>
      </c>
    </row>
    <row r="329" spans="1:19">
      <c r="A329" s="159"/>
      <c r="B329" s="58"/>
      <c r="C329" s="23">
        <f t="shared" si="53"/>
        <v>1</v>
      </c>
      <c r="D329" s="720"/>
      <c r="E329" s="23">
        <f t="shared" si="54"/>
        <v>1</v>
      </c>
      <c r="F329" s="720"/>
      <c r="G329" s="23">
        <f t="shared" si="55"/>
        <v>1</v>
      </c>
      <c r="H329" s="720"/>
      <c r="I329" s="23">
        <f t="shared" si="56"/>
        <v>1</v>
      </c>
      <c r="J329" s="720"/>
      <c r="K329" s="23">
        <f t="shared" si="57"/>
        <v>1</v>
      </c>
      <c r="L329" s="720"/>
      <c r="M329" s="23">
        <f t="shared" si="58"/>
        <v>1</v>
      </c>
      <c r="N329" s="720"/>
      <c r="O329" s="23">
        <f t="shared" si="59"/>
        <v>1</v>
      </c>
      <c r="P329" s="720"/>
      <c r="Q329" s="23">
        <f t="shared" si="60"/>
        <v>1</v>
      </c>
      <c r="R329" s="716">
        <f t="shared" si="61"/>
        <v>0</v>
      </c>
      <c r="S329" s="361">
        <f t="shared" si="63"/>
        <v>0</v>
      </c>
    </row>
    <row r="330" spans="1:19">
      <c r="A330" s="159"/>
      <c r="B330" s="58"/>
      <c r="C330" s="23">
        <f t="shared" si="53"/>
        <v>1</v>
      </c>
      <c r="D330" s="720"/>
      <c r="E330" s="23">
        <f t="shared" si="54"/>
        <v>1</v>
      </c>
      <c r="F330" s="720"/>
      <c r="G330" s="23">
        <f t="shared" si="55"/>
        <v>1</v>
      </c>
      <c r="H330" s="720"/>
      <c r="I330" s="23">
        <f t="shared" si="56"/>
        <v>1</v>
      </c>
      <c r="J330" s="720"/>
      <c r="K330" s="23">
        <f t="shared" si="57"/>
        <v>1</v>
      </c>
      <c r="L330" s="720"/>
      <c r="M330" s="23">
        <f t="shared" si="58"/>
        <v>1</v>
      </c>
      <c r="N330" s="720"/>
      <c r="O330" s="23">
        <f t="shared" si="59"/>
        <v>1</v>
      </c>
      <c r="P330" s="720"/>
      <c r="Q330" s="23">
        <f t="shared" si="60"/>
        <v>1</v>
      </c>
      <c r="R330" s="716">
        <f t="shared" si="61"/>
        <v>0</v>
      </c>
      <c r="S330" s="361">
        <f t="shared" si="63"/>
        <v>0</v>
      </c>
    </row>
    <row r="331" spans="1:19">
      <c r="A331" s="159"/>
      <c r="B331" s="58"/>
      <c r="C331" s="23">
        <f t="shared" si="53"/>
        <v>1</v>
      </c>
      <c r="D331" s="720"/>
      <c r="E331" s="23">
        <f t="shared" si="54"/>
        <v>1</v>
      </c>
      <c r="F331" s="720"/>
      <c r="G331" s="23">
        <f t="shared" si="55"/>
        <v>1</v>
      </c>
      <c r="H331" s="720"/>
      <c r="I331" s="23">
        <f t="shared" si="56"/>
        <v>1</v>
      </c>
      <c r="J331" s="720"/>
      <c r="K331" s="23">
        <f t="shared" si="57"/>
        <v>1</v>
      </c>
      <c r="L331" s="720"/>
      <c r="M331" s="23">
        <f t="shared" si="58"/>
        <v>1</v>
      </c>
      <c r="N331" s="720"/>
      <c r="O331" s="23">
        <f t="shared" si="59"/>
        <v>1</v>
      </c>
      <c r="P331" s="720"/>
      <c r="Q331" s="23">
        <f t="shared" si="60"/>
        <v>1</v>
      </c>
      <c r="R331" s="716">
        <f t="shared" si="61"/>
        <v>0</v>
      </c>
      <c r="S331" s="361">
        <f t="shared" si="63"/>
        <v>0</v>
      </c>
    </row>
    <row r="332" spans="1:19">
      <c r="A332" s="159"/>
      <c r="B332" s="58"/>
      <c r="C332" s="23">
        <f t="shared" si="53"/>
        <v>1</v>
      </c>
      <c r="D332" s="720"/>
      <c r="E332" s="23">
        <f t="shared" si="54"/>
        <v>1</v>
      </c>
      <c r="F332" s="720"/>
      <c r="G332" s="23">
        <f t="shared" si="55"/>
        <v>1</v>
      </c>
      <c r="H332" s="720"/>
      <c r="I332" s="23">
        <f t="shared" si="56"/>
        <v>1</v>
      </c>
      <c r="J332" s="720"/>
      <c r="K332" s="23">
        <f t="shared" si="57"/>
        <v>1</v>
      </c>
      <c r="L332" s="720"/>
      <c r="M332" s="23">
        <f t="shared" si="58"/>
        <v>1</v>
      </c>
      <c r="N332" s="720"/>
      <c r="O332" s="23">
        <f t="shared" si="59"/>
        <v>1</v>
      </c>
      <c r="P332" s="720"/>
      <c r="Q332" s="23">
        <f t="shared" si="60"/>
        <v>1</v>
      </c>
      <c r="R332" s="716">
        <f t="shared" si="61"/>
        <v>0</v>
      </c>
      <c r="S332" s="361">
        <f t="shared" si="63"/>
        <v>0</v>
      </c>
    </row>
    <row r="333" spans="1:19">
      <c r="A333" s="159"/>
      <c r="B333" s="58"/>
      <c r="C333" s="23">
        <f t="shared" si="53"/>
        <v>1</v>
      </c>
      <c r="D333" s="720"/>
      <c r="E333" s="23">
        <f t="shared" si="54"/>
        <v>1</v>
      </c>
      <c r="F333" s="720"/>
      <c r="G333" s="23">
        <f t="shared" si="55"/>
        <v>1</v>
      </c>
      <c r="H333" s="720"/>
      <c r="I333" s="23">
        <f t="shared" si="56"/>
        <v>1</v>
      </c>
      <c r="J333" s="720"/>
      <c r="K333" s="23">
        <f t="shared" si="57"/>
        <v>1</v>
      </c>
      <c r="L333" s="720"/>
      <c r="M333" s="23">
        <f t="shared" si="58"/>
        <v>1</v>
      </c>
      <c r="N333" s="720"/>
      <c r="O333" s="23">
        <f t="shared" si="59"/>
        <v>1</v>
      </c>
      <c r="P333" s="720"/>
      <c r="Q333" s="23">
        <f t="shared" si="60"/>
        <v>1</v>
      </c>
      <c r="R333" s="716">
        <f t="shared" si="61"/>
        <v>0</v>
      </c>
      <c r="S333" s="361">
        <f t="shared" si="63"/>
        <v>0</v>
      </c>
    </row>
    <row r="334" spans="1:19">
      <c r="A334" s="159"/>
      <c r="B334" s="58"/>
      <c r="C334" s="23">
        <f t="shared" si="53"/>
        <v>1</v>
      </c>
      <c r="D334" s="720"/>
      <c r="E334" s="23">
        <f t="shared" si="54"/>
        <v>1</v>
      </c>
      <c r="F334" s="720"/>
      <c r="G334" s="23">
        <f t="shared" si="55"/>
        <v>1</v>
      </c>
      <c r="H334" s="720"/>
      <c r="I334" s="23">
        <f t="shared" si="56"/>
        <v>1</v>
      </c>
      <c r="J334" s="720"/>
      <c r="K334" s="23">
        <f t="shared" si="57"/>
        <v>1</v>
      </c>
      <c r="L334" s="720"/>
      <c r="M334" s="23">
        <f t="shared" si="58"/>
        <v>1</v>
      </c>
      <c r="N334" s="720"/>
      <c r="O334" s="23">
        <f t="shared" si="59"/>
        <v>1</v>
      </c>
      <c r="P334" s="720"/>
      <c r="Q334" s="23">
        <f t="shared" si="60"/>
        <v>1</v>
      </c>
      <c r="R334" s="716">
        <f t="shared" si="61"/>
        <v>0</v>
      </c>
      <c r="S334" s="361">
        <f t="shared" si="63"/>
        <v>0</v>
      </c>
    </row>
    <row r="335" spans="1:19">
      <c r="A335" s="159"/>
      <c r="B335" s="58"/>
      <c r="C335" s="23">
        <f t="shared" si="53"/>
        <v>1</v>
      </c>
      <c r="D335" s="720"/>
      <c r="E335" s="23">
        <f t="shared" si="54"/>
        <v>1</v>
      </c>
      <c r="F335" s="720"/>
      <c r="G335" s="23">
        <f t="shared" si="55"/>
        <v>1</v>
      </c>
      <c r="H335" s="720"/>
      <c r="I335" s="23">
        <f t="shared" si="56"/>
        <v>1</v>
      </c>
      <c r="J335" s="720"/>
      <c r="K335" s="23">
        <f t="shared" si="57"/>
        <v>1</v>
      </c>
      <c r="L335" s="720"/>
      <c r="M335" s="23">
        <f t="shared" si="58"/>
        <v>1</v>
      </c>
      <c r="N335" s="720"/>
      <c r="O335" s="23">
        <f t="shared" si="59"/>
        <v>1</v>
      </c>
      <c r="P335" s="720"/>
      <c r="Q335" s="23">
        <f t="shared" si="60"/>
        <v>1</v>
      </c>
      <c r="R335" s="716">
        <f t="shared" si="61"/>
        <v>0</v>
      </c>
      <c r="S335" s="361">
        <f t="shared" si="63"/>
        <v>0</v>
      </c>
    </row>
    <row r="336" spans="1:19">
      <c r="A336" s="159"/>
      <c r="B336" s="58"/>
      <c r="C336" s="23">
        <f t="shared" si="53"/>
        <v>1</v>
      </c>
      <c r="D336" s="720"/>
      <c r="E336" s="23">
        <f t="shared" si="54"/>
        <v>1</v>
      </c>
      <c r="F336" s="720"/>
      <c r="G336" s="23">
        <f t="shared" si="55"/>
        <v>1</v>
      </c>
      <c r="H336" s="720"/>
      <c r="I336" s="23">
        <f t="shared" si="56"/>
        <v>1</v>
      </c>
      <c r="J336" s="720"/>
      <c r="K336" s="23">
        <f t="shared" si="57"/>
        <v>1</v>
      </c>
      <c r="L336" s="720"/>
      <c r="M336" s="23">
        <f t="shared" si="58"/>
        <v>1</v>
      </c>
      <c r="N336" s="720"/>
      <c r="O336" s="23">
        <f t="shared" si="59"/>
        <v>1</v>
      </c>
      <c r="P336" s="720"/>
      <c r="Q336" s="23">
        <f t="shared" si="60"/>
        <v>1</v>
      </c>
      <c r="R336" s="716">
        <f t="shared" si="61"/>
        <v>0</v>
      </c>
      <c r="S336" s="361">
        <f t="shared" si="63"/>
        <v>0</v>
      </c>
    </row>
    <row r="337" spans="1:19">
      <c r="A337" s="159"/>
      <c r="B337" s="58"/>
      <c r="C337" s="23">
        <f t="shared" si="53"/>
        <v>1</v>
      </c>
      <c r="D337" s="720"/>
      <c r="E337" s="23">
        <f t="shared" si="54"/>
        <v>1</v>
      </c>
      <c r="F337" s="720"/>
      <c r="G337" s="23">
        <f t="shared" si="55"/>
        <v>1</v>
      </c>
      <c r="H337" s="720"/>
      <c r="I337" s="23">
        <f t="shared" si="56"/>
        <v>1</v>
      </c>
      <c r="J337" s="720"/>
      <c r="K337" s="23">
        <f t="shared" si="57"/>
        <v>1</v>
      </c>
      <c r="L337" s="720"/>
      <c r="M337" s="23">
        <f t="shared" si="58"/>
        <v>1</v>
      </c>
      <c r="N337" s="720"/>
      <c r="O337" s="23">
        <f t="shared" si="59"/>
        <v>1</v>
      </c>
      <c r="P337" s="720"/>
      <c r="Q337" s="23">
        <f t="shared" si="60"/>
        <v>1</v>
      </c>
      <c r="R337" s="716">
        <f t="shared" si="61"/>
        <v>0</v>
      </c>
      <c r="S337" s="361">
        <f t="shared" si="63"/>
        <v>0</v>
      </c>
    </row>
    <row r="338" spans="1:19">
      <c r="A338" s="159"/>
      <c r="B338" s="58"/>
      <c r="C338" s="23">
        <f t="shared" si="53"/>
        <v>1</v>
      </c>
      <c r="D338" s="720"/>
      <c r="E338" s="23">
        <f t="shared" si="54"/>
        <v>1</v>
      </c>
      <c r="F338" s="720"/>
      <c r="G338" s="23">
        <f t="shared" si="55"/>
        <v>1</v>
      </c>
      <c r="H338" s="720"/>
      <c r="I338" s="23">
        <f t="shared" si="56"/>
        <v>1</v>
      </c>
      <c r="J338" s="720"/>
      <c r="K338" s="23">
        <f t="shared" si="57"/>
        <v>1</v>
      </c>
      <c r="L338" s="720"/>
      <c r="M338" s="23">
        <f t="shared" si="58"/>
        <v>1</v>
      </c>
      <c r="N338" s="720"/>
      <c r="O338" s="23">
        <f t="shared" si="59"/>
        <v>1</v>
      </c>
      <c r="P338" s="720"/>
      <c r="Q338" s="23">
        <f t="shared" si="60"/>
        <v>1</v>
      </c>
      <c r="R338" s="716">
        <f t="shared" si="61"/>
        <v>0</v>
      </c>
      <c r="S338" s="361">
        <f t="shared" si="63"/>
        <v>0</v>
      </c>
    </row>
    <row r="339" spans="1:19">
      <c r="A339" s="159"/>
      <c r="B339" s="58"/>
      <c r="C339" s="23">
        <f t="shared" si="53"/>
        <v>1</v>
      </c>
      <c r="D339" s="720"/>
      <c r="E339" s="23">
        <f t="shared" si="54"/>
        <v>1</v>
      </c>
      <c r="F339" s="720"/>
      <c r="G339" s="23">
        <f t="shared" si="55"/>
        <v>1</v>
      </c>
      <c r="H339" s="720"/>
      <c r="I339" s="23">
        <f t="shared" si="56"/>
        <v>1</v>
      </c>
      <c r="J339" s="720"/>
      <c r="K339" s="23">
        <f t="shared" si="57"/>
        <v>1</v>
      </c>
      <c r="L339" s="720"/>
      <c r="M339" s="23">
        <f t="shared" si="58"/>
        <v>1</v>
      </c>
      <c r="N339" s="720"/>
      <c r="O339" s="23">
        <f t="shared" si="59"/>
        <v>1</v>
      </c>
      <c r="P339" s="720"/>
      <c r="Q339" s="23">
        <f t="shared" si="60"/>
        <v>1</v>
      </c>
      <c r="R339" s="716">
        <f t="shared" si="61"/>
        <v>0</v>
      </c>
      <c r="S339" s="361">
        <f t="shared" si="63"/>
        <v>0</v>
      </c>
    </row>
    <row r="340" spans="1:19">
      <c r="A340" s="159"/>
      <c r="B340" s="58"/>
      <c r="C340" s="23">
        <f t="shared" si="53"/>
        <v>1</v>
      </c>
      <c r="D340" s="720"/>
      <c r="E340" s="23">
        <f t="shared" si="54"/>
        <v>1</v>
      </c>
      <c r="F340" s="720"/>
      <c r="G340" s="23">
        <f t="shared" si="55"/>
        <v>1</v>
      </c>
      <c r="H340" s="720"/>
      <c r="I340" s="23">
        <f t="shared" si="56"/>
        <v>1</v>
      </c>
      <c r="J340" s="720"/>
      <c r="K340" s="23">
        <f t="shared" si="57"/>
        <v>1</v>
      </c>
      <c r="L340" s="720"/>
      <c r="M340" s="23">
        <f t="shared" si="58"/>
        <v>1</v>
      </c>
      <c r="N340" s="720"/>
      <c r="O340" s="23">
        <f t="shared" si="59"/>
        <v>1</v>
      </c>
      <c r="P340" s="720"/>
      <c r="Q340" s="23">
        <f t="shared" si="60"/>
        <v>1</v>
      </c>
      <c r="R340" s="716">
        <f t="shared" si="61"/>
        <v>0</v>
      </c>
      <c r="S340" s="361">
        <f t="shared" si="63"/>
        <v>0</v>
      </c>
    </row>
    <row r="341" spans="1:19">
      <c r="A341" s="159"/>
      <c r="B341" s="58"/>
      <c r="C341" s="23">
        <f t="shared" si="53"/>
        <v>1</v>
      </c>
      <c r="D341" s="720"/>
      <c r="E341" s="23">
        <f t="shared" si="54"/>
        <v>1</v>
      </c>
      <c r="F341" s="720"/>
      <c r="G341" s="23">
        <f t="shared" si="55"/>
        <v>1</v>
      </c>
      <c r="H341" s="720"/>
      <c r="I341" s="23">
        <f t="shared" si="56"/>
        <v>1</v>
      </c>
      <c r="J341" s="720"/>
      <c r="K341" s="23">
        <f t="shared" si="57"/>
        <v>1</v>
      </c>
      <c r="L341" s="720"/>
      <c r="M341" s="23">
        <f t="shared" si="58"/>
        <v>1</v>
      </c>
      <c r="N341" s="720"/>
      <c r="O341" s="23">
        <f t="shared" si="59"/>
        <v>1</v>
      </c>
      <c r="P341" s="720"/>
      <c r="Q341" s="23">
        <f t="shared" si="60"/>
        <v>1</v>
      </c>
      <c r="R341" s="716">
        <f t="shared" si="61"/>
        <v>0</v>
      </c>
      <c r="S341" s="361">
        <f t="shared" si="63"/>
        <v>0</v>
      </c>
    </row>
    <row r="342" spans="1:19">
      <c r="A342" s="159"/>
      <c r="B342" s="58"/>
      <c r="C342" s="23">
        <f t="shared" si="53"/>
        <v>1</v>
      </c>
      <c r="D342" s="720"/>
      <c r="E342" s="23">
        <f t="shared" si="54"/>
        <v>1</v>
      </c>
      <c r="F342" s="720"/>
      <c r="G342" s="23">
        <f t="shared" si="55"/>
        <v>1</v>
      </c>
      <c r="H342" s="720"/>
      <c r="I342" s="23">
        <f t="shared" si="56"/>
        <v>1</v>
      </c>
      <c r="J342" s="720"/>
      <c r="K342" s="23">
        <f t="shared" si="57"/>
        <v>1</v>
      </c>
      <c r="L342" s="720"/>
      <c r="M342" s="23">
        <f t="shared" si="58"/>
        <v>1</v>
      </c>
      <c r="N342" s="720"/>
      <c r="O342" s="23">
        <f t="shared" si="59"/>
        <v>1</v>
      </c>
      <c r="P342" s="720"/>
      <c r="Q342" s="23">
        <f t="shared" si="60"/>
        <v>1</v>
      </c>
      <c r="R342" s="716">
        <f t="shared" si="61"/>
        <v>0</v>
      </c>
      <c r="S342" s="361">
        <f t="shared" si="63"/>
        <v>0</v>
      </c>
    </row>
    <row r="343" spans="1:19">
      <c r="A343" s="159"/>
      <c r="B343" s="58"/>
      <c r="C343" s="23">
        <f t="shared" si="53"/>
        <v>1</v>
      </c>
      <c r="D343" s="720"/>
      <c r="E343" s="23">
        <f t="shared" si="54"/>
        <v>1</v>
      </c>
      <c r="F343" s="720"/>
      <c r="G343" s="23">
        <f t="shared" si="55"/>
        <v>1</v>
      </c>
      <c r="H343" s="720"/>
      <c r="I343" s="23">
        <f t="shared" si="56"/>
        <v>1</v>
      </c>
      <c r="J343" s="720"/>
      <c r="K343" s="23">
        <f t="shared" si="57"/>
        <v>1</v>
      </c>
      <c r="L343" s="720"/>
      <c r="M343" s="23">
        <f t="shared" si="58"/>
        <v>1</v>
      </c>
      <c r="N343" s="720"/>
      <c r="O343" s="23">
        <f t="shared" si="59"/>
        <v>1</v>
      </c>
      <c r="P343" s="720"/>
      <c r="Q343" s="23">
        <f t="shared" si="60"/>
        <v>1</v>
      </c>
      <c r="R343" s="716">
        <f t="shared" si="61"/>
        <v>0</v>
      </c>
      <c r="S343" s="361">
        <f t="shared" si="63"/>
        <v>0</v>
      </c>
    </row>
    <row r="344" spans="1:19">
      <c r="A344" s="159"/>
      <c r="B344" s="58"/>
      <c r="C344" s="23">
        <f t="shared" si="53"/>
        <v>1</v>
      </c>
      <c r="D344" s="720"/>
      <c r="E344" s="23">
        <f t="shared" si="54"/>
        <v>1</v>
      </c>
      <c r="F344" s="720"/>
      <c r="G344" s="23">
        <f t="shared" si="55"/>
        <v>1</v>
      </c>
      <c r="H344" s="720"/>
      <c r="I344" s="23">
        <f t="shared" si="56"/>
        <v>1</v>
      </c>
      <c r="J344" s="720"/>
      <c r="K344" s="23">
        <f t="shared" si="57"/>
        <v>1</v>
      </c>
      <c r="L344" s="720"/>
      <c r="M344" s="23">
        <f t="shared" si="58"/>
        <v>1</v>
      </c>
      <c r="N344" s="720"/>
      <c r="O344" s="23">
        <f t="shared" si="59"/>
        <v>1</v>
      </c>
      <c r="P344" s="720"/>
      <c r="Q344" s="23">
        <f t="shared" si="60"/>
        <v>1</v>
      </c>
      <c r="R344" s="716">
        <f t="shared" si="61"/>
        <v>0</v>
      </c>
      <c r="S344" s="361">
        <f t="shared" si="63"/>
        <v>0</v>
      </c>
    </row>
    <row r="345" spans="1:19">
      <c r="A345" s="159"/>
      <c r="B345" s="58"/>
      <c r="C345" s="23">
        <f t="shared" si="53"/>
        <v>1</v>
      </c>
      <c r="D345" s="720"/>
      <c r="E345" s="23">
        <f t="shared" si="54"/>
        <v>1</v>
      </c>
      <c r="F345" s="720"/>
      <c r="G345" s="23">
        <f t="shared" si="55"/>
        <v>1</v>
      </c>
      <c r="H345" s="720"/>
      <c r="I345" s="23">
        <f t="shared" si="56"/>
        <v>1</v>
      </c>
      <c r="J345" s="720"/>
      <c r="K345" s="23">
        <f t="shared" si="57"/>
        <v>1</v>
      </c>
      <c r="L345" s="720"/>
      <c r="M345" s="23">
        <f t="shared" si="58"/>
        <v>1</v>
      </c>
      <c r="N345" s="720"/>
      <c r="O345" s="23">
        <f t="shared" si="59"/>
        <v>1</v>
      </c>
      <c r="P345" s="720"/>
      <c r="Q345" s="23">
        <f t="shared" si="60"/>
        <v>1</v>
      </c>
      <c r="R345" s="716">
        <f t="shared" si="61"/>
        <v>0</v>
      </c>
      <c r="S345" s="361">
        <f t="shared" si="63"/>
        <v>0</v>
      </c>
    </row>
    <row r="346" spans="1:19">
      <c r="A346" s="159"/>
      <c r="B346" s="58"/>
      <c r="C346" s="23">
        <f t="shared" ref="C346:C409" si="64">IF(B346="",1,(LOOKUP(B346,$3:$3,$4:$4)-LOOKUP($B$24,$3:$3,$4:$4)+100)/100)</f>
        <v>1</v>
      </c>
      <c r="D346" s="720"/>
      <c r="E346" s="23">
        <f t="shared" ref="E346:E409" si="65">(SUMIF($5:$5,D346,$6:$6)-SUMIF($5:$5,$D$24,$6:$6)+100)/100</f>
        <v>1</v>
      </c>
      <c r="F346" s="720"/>
      <c r="G346" s="23">
        <f t="shared" ref="G346:G409" si="66">(SUMIF($7:$7,F346,$8:$8)-SUMIF($7:$7,$F$24,$8:$8)+100)/100</f>
        <v>1</v>
      </c>
      <c r="H346" s="720"/>
      <c r="I346" s="23">
        <f t="shared" ref="I346:I409" si="67">(SUMIF($9:$9,H346,$10:$10)-SUMIF($9:$9,$H$24,$10:$10)+100)/100</f>
        <v>1</v>
      </c>
      <c r="J346" s="720"/>
      <c r="K346" s="23">
        <f t="shared" ref="K346:K409" si="68">(SUMIF($11:$11,J346,$12:$12)-SUMIF($11:$11,$J$24,$12:$12)+100)/100</f>
        <v>1</v>
      </c>
      <c r="L346" s="720"/>
      <c r="M346" s="23">
        <f t="shared" ref="M346:M409" si="69">(SUMIF($13:$13,L346,$14:$14)-SUMIF($13:$13,$L$24,$14:$14)+100)/100</f>
        <v>1</v>
      </c>
      <c r="N346" s="720"/>
      <c r="O346" s="23">
        <f t="shared" ref="O346:O409" si="70">(SUMIF($15:$15,N346,$16:$16)-SUMIF($15:$15,$N$24,$16:$16)+100)/100</f>
        <v>1</v>
      </c>
      <c r="P346" s="720"/>
      <c r="Q346" s="23">
        <f t="shared" ref="Q346:Q409" si="71">(SUMIF($17:$17,P346,$18:$18)-SUMIF($17:$17,$P$24,$18:$18)+100)/100</f>
        <v>1</v>
      </c>
      <c r="R346" s="716">
        <f t="shared" ref="R346:R409" si="72">IF(B346="",0,ROUND($R$24*C346*E346*G346*I346*K346*M346*O346*Q346,0))</f>
        <v>0</v>
      </c>
      <c r="S346" s="361">
        <f t="shared" si="63"/>
        <v>0</v>
      </c>
    </row>
    <row r="347" spans="1:19">
      <c r="A347" s="159"/>
      <c r="B347" s="58"/>
      <c r="C347" s="23">
        <f t="shared" si="64"/>
        <v>1</v>
      </c>
      <c r="D347" s="720"/>
      <c r="E347" s="23">
        <f t="shared" si="65"/>
        <v>1</v>
      </c>
      <c r="F347" s="720"/>
      <c r="G347" s="23">
        <f t="shared" si="66"/>
        <v>1</v>
      </c>
      <c r="H347" s="720"/>
      <c r="I347" s="23">
        <f t="shared" si="67"/>
        <v>1</v>
      </c>
      <c r="J347" s="720"/>
      <c r="K347" s="23">
        <f t="shared" si="68"/>
        <v>1</v>
      </c>
      <c r="L347" s="720"/>
      <c r="M347" s="23">
        <f t="shared" si="69"/>
        <v>1</v>
      </c>
      <c r="N347" s="720"/>
      <c r="O347" s="23">
        <f t="shared" si="70"/>
        <v>1</v>
      </c>
      <c r="P347" s="720"/>
      <c r="Q347" s="23">
        <f t="shared" si="71"/>
        <v>1</v>
      </c>
      <c r="R347" s="716">
        <f t="shared" si="72"/>
        <v>0</v>
      </c>
      <c r="S347" s="361">
        <f t="shared" si="63"/>
        <v>0</v>
      </c>
    </row>
    <row r="348" spans="1:19">
      <c r="A348" s="159"/>
      <c r="B348" s="58"/>
      <c r="C348" s="23">
        <f t="shared" si="64"/>
        <v>1</v>
      </c>
      <c r="D348" s="720"/>
      <c r="E348" s="23">
        <f t="shared" si="65"/>
        <v>1</v>
      </c>
      <c r="F348" s="720"/>
      <c r="G348" s="23">
        <f t="shared" si="66"/>
        <v>1</v>
      </c>
      <c r="H348" s="720"/>
      <c r="I348" s="23">
        <f t="shared" si="67"/>
        <v>1</v>
      </c>
      <c r="J348" s="720"/>
      <c r="K348" s="23">
        <f t="shared" si="68"/>
        <v>1</v>
      </c>
      <c r="L348" s="720"/>
      <c r="M348" s="23">
        <f t="shared" si="69"/>
        <v>1</v>
      </c>
      <c r="N348" s="720"/>
      <c r="O348" s="23">
        <f t="shared" si="70"/>
        <v>1</v>
      </c>
      <c r="P348" s="720"/>
      <c r="Q348" s="23">
        <f t="shared" si="71"/>
        <v>1</v>
      </c>
      <c r="R348" s="716">
        <f t="shared" si="72"/>
        <v>0</v>
      </c>
      <c r="S348" s="361">
        <f t="shared" si="63"/>
        <v>0</v>
      </c>
    </row>
    <row r="349" spans="1:19">
      <c r="A349" s="159"/>
      <c r="B349" s="58"/>
      <c r="C349" s="23">
        <f t="shared" si="64"/>
        <v>1</v>
      </c>
      <c r="D349" s="720"/>
      <c r="E349" s="23">
        <f t="shared" si="65"/>
        <v>1</v>
      </c>
      <c r="F349" s="720"/>
      <c r="G349" s="23">
        <f t="shared" si="66"/>
        <v>1</v>
      </c>
      <c r="H349" s="720"/>
      <c r="I349" s="23">
        <f t="shared" si="67"/>
        <v>1</v>
      </c>
      <c r="J349" s="720"/>
      <c r="K349" s="23">
        <f t="shared" si="68"/>
        <v>1</v>
      </c>
      <c r="L349" s="720"/>
      <c r="M349" s="23">
        <f t="shared" si="69"/>
        <v>1</v>
      </c>
      <c r="N349" s="720"/>
      <c r="O349" s="23">
        <f t="shared" si="70"/>
        <v>1</v>
      </c>
      <c r="P349" s="720"/>
      <c r="Q349" s="23">
        <f t="shared" si="71"/>
        <v>1</v>
      </c>
      <c r="R349" s="716">
        <f t="shared" si="72"/>
        <v>0</v>
      </c>
      <c r="S349" s="361">
        <f t="shared" si="63"/>
        <v>0</v>
      </c>
    </row>
    <row r="350" spans="1:19">
      <c r="A350" s="159"/>
      <c r="B350" s="58"/>
      <c r="C350" s="23">
        <f t="shared" si="64"/>
        <v>1</v>
      </c>
      <c r="D350" s="720"/>
      <c r="E350" s="23">
        <f t="shared" si="65"/>
        <v>1</v>
      </c>
      <c r="F350" s="720"/>
      <c r="G350" s="23">
        <f t="shared" si="66"/>
        <v>1</v>
      </c>
      <c r="H350" s="720"/>
      <c r="I350" s="23">
        <f t="shared" si="67"/>
        <v>1</v>
      </c>
      <c r="J350" s="720"/>
      <c r="K350" s="23">
        <f t="shared" si="68"/>
        <v>1</v>
      </c>
      <c r="L350" s="720"/>
      <c r="M350" s="23">
        <f t="shared" si="69"/>
        <v>1</v>
      </c>
      <c r="N350" s="720"/>
      <c r="O350" s="23">
        <f t="shared" si="70"/>
        <v>1</v>
      </c>
      <c r="P350" s="720"/>
      <c r="Q350" s="23">
        <f t="shared" si="71"/>
        <v>1</v>
      </c>
      <c r="R350" s="716">
        <f t="shared" si="72"/>
        <v>0</v>
      </c>
      <c r="S350" s="361">
        <f t="shared" si="63"/>
        <v>0</v>
      </c>
    </row>
    <row r="351" spans="1:19">
      <c r="A351" s="159"/>
      <c r="B351" s="58"/>
      <c r="C351" s="23">
        <f t="shared" si="64"/>
        <v>1</v>
      </c>
      <c r="D351" s="720"/>
      <c r="E351" s="23">
        <f t="shared" si="65"/>
        <v>1</v>
      </c>
      <c r="F351" s="720"/>
      <c r="G351" s="23">
        <f t="shared" si="66"/>
        <v>1</v>
      </c>
      <c r="H351" s="720"/>
      <c r="I351" s="23">
        <f t="shared" si="67"/>
        <v>1</v>
      </c>
      <c r="J351" s="720"/>
      <c r="K351" s="23">
        <f t="shared" si="68"/>
        <v>1</v>
      </c>
      <c r="L351" s="720"/>
      <c r="M351" s="23">
        <f t="shared" si="69"/>
        <v>1</v>
      </c>
      <c r="N351" s="720"/>
      <c r="O351" s="23">
        <f t="shared" si="70"/>
        <v>1</v>
      </c>
      <c r="P351" s="720"/>
      <c r="Q351" s="23">
        <f t="shared" si="71"/>
        <v>1</v>
      </c>
      <c r="R351" s="716">
        <f t="shared" si="72"/>
        <v>0</v>
      </c>
      <c r="S351" s="361">
        <f t="shared" si="63"/>
        <v>0</v>
      </c>
    </row>
    <row r="352" spans="1:19">
      <c r="A352" s="159"/>
      <c r="B352" s="58"/>
      <c r="C352" s="23">
        <f t="shared" si="64"/>
        <v>1</v>
      </c>
      <c r="D352" s="720"/>
      <c r="E352" s="23">
        <f t="shared" si="65"/>
        <v>1</v>
      </c>
      <c r="F352" s="720"/>
      <c r="G352" s="23">
        <f t="shared" si="66"/>
        <v>1</v>
      </c>
      <c r="H352" s="720"/>
      <c r="I352" s="23">
        <f t="shared" si="67"/>
        <v>1</v>
      </c>
      <c r="J352" s="720"/>
      <c r="K352" s="23">
        <f t="shared" si="68"/>
        <v>1</v>
      </c>
      <c r="L352" s="720"/>
      <c r="M352" s="23">
        <f t="shared" si="69"/>
        <v>1</v>
      </c>
      <c r="N352" s="720"/>
      <c r="O352" s="23">
        <f t="shared" si="70"/>
        <v>1</v>
      </c>
      <c r="P352" s="720"/>
      <c r="Q352" s="23">
        <f t="shared" si="71"/>
        <v>1</v>
      </c>
      <c r="R352" s="716">
        <f t="shared" si="72"/>
        <v>0</v>
      </c>
      <c r="S352" s="361">
        <f t="shared" si="63"/>
        <v>0</v>
      </c>
    </row>
    <row r="353" spans="1:19">
      <c r="A353" s="159"/>
      <c r="B353" s="58"/>
      <c r="C353" s="23">
        <f t="shared" si="64"/>
        <v>1</v>
      </c>
      <c r="D353" s="720"/>
      <c r="E353" s="23">
        <f t="shared" si="65"/>
        <v>1</v>
      </c>
      <c r="F353" s="720"/>
      <c r="G353" s="23">
        <f t="shared" si="66"/>
        <v>1</v>
      </c>
      <c r="H353" s="720"/>
      <c r="I353" s="23">
        <f t="shared" si="67"/>
        <v>1</v>
      </c>
      <c r="J353" s="720"/>
      <c r="K353" s="23">
        <f t="shared" si="68"/>
        <v>1</v>
      </c>
      <c r="L353" s="720"/>
      <c r="M353" s="23">
        <f t="shared" si="69"/>
        <v>1</v>
      </c>
      <c r="N353" s="720"/>
      <c r="O353" s="23">
        <f t="shared" si="70"/>
        <v>1</v>
      </c>
      <c r="P353" s="720"/>
      <c r="Q353" s="23">
        <f t="shared" si="71"/>
        <v>1</v>
      </c>
      <c r="R353" s="716">
        <f t="shared" si="72"/>
        <v>0</v>
      </c>
      <c r="S353" s="361">
        <f t="shared" si="63"/>
        <v>0</v>
      </c>
    </row>
    <row r="354" spans="1:19">
      <c r="A354" s="159"/>
      <c r="B354" s="58"/>
      <c r="C354" s="23">
        <f t="shared" si="64"/>
        <v>1</v>
      </c>
      <c r="D354" s="720"/>
      <c r="E354" s="23">
        <f t="shared" si="65"/>
        <v>1</v>
      </c>
      <c r="F354" s="720"/>
      <c r="G354" s="23">
        <f t="shared" si="66"/>
        <v>1</v>
      </c>
      <c r="H354" s="720"/>
      <c r="I354" s="23">
        <f t="shared" si="67"/>
        <v>1</v>
      </c>
      <c r="J354" s="720"/>
      <c r="K354" s="23">
        <f t="shared" si="68"/>
        <v>1</v>
      </c>
      <c r="L354" s="720"/>
      <c r="M354" s="23">
        <f t="shared" si="69"/>
        <v>1</v>
      </c>
      <c r="N354" s="720"/>
      <c r="O354" s="23">
        <f t="shared" si="70"/>
        <v>1</v>
      </c>
      <c r="P354" s="720"/>
      <c r="Q354" s="23">
        <f t="shared" si="71"/>
        <v>1</v>
      </c>
      <c r="R354" s="716">
        <f t="shared" si="72"/>
        <v>0</v>
      </c>
      <c r="S354" s="361">
        <f t="shared" si="63"/>
        <v>0</v>
      </c>
    </row>
    <row r="355" spans="1:19">
      <c r="A355" s="159"/>
      <c r="B355" s="58"/>
      <c r="C355" s="23">
        <f t="shared" si="64"/>
        <v>1</v>
      </c>
      <c r="D355" s="720"/>
      <c r="E355" s="23">
        <f t="shared" si="65"/>
        <v>1</v>
      </c>
      <c r="F355" s="720"/>
      <c r="G355" s="23">
        <f t="shared" si="66"/>
        <v>1</v>
      </c>
      <c r="H355" s="720"/>
      <c r="I355" s="23">
        <f t="shared" si="67"/>
        <v>1</v>
      </c>
      <c r="J355" s="720"/>
      <c r="K355" s="23">
        <f t="shared" si="68"/>
        <v>1</v>
      </c>
      <c r="L355" s="720"/>
      <c r="M355" s="23">
        <f t="shared" si="69"/>
        <v>1</v>
      </c>
      <c r="N355" s="720"/>
      <c r="O355" s="23">
        <f t="shared" si="70"/>
        <v>1</v>
      </c>
      <c r="P355" s="720"/>
      <c r="Q355" s="23">
        <f t="shared" si="71"/>
        <v>1</v>
      </c>
      <c r="R355" s="716">
        <f t="shared" si="72"/>
        <v>0</v>
      </c>
      <c r="S355" s="361">
        <f t="shared" si="63"/>
        <v>0</v>
      </c>
    </row>
    <row r="356" spans="1:19">
      <c r="A356" s="159"/>
      <c r="B356" s="58"/>
      <c r="C356" s="23">
        <f t="shared" si="64"/>
        <v>1</v>
      </c>
      <c r="D356" s="720"/>
      <c r="E356" s="23">
        <f t="shared" si="65"/>
        <v>1</v>
      </c>
      <c r="F356" s="720"/>
      <c r="G356" s="23">
        <f t="shared" si="66"/>
        <v>1</v>
      </c>
      <c r="H356" s="720"/>
      <c r="I356" s="23">
        <f t="shared" si="67"/>
        <v>1</v>
      </c>
      <c r="J356" s="720"/>
      <c r="K356" s="23">
        <f t="shared" si="68"/>
        <v>1</v>
      </c>
      <c r="L356" s="720"/>
      <c r="M356" s="23">
        <f t="shared" si="69"/>
        <v>1</v>
      </c>
      <c r="N356" s="720"/>
      <c r="O356" s="23">
        <f t="shared" si="70"/>
        <v>1</v>
      </c>
      <c r="P356" s="720"/>
      <c r="Q356" s="23">
        <f t="shared" si="71"/>
        <v>1</v>
      </c>
      <c r="R356" s="716">
        <f t="shared" si="72"/>
        <v>0</v>
      </c>
      <c r="S356" s="361">
        <f t="shared" si="63"/>
        <v>0</v>
      </c>
    </row>
    <row r="357" spans="1:19">
      <c r="A357" s="159"/>
      <c r="B357" s="58"/>
      <c r="C357" s="23">
        <f t="shared" si="64"/>
        <v>1</v>
      </c>
      <c r="D357" s="720"/>
      <c r="E357" s="23">
        <f t="shared" si="65"/>
        <v>1</v>
      </c>
      <c r="F357" s="720"/>
      <c r="G357" s="23">
        <f t="shared" si="66"/>
        <v>1</v>
      </c>
      <c r="H357" s="720"/>
      <c r="I357" s="23">
        <f t="shared" si="67"/>
        <v>1</v>
      </c>
      <c r="J357" s="720"/>
      <c r="K357" s="23">
        <f t="shared" si="68"/>
        <v>1</v>
      </c>
      <c r="L357" s="720"/>
      <c r="M357" s="23">
        <f t="shared" si="69"/>
        <v>1</v>
      </c>
      <c r="N357" s="720"/>
      <c r="O357" s="23">
        <f t="shared" si="70"/>
        <v>1</v>
      </c>
      <c r="P357" s="720"/>
      <c r="Q357" s="23">
        <f t="shared" si="71"/>
        <v>1</v>
      </c>
      <c r="R357" s="716">
        <f t="shared" si="72"/>
        <v>0</v>
      </c>
      <c r="S357" s="361">
        <f t="shared" si="63"/>
        <v>0</v>
      </c>
    </row>
    <row r="358" spans="1:19">
      <c r="A358" s="159"/>
      <c r="B358" s="58"/>
      <c r="C358" s="23">
        <f t="shared" si="64"/>
        <v>1</v>
      </c>
      <c r="D358" s="720"/>
      <c r="E358" s="23">
        <f t="shared" si="65"/>
        <v>1</v>
      </c>
      <c r="F358" s="720"/>
      <c r="G358" s="23">
        <f t="shared" si="66"/>
        <v>1</v>
      </c>
      <c r="H358" s="720"/>
      <c r="I358" s="23">
        <f t="shared" si="67"/>
        <v>1</v>
      </c>
      <c r="J358" s="720"/>
      <c r="K358" s="23">
        <f t="shared" si="68"/>
        <v>1</v>
      </c>
      <c r="L358" s="720"/>
      <c r="M358" s="23">
        <f t="shared" si="69"/>
        <v>1</v>
      </c>
      <c r="N358" s="720"/>
      <c r="O358" s="23">
        <f t="shared" si="70"/>
        <v>1</v>
      </c>
      <c r="P358" s="720"/>
      <c r="Q358" s="23">
        <f t="shared" si="71"/>
        <v>1</v>
      </c>
      <c r="R358" s="716">
        <f t="shared" si="72"/>
        <v>0</v>
      </c>
      <c r="S358" s="361">
        <f t="shared" si="63"/>
        <v>0</v>
      </c>
    </row>
    <row r="359" spans="1:19">
      <c r="A359" s="159"/>
      <c r="B359" s="58"/>
      <c r="C359" s="23">
        <f t="shared" si="64"/>
        <v>1</v>
      </c>
      <c r="D359" s="720"/>
      <c r="E359" s="23">
        <f t="shared" si="65"/>
        <v>1</v>
      </c>
      <c r="F359" s="720"/>
      <c r="G359" s="23">
        <f t="shared" si="66"/>
        <v>1</v>
      </c>
      <c r="H359" s="720"/>
      <c r="I359" s="23">
        <f t="shared" si="67"/>
        <v>1</v>
      </c>
      <c r="J359" s="720"/>
      <c r="K359" s="23">
        <f t="shared" si="68"/>
        <v>1</v>
      </c>
      <c r="L359" s="720"/>
      <c r="M359" s="23">
        <f t="shared" si="69"/>
        <v>1</v>
      </c>
      <c r="N359" s="720"/>
      <c r="O359" s="23">
        <f t="shared" si="70"/>
        <v>1</v>
      </c>
      <c r="P359" s="720"/>
      <c r="Q359" s="23">
        <f t="shared" si="71"/>
        <v>1</v>
      </c>
      <c r="R359" s="716">
        <f t="shared" si="72"/>
        <v>0</v>
      </c>
      <c r="S359" s="361">
        <f t="shared" si="63"/>
        <v>0</v>
      </c>
    </row>
    <row r="360" spans="1:19">
      <c r="A360" s="159"/>
      <c r="B360" s="58"/>
      <c r="C360" s="23">
        <f t="shared" si="64"/>
        <v>1</v>
      </c>
      <c r="D360" s="720"/>
      <c r="E360" s="23">
        <f t="shared" si="65"/>
        <v>1</v>
      </c>
      <c r="F360" s="720"/>
      <c r="G360" s="23">
        <f t="shared" si="66"/>
        <v>1</v>
      </c>
      <c r="H360" s="720"/>
      <c r="I360" s="23">
        <f t="shared" si="67"/>
        <v>1</v>
      </c>
      <c r="J360" s="720"/>
      <c r="K360" s="23">
        <f t="shared" si="68"/>
        <v>1</v>
      </c>
      <c r="L360" s="720"/>
      <c r="M360" s="23">
        <f t="shared" si="69"/>
        <v>1</v>
      </c>
      <c r="N360" s="720"/>
      <c r="O360" s="23">
        <f t="shared" si="70"/>
        <v>1</v>
      </c>
      <c r="P360" s="720"/>
      <c r="Q360" s="23">
        <f t="shared" si="71"/>
        <v>1</v>
      </c>
      <c r="R360" s="716">
        <f t="shared" si="72"/>
        <v>0</v>
      </c>
      <c r="S360" s="361">
        <f t="shared" si="63"/>
        <v>0</v>
      </c>
    </row>
    <row r="361" spans="1:19">
      <c r="A361" s="159"/>
      <c r="B361" s="58"/>
      <c r="C361" s="23">
        <f t="shared" si="64"/>
        <v>1</v>
      </c>
      <c r="D361" s="720"/>
      <c r="E361" s="23">
        <f t="shared" si="65"/>
        <v>1</v>
      </c>
      <c r="F361" s="720"/>
      <c r="G361" s="23">
        <f t="shared" si="66"/>
        <v>1</v>
      </c>
      <c r="H361" s="720"/>
      <c r="I361" s="23">
        <f t="shared" si="67"/>
        <v>1</v>
      </c>
      <c r="J361" s="720"/>
      <c r="K361" s="23">
        <f t="shared" si="68"/>
        <v>1</v>
      </c>
      <c r="L361" s="720"/>
      <c r="M361" s="23">
        <f t="shared" si="69"/>
        <v>1</v>
      </c>
      <c r="N361" s="720"/>
      <c r="O361" s="23">
        <f t="shared" si="70"/>
        <v>1</v>
      </c>
      <c r="P361" s="720"/>
      <c r="Q361" s="23">
        <f t="shared" si="71"/>
        <v>1</v>
      </c>
      <c r="R361" s="716">
        <f t="shared" si="72"/>
        <v>0</v>
      </c>
      <c r="S361" s="361">
        <f t="shared" si="63"/>
        <v>0</v>
      </c>
    </row>
    <row r="362" spans="1:19">
      <c r="A362" s="159"/>
      <c r="B362" s="58"/>
      <c r="C362" s="23">
        <f t="shared" si="64"/>
        <v>1</v>
      </c>
      <c r="D362" s="720"/>
      <c r="E362" s="23">
        <f t="shared" si="65"/>
        <v>1</v>
      </c>
      <c r="F362" s="720"/>
      <c r="G362" s="23">
        <f t="shared" si="66"/>
        <v>1</v>
      </c>
      <c r="H362" s="720"/>
      <c r="I362" s="23">
        <f t="shared" si="67"/>
        <v>1</v>
      </c>
      <c r="J362" s="720"/>
      <c r="K362" s="23">
        <f t="shared" si="68"/>
        <v>1</v>
      </c>
      <c r="L362" s="720"/>
      <c r="M362" s="23">
        <f t="shared" si="69"/>
        <v>1</v>
      </c>
      <c r="N362" s="720"/>
      <c r="O362" s="23">
        <f t="shared" si="70"/>
        <v>1</v>
      </c>
      <c r="P362" s="720"/>
      <c r="Q362" s="23">
        <f t="shared" si="71"/>
        <v>1</v>
      </c>
      <c r="R362" s="716">
        <f t="shared" si="72"/>
        <v>0</v>
      </c>
      <c r="S362" s="361">
        <f t="shared" si="63"/>
        <v>0</v>
      </c>
    </row>
    <row r="363" spans="1:19">
      <c r="A363" s="159"/>
      <c r="B363" s="58"/>
      <c r="C363" s="23">
        <f t="shared" si="64"/>
        <v>1</v>
      </c>
      <c r="D363" s="720"/>
      <c r="E363" s="23">
        <f t="shared" si="65"/>
        <v>1</v>
      </c>
      <c r="F363" s="720"/>
      <c r="G363" s="23">
        <f t="shared" si="66"/>
        <v>1</v>
      </c>
      <c r="H363" s="720"/>
      <c r="I363" s="23">
        <f t="shared" si="67"/>
        <v>1</v>
      </c>
      <c r="J363" s="720"/>
      <c r="K363" s="23">
        <f t="shared" si="68"/>
        <v>1</v>
      </c>
      <c r="L363" s="720"/>
      <c r="M363" s="23">
        <f t="shared" si="69"/>
        <v>1</v>
      </c>
      <c r="N363" s="720"/>
      <c r="O363" s="23">
        <f t="shared" si="70"/>
        <v>1</v>
      </c>
      <c r="P363" s="720"/>
      <c r="Q363" s="23">
        <f t="shared" si="71"/>
        <v>1</v>
      </c>
      <c r="R363" s="716">
        <f t="shared" si="72"/>
        <v>0</v>
      </c>
      <c r="S363" s="361">
        <f t="shared" si="63"/>
        <v>0</v>
      </c>
    </row>
    <row r="364" spans="1:19">
      <c r="A364" s="159"/>
      <c r="B364" s="58"/>
      <c r="C364" s="23">
        <f t="shared" si="64"/>
        <v>1</v>
      </c>
      <c r="D364" s="720"/>
      <c r="E364" s="23">
        <f t="shared" si="65"/>
        <v>1</v>
      </c>
      <c r="F364" s="720"/>
      <c r="G364" s="23">
        <f t="shared" si="66"/>
        <v>1</v>
      </c>
      <c r="H364" s="720"/>
      <c r="I364" s="23">
        <f t="shared" si="67"/>
        <v>1</v>
      </c>
      <c r="J364" s="720"/>
      <c r="K364" s="23">
        <f t="shared" si="68"/>
        <v>1</v>
      </c>
      <c r="L364" s="720"/>
      <c r="M364" s="23">
        <f t="shared" si="69"/>
        <v>1</v>
      </c>
      <c r="N364" s="720"/>
      <c r="O364" s="23">
        <f t="shared" si="70"/>
        <v>1</v>
      </c>
      <c r="P364" s="720"/>
      <c r="Q364" s="23">
        <f t="shared" si="71"/>
        <v>1</v>
      </c>
      <c r="R364" s="716">
        <f t="shared" si="72"/>
        <v>0</v>
      </c>
      <c r="S364" s="361">
        <f t="shared" si="63"/>
        <v>0</v>
      </c>
    </row>
    <row r="365" spans="1:19">
      <c r="A365" s="159"/>
      <c r="B365" s="58"/>
      <c r="C365" s="23">
        <f t="shared" si="64"/>
        <v>1</v>
      </c>
      <c r="D365" s="720"/>
      <c r="E365" s="23">
        <f t="shared" si="65"/>
        <v>1</v>
      </c>
      <c r="F365" s="720"/>
      <c r="G365" s="23">
        <f t="shared" si="66"/>
        <v>1</v>
      </c>
      <c r="H365" s="720"/>
      <c r="I365" s="23">
        <f t="shared" si="67"/>
        <v>1</v>
      </c>
      <c r="J365" s="720"/>
      <c r="K365" s="23">
        <f t="shared" si="68"/>
        <v>1</v>
      </c>
      <c r="L365" s="720"/>
      <c r="M365" s="23">
        <f t="shared" si="69"/>
        <v>1</v>
      </c>
      <c r="N365" s="720"/>
      <c r="O365" s="23">
        <f t="shared" si="70"/>
        <v>1</v>
      </c>
      <c r="P365" s="720"/>
      <c r="Q365" s="23">
        <f t="shared" si="71"/>
        <v>1</v>
      </c>
      <c r="R365" s="716">
        <f t="shared" si="72"/>
        <v>0</v>
      </c>
      <c r="S365" s="361">
        <f t="shared" si="63"/>
        <v>0</v>
      </c>
    </row>
    <row r="366" spans="1:19">
      <c r="A366" s="159"/>
      <c r="B366" s="58"/>
      <c r="C366" s="23">
        <f t="shared" si="64"/>
        <v>1</v>
      </c>
      <c r="D366" s="720"/>
      <c r="E366" s="23">
        <f t="shared" si="65"/>
        <v>1</v>
      </c>
      <c r="F366" s="720"/>
      <c r="G366" s="23">
        <f t="shared" si="66"/>
        <v>1</v>
      </c>
      <c r="H366" s="720"/>
      <c r="I366" s="23">
        <f t="shared" si="67"/>
        <v>1</v>
      </c>
      <c r="J366" s="720"/>
      <c r="K366" s="23">
        <f t="shared" si="68"/>
        <v>1</v>
      </c>
      <c r="L366" s="720"/>
      <c r="M366" s="23">
        <f t="shared" si="69"/>
        <v>1</v>
      </c>
      <c r="N366" s="720"/>
      <c r="O366" s="23">
        <f t="shared" si="70"/>
        <v>1</v>
      </c>
      <c r="P366" s="720"/>
      <c r="Q366" s="23">
        <f t="shared" si="71"/>
        <v>1</v>
      </c>
      <c r="R366" s="716">
        <f t="shared" si="72"/>
        <v>0</v>
      </c>
      <c r="S366" s="361">
        <f t="shared" si="63"/>
        <v>0</v>
      </c>
    </row>
    <row r="367" spans="1:19">
      <c r="A367" s="159"/>
      <c r="B367" s="58"/>
      <c r="C367" s="23">
        <f t="shared" si="64"/>
        <v>1</v>
      </c>
      <c r="D367" s="720"/>
      <c r="E367" s="23">
        <f t="shared" si="65"/>
        <v>1</v>
      </c>
      <c r="F367" s="720"/>
      <c r="G367" s="23">
        <f t="shared" si="66"/>
        <v>1</v>
      </c>
      <c r="H367" s="720"/>
      <c r="I367" s="23">
        <f t="shared" si="67"/>
        <v>1</v>
      </c>
      <c r="J367" s="720"/>
      <c r="K367" s="23">
        <f t="shared" si="68"/>
        <v>1</v>
      </c>
      <c r="L367" s="720"/>
      <c r="M367" s="23">
        <f t="shared" si="69"/>
        <v>1</v>
      </c>
      <c r="N367" s="720"/>
      <c r="O367" s="23">
        <f t="shared" si="70"/>
        <v>1</v>
      </c>
      <c r="P367" s="720"/>
      <c r="Q367" s="23">
        <f t="shared" si="71"/>
        <v>1</v>
      </c>
      <c r="R367" s="716">
        <f t="shared" si="72"/>
        <v>0</v>
      </c>
      <c r="S367" s="361">
        <f t="shared" si="63"/>
        <v>0</v>
      </c>
    </row>
    <row r="368" spans="1:19">
      <c r="A368" s="159"/>
      <c r="B368" s="58"/>
      <c r="C368" s="23">
        <f t="shared" si="64"/>
        <v>1</v>
      </c>
      <c r="D368" s="720"/>
      <c r="E368" s="23">
        <f t="shared" si="65"/>
        <v>1</v>
      </c>
      <c r="F368" s="720"/>
      <c r="G368" s="23">
        <f t="shared" si="66"/>
        <v>1</v>
      </c>
      <c r="H368" s="720"/>
      <c r="I368" s="23">
        <f t="shared" si="67"/>
        <v>1</v>
      </c>
      <c r="J368" s="720"/>
      <c r="K368" s="23">
        <f t="shared" si="68"/>
        <v>1</v>
      </c>
      <c r="L368" s="720"/>
      <c r="M368" s="23">
        <f t="shared" si="69"/>
        <v>1</v>
      </c>
      <c r="N368" s="720"/>
      <c r="O368" s="23">
        <f t="shared" si="70"/>
        <v>1</v>
      </c>
      <c r="P368" s="720"/>
      <c r="Q368" s="23">
        <f t="shared" si="71"/>
        <v>1</v>
      </c>
      <c r="R368" s="716">
        <f t="shared" si="72"/>
        <v>0</v>
      </c>
      <c r="S368" s="361">
        <f t="shared" si="63"/>
        <v>0</v>
      </c>
    </row>
    <row r="369" spans="1:19">
      <c r="A369" s="159"/>
      <c r="B369" s="58"/>
      <c r="C369" s="23">
        <f t="shared" si="64"/>
        <v>1</v>
      </c>
      <c r="D369" s="720"/>
      <c r="E369" s="23">
        <f t="shared" si="65"/>
        <v>1</v>
      </c>
      <c r="F369" s="720"/>
      <c r="G369" s="23">
        <f t="shared" si="66"/>
        <v>1</v>
      </c>
      <c r="H369" s="720"/>
      <c r="I369" s="23">
        <f t="shared" si="67"/>
        <v>1</v>
      </c>
      <c r="J369" s="720"/>
      <c r="K369" s="23">
        <f t="shared" si="68"/>
        <v>1</v>
      </c>
      <c r="L369" s="720"/>
      <c r="M369" s="23">
        <f t="shared" si="69"/>
        <v>1</v>
      </c>
      <c r="N369" s="720"/>
      <c r="O369" s="23">
        <f t="shared" si="70"/>
        <v>1</v>
      </c>
      <c r="P369" s="720"/>
      <c r="Q369" s="23">
        <f t="shared" si="71"/>
        <v>1</v>
      </c>
      <c r="R369" s="716">
        <f t="shared" si="72"/>
        <v>0</v>
      </c>
      <c r="S369" s="361">
        <f t="shared" si="63"/>
        <v>0</v>
      </c>
    </row>
    <row r="370" spans="1:19">
      <c r="A370" s="159"/>
      <c r="B370" s="58"/>
      <c r="C370" s="23">
        <f t="shared" si="64"/>
        <v>1</v>
      </c>
      <c r="D370" s="720"/>
      <c r="E370" s="23">
        <f t="shared" si="65"/>
        <v>1</v>
      </c>
      <c r="F370" s="720"/>
      <c r="G370" s="23">
        <f t="shared" si="66"/>
        <v>1</v>
      </c>
      <c r="H370" s="720"/>
      <c r="I370" s="23">
        <f t="shared" si="67"/>
        <v>1</v>
      </c>
      <c r="J370" s="720"/>
      <c r="K370" s="23">
        <f t="shared" si="68"/>
        <v>1</v>
      </c>
      <c r="L370" s="720"/>
      <c r="M370" s="23">
        <f t="shared" si="69"/>
        <v>1</v>
      </c>
      <c r="N370" s="720"/>
      <c r="O370" s="23">
        <f t="shared" si="70"/>
        <v>1</v>
      </c>
      <c r="P370" s="720"/>
      <c r="Q370" s="23">
        <f t="shared" si="71"/>
        <v>1</v>
      </c>
      <c r="R370" s="716">
        <f t="shared" si="72"/>
        <v>0</v>
      </c>
      <c r="S370" s="361">
        <f t="shared" si="63"/>
        <v>0</v>
      </c>
    </row>
    <row r="371" spans="1:19">
      <c r="A371" s="159"/>
      <c r="B371" s="58"/>
      <c r="C371" s="23">
        <f t="shared" si="64"/>
        <v>1</v>
      </c>
      <c r="D371" s="720"/>
      <c r="E371" s="23">
        <f t="shared" si="65"/>
        <v>1</v>
      </c>
      <c r="F371" s="720"/>
      <c r="G371" s="23">
        <f t="shared" si="66"/>
        <v>1</v>
      </c>
      <c r="H371" s="720"/>
      <c r="I371" s="23">
        <f t="shared" si="67"/>
        <v>1</v>
      </c>
      <c r="J371" s="720"/>
      <c r="K371" s="23">
        <f t="shared" si="68"/>
        <v>1</v>
      </c>
      <c r="L371" s="720"/>
      <c r="M371" s="23">
        <f t="shared" si="69"/>
        <v>1</v>
      </c>
      <c r="N371" s="720"/>
      <c r="O371" s="23">
        <f t="shared" si="70"/>
        <v>1</v>
      </c>
      <c r="P371" s="720"/>
      <c r="Q371" s="23">
        <f t="shared" si="71"/>
        <v>1</v>
      </c>
      <c r="R371" s="716">
        <f t="shared" si="72"/>
        <v>0</v>
      </c>
      <c r="S371" s="361">
        <f t="shared" si="63"/>
        <v>0</v>
      </c>
    </row>
    <row r="372" spans="1:19">
      <c r="A372" s="159"/>
      <c r="B372" s="58"/>
      <c r="C372" s="23">
        <f t="shared" si="64"/>
        <v>1</v>
      </c>
      <c r="D372" s="720"/>
      <c r="E372" s="23">
        <f t="shared" si="65"/>
        <v>1</v>
      </c>
      <c r="F372" s="720"/>
      <c r="G372" s="23">
        <f t="shared" si="66"/>
        <v>1</v>
      </c>
      <c r="H372" s="720"/>
      <c r="I372" s="23">
        <f t="shared" si="67"/>
        <v>1</v>
      </c>
      <c r="J372" s="720"/>
      <c r="K372" s="23">
        <f t="shared" si="68"/>
        <v>1</v>
      </c>
      <c r="L372" s="720"/>
      <c r="M372" s="23">
        <f t="shared" si="69"/>
        <v>1</v>
      </c>
      <c r="N372" s="720"/>
      <c r="O372" s="23">
        <f t="shared" si="70"/>
        <v>1</v>
      </c>
      <c r="P372" s="720"/>
      <c r="Q372" s="23">
        <f t="shared" si="71"/>
        <v>1</v>
      </c>
      <c r="R372" s="716">
        <f t="shared" si="72"/>
        <v>0</v>
      </c>
      <c r="S372" s="361">
        <f t="shared" si="63"/>
        <v>0</v>
      </c>
    </row>
    <row r="373" spans="1:19">
      <c r="A373" s="159"/>
      <c r="B373" s="58"/>
      <c r="C373" s="23">
        <f t="shared" si="64"/>
        <v>1</v>
      </c>
      <c r="D373" s="720"/>
      <c r="E373" s="23">
        <f t="shared" si="65"/>
        <v>1</v>
      </c>
      <c r="F373" s="720"/>
      <c r="G373" s="23">
        <f t="shared" si="66"/>
        <v>1</v>
      </c>
      <c r="H373" s="720"/>
      <c r="I373" s="23">
        <f t="shared" si="67"/>
        <v>1</v>
      </c>
      <c r="J373" s="720"/>
      <c r="K373" s="23">
        <f t="shared" si="68"/>
        <v>1</v>
      </c>
      <c r="L373" s="720"/>
      <c r="M373" s="23">
        <f t="shared" si="69"/>
        <v>1</v>
      </c>
      <c r="N373" s="720"/>
      <c r="O373" s="23">
        <f t="shared" si="70"/>
        <v>1</v>
      </c>
      <c r="P373" s="720"/>
      <c r="Q373" s="23">
        <f t="shared" si="71"/>
        <v>1</v>
      </c>
      <c r="R373" s="716">
        <f t="shared" si="72"/>
        <v>0</v>
      </c>
      <c r="S373" s="361">
        <f t="shared" si="63"/>
        <v>0</v>
      </c>
    </row>
    <row r="374" spans="1:19">
      <c r="A374" s="159"/>
      <c r="B374" s="58"/>
      <c r="C374" s="23">
        <f t="shared" si="64"/>
        <v>1</v>
      </c>
      <c r="D374" s="720"/>
      <c r="E374" s="23">
        <f t="shared" si="65"/>
        <v>1</v>
      </c>
      <c r="F374" s="720"/>
      <c r="G374" s="23">
        <f t="shared" si="66"/>
        <v>1</v>
      </c>
      <c r="H374" s="720"/>
      <c r="I374" s="23">
        <f t="shared" si="67"/>
        <v>1</v>
      </c>
      <c r="J374" s="720"/>
      <c r="K374" s="23">
        <f t="shared" si="68"/>
        <v>1</v>
      </c>
      <c r="L374" s="720"/>
      <c r="M374" s="23">
        <f t="shared" si="69"/>
        <v>1</v>
      </c>
      <c r="N374" s="720"/>
      <c r="O374" s="23">
        <f t="shared" si="70"/>
        <v>1</v>
      </c>
      <c r="P374" s="720"/>
      <c r="Q374" s="23">
        <f t="shared" si="71"/>
        <v>1</v>
      </c>
      <c r="R374" s="716">
        <f t="shared" si="72"/>
        <v>0</v>
      </c>
      <c r="S374" s="361">
        <f t="shared" si="63"/>
        <v>0</v>
      </c>
    </row>
    <row r="375" spans="1:19">
      <c r="A375" s="159"/>
      <c r="B375" s="58"/>
      <c r="C375" s="23">
        <f t="shared" si="64"/>
        <v>1</v>
      </c>
      <c r="D375" s="720"/>
      <c r="E375" s="23">
        <f t="shared" si="65"/>
        <v>1</v>
      </c>
      <c r="F375" s="720"/>
      <c r="G375" s="23">
        <f t="shared" si="66"/>
        <v>1</v>
      </c>
      <c r="H375" s="720"/>
      <c r="I375" s="23">
        <f t="shared" si="67"/>
        <v>1</v>
      </c>
      <c r="J375" s="720"/>
      <c r="K375" s="23">
        <f t="shared" si="68"/>
        <v>1</v>
      </c>
      <c r="L375" s="720"/>
      <c r="M375" s="23">
        <f t="shared" si="69"/>
        <v>1</v>
      </c>
      <c r="N375" s="720"/>
      <c r="O375" s="23">
        <f t="shared" si="70"/>
        <v>1</v>
      </c>
      <c r="P375" s="720"/>
      <c r="Q375" s="23">
        <f t="shared" si="71"/>
        <v>1</v>
      </c>
      <c r="R375" s="716">
        <f t="shared" si="72"/>
        <v>0</v>
      </c>
      <c r="S375" s="361">
        <f t="shared" si="63"/>
        <v>0</v>
      </c>
    </row>
    <row r="376" spans="1:19">
      <c r="A376" s="159"/>
      <c r="B376" s="58"/>
      <c r="C376" s="23">
        <f t="shared" si="64"/>
        <v>1</v>
      </c>
      <c r="D376" s="720"/>
      <c r="E376" s="23">
        <f t="shared" si="65"/>
        <v>1</v>
      </c>
      <c r="F376" s="720"/>
      <c r="G376" s="23">
        <f t="shared" si="66"/>
        <v>1</v>
      </c>
      <c r="H376" s="720"/>
      <c r="I376" s="23">
        <f t="shared" si="67"/>
        <v>1</v>
      </c>
      <c r="J376" s="720"/>
      <c r="K376" s="23">
        <f t="shared" si="68"/>
        <v>1</v>
      </c>
      <c r="L376" s="720"/>
      <c r="M376" s="23">
        <f t="shared" si="69"/>
        <v>1</v>
      </c>
      <c r="N376" s="720"/>
      <c r="O376" s="23">
        <f t="shared" si="70"/>
        <v>1</v>
      </c>
      <c r="P376" s="720"/>
      <c r="Q376" s="23">
        <f t="shared" si="71"/>
        <v>1</v>
      </c>
      <c r="R376" s="716">
        <f t="shared" si="72"/>
        <v>0</v>
      </c>
      <c r="S376" s="361">
        <f t="shared" si="63"/>
        <v>0</v>
      </c>
    </row>
    <row r="377" spans="1:19">
      <c r="A377" s="159"/>
      <c r="B377" s="58"/>
      <c r="C377" s="23">
        <f t="shared" si="64"/>
        <v>1</v>
      </c>
      <c r="D377" s="720"/>
      <c r="E377" s="23">
        <f t="shared" si="65"/>
        <v>1</v>
      </c>
      <c r="F377" s="720"/>
      <c r="G377" s="23">
        <f t="shared" si="66"/>
        <v>1</v>
      </c>
      <c r="H377" s="720"/>
      <c r="I377" s="23">
        <f t="shared" si="67"/>
        <v>1</v>
      </c>
      <c r="J377" s="720"/>
      <c r="K377" s="23">
        <f t="shared" si="68"/>
        <v>1</v>
      </c>
      <c r="L377" s="720"/>
      <c r="M377" s="23">
        <f t="shared" si="69"/>
        <v>1</v>
      </c>
      <c r="N377" s="720"/>
      <c r="O377" s="23">
        <f t="shared" si="70"/>
        <v>1</v>
      </c>
      <c r="P377" s="720"/>
      <c r="Q377" s="23">
        <f t="shared" si="71"/>
        <v>1</v>
      </c>
      <c r="R377" s="716">
        <f t="shared" si="72"/>
        <v>0</v>
      </c>
      <c r="S377" s="361">
        <f t="shared" si="63"/>
        <v>0</v>
      </c>
    </row>
    <row r="378" spans="1:19">
      <c r="A378" s="159"/>
      <c r="B378" s="58"/>
      <c r="C378" s="23">
        <f t="shared" si="64"/>
        <v>1</v>
      </c>
      <c r="D378" s="720"/>
      <c r="E378" s="23">
        <f t="shared" si="65"/>
        <v>1</v>
      </c>
      <c r="F378" s="720"/>
      <c r="G378" s="23">
        <f t="shared" si="66"/>
        <v>1</v>
      </c>
      <c r="H378" s="720"/>
      <c r="I378" s="23">
        <f t="shared" si="67"/>
        <v>1</v>
      </c>
      <c r="J378" s="720"/>
      <c r="K378" s="23">
        <f t="shared" si="68"/>
        <v>1</v>
      </c>
      <c r="L378" s="720"/>
      <c r="M378" s="23">
        <f t="shared" si="69"/>
        <v>1</v>
      </c>
      <c r="N378" s="720"/>
      <c r="O378" s="23">
        <f t="shared" si="70"/>
        <v>1</v>
      </c>
      <c r="P378" s="720"/>
      <c r="Q378" s="23">
        <f t="shared" si="71"/>
        <v>1</v>
      </c>
      <c r="R378" s="716">
        <f t="shared" si="72"/>
        <v>0</v>
      </c>
      <c r="S378" s="361">
        <f t="shared" si="63"/>
        <v>0</v>
      </c>
    </row>
    <row r="379" spans="1:19">
      <c r="A379" s="159"/>
      <c r="B379" s="58"/>
      <c r="C379" s="23">
        <f t="shared" si="64"/>
        <v>1</v>
      </c>
      <c r="D379" s="720"/>
      <c r="E379" s="23">
        <f t="shared" si="65"/>
        <v>1</v>
      </c>
      <c r="F379" s="720"/>
      <c r="G379" s="23">
        <f t="shared" si="66"/>
        <v>1</v>
      </c>
      <c r="H379" s="720"/>
      <c r="I379" s="23">
        <f t="shared" si="67"/>
        <v>1</v>
      </c>
      <c r="J379" s="720"/>
      <c r="K379" s="23">
        <f t="shared" si="68"/>
        <v>1</v>
      </c>
      <c r="L379" s="720"/>
      <c r="M379" s="23">
        <f t="shared" si="69"/>
        <v>1</v>
      </c>
      <c r="N379" s="720"/>
      <c r="O379" s="23">
        <f t="shared" si="70"/>
        <v>1</v>
      </c>
      <c r="P379" s="720"/>
      <c r="Q379" s="23">
        <f t="shared" si="71"/>
        <v>1</v>
      </c>
      <c r="R379" s="716">
        <f t="shared" si="72"/>
        <v>0</v>
      </c>
      <c r="S379" s="361">
        <f t="shared" si="63"/>
        <v>0</v>
      </c>
    </row>
    <row r="380" spans="1:19">
      <c r="A380" s="159"/>
      <c r="B380" s="58"/>
      <c r="C380" s="23">
        <f t="shared" si="64"/>
        <v>1</v>
      </c>
      <c r="D380" s="720"/>
      <c r="E380" s="23">
        <f t="shared" si="65"/>
        <v>1</v>
      </c>
      <c r="F380" s="720"/>
      <c r="G380" s="23">
        <f t="shared" si="66"/>
        <v>1</v>
      </c>
      <c r="H380" s="720"/>
      <c r="I380" s="23">
        <f t="shared" si="67"/>
        <v>1</v>
      </c>
      <c r="J380" s="720"/>
      <c r="K380" s="23">
        <f t="shared" si="68"/>
        <v>1</v>
      </c>
      <c r="L380" s="720"/>
      <c r="M380" s="23">
        <f t="shared" si="69"/>
        <v>1</v>
      </c>
      <c r="N380" s="720"/>
      <c r="O380" s="23">
        <f t="shared" si="70"/>
        <v>1</v>
      </c>
      <c r="P380" s="720"/>
      <c r="Q380" s="23">
        <f t="shared" si="71"/>
        <v>1</v>
      </c>
      <c r="R380" s="716">
        <f t="shared" si="72"/>
        <v>0</v>
      </c>
      <c r="S380" s="361">
        <f t="shared" si="63"/>
        <v>0</v>
      </c>
    </row>
    <row r="381" spans="1:19">
      <c r="A381" s="159"/>
      <c r="B381" s="58"/>
      <c r="C381" s="23">
        <f t="shared" si="64"/>
        <v>1</v>
      </c>
      <c r="D381" s="720"/>
      <c r="E381" s="23">
        <f t="shared" si="65"/>
        <v>1</v>
      </c>
      <c r="F381" s="720"/>
      <c r="G381" s="23">
        <f t="shared" si="66"/>
        <v>1</v>
      </c>
      <c r="H381" s="720"/>
      <c r="I381" s="23">
        <f t="shared" si="67"/>
        <v>1</v>
      </c>
      <c r="J381" s="720"/>
      <c r="K381" s="23">
        <f t="shared" si="68"/>
        <v>1</v>
      </c>
      <c r="L381" s="720"/>
      <c r="M381" s="23">
        <f t="shared" si="69"/>
        <v>1</v>
      </c>
      <c r="N381" s="720"/>
      <c r="O381" s="23">
        <f t="shared" si="70"/>
        <v>1</v>
      </c>
      <c r="P381" s="720"/>
      <c r="Q381" s="23">
        <f t="shared" si="71"/>
        <v>1</v>
      </c>
      <c r="R381" s="716">
        <f t="shared" si="72"/>
        <v>0</v>
      </c>
      <c r="S381" s="361">
        <f t="shared" si="63"/>
        <v>0</v>
      </c>
    </row>
    <row r="382" spans="1:19">
      <c r="A382" s="159"/>
      <c r="B382" s="58"/>
      <c r="C382" s="23">
        <f t="shared" si="64"/>
        <v>1</v>
      </c>
      <c r="D382" s="720"/>
      <c r="E382" s="23">
        <f t="shared" si="65"/>
        <v>1</v>
      </c>
      <c r="F382" s="720"/>
      <c r="G382" s="23">
        <f t="shared" si="66"/>
        <v>1</v>
      </c>
      <c r="H382" s="720"/>
      <c r="I382" s="23">
        <f t="shared" si="67"/>
        <v>1</v>
      </c>
      <c r="J382" s="720"/>
      <c r="K382" s="23">
        <f t="shared" si="68"/>
        <v>1</v>
      </c>
      <c r="L382" s="720"/>
      <c r="M382" s="23">
        <f t="shared" si="69"/>
        <v>1</v>
      </c>
      <c r="N382" s="720"/>
      <c r="O382" s="23">
        <f t="shared" si="70"/>
        <v>1</v>
      </c>
      <c r="P382" s="720"/>
      <c r="Q382" s="23">
        <f t="shared" si="71"/>
        <v>1</v>
      </c>
      <c r="R382" s="716">
        <f t="shared" si="72"/>
        <v>0</v>
      </c>
      <c r="S382" s="361">
        <f t="shared" si="63"/>
        <v>0</v>
      </c>
    </row>
    <row r="383" spans="1:19">
      <c r="A383" s="159"/>
      <c r="B383" s="58"/>
      <c r="C383" s="23">
        <f t="shared" si="64"/>
        <v>1</v>
      </c>
      <c r="D383" s="720"/>
      <c r="E383" s="23">
        <f t="shared" si="65"/>
        <v>1</v>
      </c>
      <c r="F383" s="720"/>
      <c r="G383" s="23">
        <f t="shared" si="66"/>
        <v>1</v>
      </c>
      <c r="H383" s="720"/>
      <c r="I383" s="23">
        <f t="shared" si="67"/>
        <v>1</v>
      </c>
      <c r="J383" s="720"/>
      <c r="K383" s="23">
        <f t="shared" si="68"/>
        <v>1</v>
      </c>
      <c r="L383" s="720"/>
      <c r="M383" s="23">
        <f t="shared" si="69"/>
        <v>1</v>
      </c>
      <c r="N383" s="720"/>
      <c r="O383" s="23">
        <f t="shared" si="70"/>
        <v>1</v>
      </c>
      <c r="P383" s="720"/>
      <c r="Q383" s="23">
        <f t="shared" si="71"/>
        <v>1</v>
      </c>
      <c r="R383" s="716">
        <f t="shared" si="72"/>
        <v>0</v>
      </c>
      <c r="S383" s="361">
        <f t="shared" si="63"/>
        <v>0</v>
      </c>
    </row>
    <row r="384" spans="1:19">
      <c r="A384" s="159"/>
      <c r="B384" s="58"/>
      <c r="C384" s="23">
        <f t="shared" si="64"/>
        <v>1</v>
      </c>
      <c r="D384" s="720"/>
      <c r="E384" s="23">
        <f t="shared" si="65"/>
        <v>1</v>
      </c>
      <c r="F384" s="720"/>
      <c r="G384" s="23">
        <f t="shared" si="66"/>
        <v>1</v>
      </c>
      <c r="H384" s="720"/>
      <c r="I384" s="23">
        <f t="shared" si="67"/>
        <v>1</v>
      </c>
      <c r="J384" s="720"/>
      <c r="K384" s="23">
        <f t="shared" si="68"/>
        <v>1</v>
      </c>
      <c r="L384" s="720"/>
      <c r="M384" s="23">
        <f t="shared" si="69"/>
        <v>1</v>
      </c>
      <c r="N384" s="720"/>
      <c r="O384" s="23">
        <f t="shared" si="70"/>
        <v>1</v>
      </c>
      <c r="P384" s="720"/>
      <c r="Q384" s="23">
        <f t="shared" si="71"/>
        <v>1</v>
      </c>
      <c r="R384" s="716">
        <f t="shared" si="72"/>
        <v>0</v>
      </c>
      <c r="S384" s="361">
        <f t="shared" si="63"/>
        <v>0</v>
      </c>
    </row>
    <row r="385" spans="1:19">
      <c r="A385" s="159"/>
      <c r="B385" s="58"/>
      <c r="C385" s="23">
        <f t="shared" si="64"/>
        <v>1</v>
      </c>
      <c r="D385" s="720"/>
      <c r="E385" s="23">
        <f t="shared" si="65"/>
        <v>1</v>
      </c>
      <c r="F385" s="720"/>
      <c r="G385" s="23">
        <f t="shared" si="66"/>
        <v>1</v>
      </c>
      <c r="H385" s="720"/>
      <c r="I385" s="23">
        <f t="shared" si="67"/>
        <v>1</v>
      </c>
      <c r="J385" s="720"/>
      <c r="K385" s="23">
        <f t="shared" si="68"/>
        <v>1</v>
      </c>
      <c r="L385" s="720"/>
      <c r="M385" s="23">
        <f t="shared" si="69"/>
        <v>1</v>
      </c>
      <c r="N385" s="720"/>
      <c r="O385" s="23">
        <f t="shared" si="70"/>
        <v>1</v>
      </c>
      <c r="P385" s="720"/>
      <c r="Q385" s="23">
        <f t="shared" si="71"/>
        <v>1</v>
      </c>
      <c r="R385" s="716">
        <f t="shared" si="72"/>
        <v>0</v>
      </c>
      <c r="S385" s="361">
        <f t="shared" ref="S385:S422" si="73">ROUND(R385*B385/10000,0)</f>
        <v>0</v>
      </c>
    </row>
    <row r="386" spans="1:19">
      <c r="A386" s="159"/>
      <c r="B386" s="58"/>
      <c r="C386" s="23">
        <f t="shared" si="64"/>
        <v>1</v>
      </c>
      <c r="D386" s="720"/>
      <c r="E386" s="23">
        <f t="shared" si="65"/>
        <v>1</v>
      </c>
      <c r="F386" s="720"/>
      <c r="G386" s="23">
        <f t="shared" si="66"/>
        <v>1</v>
      </c>
      <c r="H386" s="720"/>
      <c r="I386" s="23">
        <f t="shared" si="67"/>
        <v>1</v>
      </c>
      <c r="J386" s="720"/>
      <c r="K386" s="23">
        <f t="shared" si="68"/>
        <v>1</v>
      </c>
      <c r="L386" s="720"/>
      <c r="M386" s="23">
        <f t="shared" si="69"/>
        <v>1</v>
      </c>
      <c r="N386" s="720"/>
      <c r="O386" s="23">
        <f t="shared" si="70"/>
        <v>1</v>
      </c>
      <c r="P386" s="720"/>
      <c r="Q386" s="23">
        <f t="shared" si="71"/>
        <v>1</v>
      </c>
      <c r="R386" s="716">
        <f t="shared" si="72"/>
        <v>0</v>
      </c>
      <c r="S386" s="361">
        <f t="shared" si="73"/>
        <v>0</v>
      </c>
    </row>
    <row r="387" spans="1:19">
      <c r="A387" s="159"/>
      <c r="B387" s="58"/>
      <c r="C387" s="23">
        <f t="shared" si="64"/>
        <v>1</v>
      </c>
      <c r="D387" s="720"/>
      <c r="E387" s="23">
        <f t="shared" si="65"/>
        <v>1</v>
      </c>
      <c r="F387" s="720"/>
      <c r="G387" s="23">
        <f t="shared" si="66"/>
        <v>1</v>
      </c>
      <c r="H387" s="720"/>
      <c r="I387" s="23">
        <f t="shared" si="67"/>
        <v>1</v>
      </c>
      <c r="J387" s="720"/>
      <c r="K387" s="23">
        <f t="shared" si="68"/>
        <v>1</v>
      </c>
      <c r="L387" s="720"/>
      <c r="M387" s="23">
        <f t="shared" si="69"/>
        <v>1</v>
      </c>
      <c r="N387" s="720"/>
      <c r="O387" s="23">
        <f t="shared" si="70"/>
        <v>1</v>
      </c>
      <c r="P387" s="720"/>
      <c r="Q387" s="23">
        <f t="shared" si="71"/>
        <v>1</v>
      </c>
      <c r="R387" s="716">
        <f t="shared" si="72"/>
        <v>0</v>
      </c>
      <c r="S387" s="361">
        <f t="shared" si="73"/>
        <v>0</v>
      </c>
    </row>
    <row r="388" spans="1:19">
      <c r="A388" s="159"/>
      <c r="B388" s="58"/>
      <c r="C388" s="23">
        <f t="shared" si="64"/>
        <v>1</v>
      </c>
      <c r="D388" s="720"/>
      <c r="E388" s="23">
        <f t="shared" si="65"/>
        <v>1</v>
      </c>
      <c r="F388" s="720"/>
      <c r="G388" s="23">
        <f t="shared" si="66"/>
        <v>1</v>
      </c>
      <c r="H388" s="720"/>
      <c r="I388" s="23">
        <f t="shared" si="67"/>
        <v>1</v>
      </c>
      <c r="J388" s="720"/>
      <c r="K388" s="23">
        <f t="shared" si="68"/>
        <v>1</v>
      </c>
      <c r="L388" s="720"/>
      <c r="M388" s="23">
        <f t="shared" si="69"/>
        <v>1</v>
      </c>
      <c r="N388" s="720"/>
      <c r="O388" s="23">
        <f t="shared" si="70"/>
        <v>1</v>
      </c>
      <c r="P388" s="720"/>
      <c r="Q388" s="23">
        <f t="shared" si="71"/>
        <v>1</v>
      </c>
      <c r="R388" s="716">
        <f t="shared" si="72"/>
        <v>0</v>
      </c>
      <c r="S388" s="361">
        <f t="shared" si="73"/>
        <v>0</v>
      </c>
    </row>
    <row r="389" spans="1:19">
      <c r="A389" s="159"/>
      <c r="B389" s="58"/>
      <c r="C389" s="23">
        <f t="shared" si="64"/>
        <v>1</v>
      </c>
      <c r="D389" s="720"/>
      <c r="E389" s="23">
        <f t="shared" si="65"/>
        <v>1</v>
      </c>
      <c r="F389" s="720"/>
      <c r="G389" s="23">
        <f t="shared" si="66"/>
        <v>1</v>
      </c>
      <c r="H389" s="720"/>
      <c r="I389" s="23">
        <f t="shared" si="67"/>
        <v>1</v>
      </c>
      <c r="J389" s="720"/>
      <c r="K389" s="23">
        <f t="shared" si="68"/>
        <v>1</v>
      </c>
      <c r="L389" s="720"/>
      <c r="M389" s="23">
        <f t="shared" si="69"/>
        <v>1</v>
      </c>
      <c r="N389" s="720"/>
      <c r="O389" s="23">
        <f t="shared" si="70"/>
        <v>1</v>
      </c>
      <c r="P389" s="720"/>
      <c r="Q389" s="23">
        <f t="shared" si="71"/>
        <v>1</v>
      </c>
      <c r="R389" s="716">
        <f t="shared" si="72"/>
        <v>0</v>
      </c>
      <c r="S389" s="361">
        <f t="shared" si="73"/>
        <v>0</v>
      </c>
    </row>
    <row r="390" spans="1:19">
      <c r="A390" s="159"/>
      <c r="B390" s="58"/>
      <c r="C390" s="23">
        <f t="shared" si="64"/>
        <v>1</v>
      </c>
      <c r="D390" s="720"/>
      <c r="E390" s="23">
        <f t="shared" si="65"/>
        <v>1</v>
      </c>
      <c r="F390" s="720"/>
      <c r="G390" s="23">
        <f t="shared" si="66"/>
        <v>1</v>
      </c>
      <c r="H390" s="720"/>
      <c r="I390" s="23">
        <f t="shared" si="67"/>
        <v>1</v>
      </c>
      <c r="J390" s="720"/>
      <c r="K390" s="23">
        <f t="shared" si="68"/>
        <v>1</v>
      </c>
      <c r="L390" s="720"/>
      <c r="M390" s="23">
        <f t="shared" si="69"/>
        <v>1</v>
      </c>
      <c r="N390" s="720"/>
      <c r="O390" s="23">
        <f t="shared" si="70"/>
        <v>1</v>
      </c>
      <c r="P390" s="720"/>
      <c r="Q390" s="23">
        <f t="shared" si="71"/>
        <v>1</v>
      </c>
      <c r="R390" s="716">
        <f t="shared" si="72"/>
        <v>0</v>
      </c>
      <c r="S390" s="361">
        <f t="shared" si="73"/>
        <v>0</v>
      </c>
    </row>
    <row r="391" spans="1:19">
      <c r="A391" s="159"/>
      <c r="B391" s="58"/>
      <c r="C391" s="23">
        <f t="shared" si="64"/>
        <v>1</v>
      </c>
      <c r="D391" s="720"/>
      <c r="E391" s="23">
        <f t="shared" si="65"/>
        <v>1</v>
      </c>
      <c r="F391" s="720"/>
      <c r="G391" s="23">
        <f t="shared" si="66"/>
        <v>1</v>
      </c>
      <c r="H391" s="720"/>
      <c r="I391" s="23">
        <f t="shared" si="67"/>
        <v>1</v>
      </c>
      <c r="J391" s="720"/>
      <c r="K391" s="23">
        <f t="shared" si="68"/>
        <v>1</v>
      </c>
      <c r="L391" s="720"/>
      <c r="M391" s="23">
        <f t="shared" si="69"/>
        <v>1</v>
      </c>
      <c r="N391" s="720"/>
      <c r="O391" s="23">
        <f t="shared" si="70"/>
        <v>1</v>
      </c>
      <c r="P391" s="720"/>
      <c r="Q391" s="23">
        <f t="shared" si="71"/>
        <v>1</v>
      </c>
      <c r="R391" s="716">
        <f t="shared" si="72"/>
        <v>0</v>
      </c>
      <c r="S391" s="361">
        <f t="shared" si="73"/>
        <v>0</v>
      </c>
    </row>
    <row r="392" spans="1:19">
      <c r="A392" s="159"/>
      <c r="B392" s="58"/>
      <c r="C392" s="23">
        <f t="shared" si="64"/>
        <v>1</v>
      </c>
      <c r="D392" s="720"/>
      <c r="E392" s="23">
        <f t="shared" si="65"/>
        <v>1</v>
      </c>
      <c r="F392" s="720"/>
      <c r="G392" s="23">
        <f t="shared" si="66"/>
        <v>1</v>
      </c>
      <c r="H392" s="720"/>
      <c r="I392" s="23">
        <f t="shared" si="67"/>
        <v>1</v>
      </c>
      <c r="J392" s="720"/>
      <c r="K392" s="23">
        <f t="shared" si="68"/>
        <v>1</v>
      </c>
      <c r="L392" s="720"/>
      <c r="M392" s="23">
        <f t="shared" si="69"/>
        <v>1</v>
      </c>
      <c r="N392" s="720"/>
      <c r="O392" s="23">
        <f t="shared" si="70"/>
        <v>1</v>
      </c>
      <c r="P392" s="720"/>
      <c r="Q392" s="23">
        <f t="shared" si="71"/>
        <v>1</v>
      </c>
      <c r="R392" s="716">
        <f t="shared" si="72"/>
        <v>0</v>
      </c>
      <c r="S392" s="361">
        <f t="shared" si="73"/>
        <v>0</v>
      </c>
    </row>
    <row r="393" spans="1:19">
      <c r="A393" s="159"/>
      <c r="B393" s="58"/>
      <c r="C393" s="23">
        <f t="shared" si="64"/>
        <v>1</v>
      </c>
      <c r="D393" s="720"/>
      <c r="E393" s="23">
        <f t="shared" si="65"/>
        <v>1</v>
      </c>
      <c r="F393" s="720"/>
      <c r="G393" s="23">
        <f t="shared" si="66"/>
        <v>1</v>
      </c>
      <c r="H393" s="720"/>
      <c r="I393" s="23">
        <f t="shared" si="67"/>
        <v>1</v>
      </c>
      <c r="J393" s="720"/>
      <c r="K393" s="23">
        <f t="shared" si="68"/>
        <v>1</v>
      </c>
      <c r="L393" s="720"/>
      <c r="M393" s="23">
        <f t="shared" si="69"/>
        <v>1</v>
      </c>
      <c r="N393" s="720"/>
      <c r="O393" s="23">
        <f t="shared" si="70"/>
        <v>1</v>
      </c>
      <c r="P393" s="720"/>
      <c r="Q393" s="23">
        <f t="shared" si="71"/>
        <v>1</v>
      </c>
      <c r="R393" s="716">
        <f t="shared" si="72"/>
        <v>0</v>
      </c>
      <c r="S393" s="361">
        <f t="shared" si="73"/>
        <v>0</v>
      </c>
    </row>
    <row r="394" spans="1:19">
      <c r="A394" s="159"/>
      <c r="B394" s="58"/>
      <c r="C394" s="23">
        <f t="shared" si="64"/>
        <v>1</v>
      </c>
      <c r="D394" s="720"/>
      <c r="E394" s="23">
        <f t="shared" si="65"/>
        <v>1</v>
      </c>
      <c r="F394" s="720"/>
      <c r="G394" s="23">
        <f t="shared" si="66"/>
        <v>1</v>
      </c>
      <c r="H394" s="720"/>
      <c r="I394" s="23">
        <f t="shared" si="67"/>
        <v>1</v>
      </c>
      <c r="J394" s="720"/>
      <c r="K394" s="23">
        <f t="shared" si="68"/>
        <v>1</v>
      </c>
      <c r="L394" s="720"/>
      <c r="M394" s="23">
        <f t="shared" si="69"/>
        <v>1</v>
      </c>
      <c r="N394" s="720"/>
      <c r="O394" s="23">
        <f t="shared" si="70"/>
        <v>1</v>
      </c>
      <c r="P394" s="720"/>
      <c r="Q394" s="23">
        <f t="shared" si="71"/>
        <v>1</v>
      </c>
      <c r="R394" s="716">
        <f t="shared" si="72"/>
        <v>0</v>
      </c>
      <c r="S394" s="361">
        <f t="shared" si="73"/>
        <v>0</v>
      </c>
    </row>
    <row r="395" spans="1:19">
      <c r="A395" s="159"/>
      <c r="B395" s="58"/>
      <c r="C395" s="23">
        <f t="shared" si="64"/>
        <v>1</v>
      </c>
      <c r="D395" s="720"/>
      <c r="E395" s="23">
        <f t="shared" si="65"/>
        <v>1</v>
      </c>
      <c r="F395" s="720"/>
      <c r="G395" s="23">
        <f t="shared" si="66"/>
        <v>1</v>
      </c>
      <c r="H395" s="720"/>
      <c r="I395" s="23">
        <f t="shared" si="67"/>
        <v>1</v>
      </c>
      <c r="J395" s="720"/>
      <c r="K395" s="23">
        <f t="shared" si="68"/>
        <v>1</v>
      </c>
      <c r="L395" s="720"/>
      <c r="M395" s="23">
        <f t="shared" si="69"/>
        <v>1</v>
      </c>
      <c r="N395" s="720"/>
      <c r="O395" s="23">
        <f t="shared" si="70"/>
        <v>1</v>
      </c>
      <c r="P395" s="720"/>
      <c r="Q395" s="23">
        <f t="shared" si="71"/>
        <v>1</v>
      </c>
      <c r="R395" s="716">
        <f t="shared" si="72"/>
        <v>0</v>
      </c>
      <c r="S395" s="361">
        <f t="shared" si="73"/>
        <v>0</v>
      </c>
    </row>
    <row r="396" spans="1:19">
      <c r="A396" s="159"/>
      <c r="B396" s="58"/>
      <c r="C396" s="23">
        <f t="shared" si="64"/>
        <v>1</v>
      </c>
      <c r="D396" s="720"/>
      <c r="E396" s="23">
        <f t="shared" si="65"/>
        <v>1</v>
      </c>
      <c r="F396" s="720"/>
      <c r="G396" s="23">
        <f t="shared" si="66"/>
        <v>1</v>
      </c>
      <c r="H396" s="720"/>
      <c r="I396" s="23">
        <f t="shared" si="67"/>
        <v>1</v>
      </c>
      <c r="J396" s="720"/>
      <c r="K396" s="23">
        <f t="shared" si="68"/>
        <v>1</v>
      </c>
      <c r="L396" s="720"/>
      <c r="M396" s="23">
        <f t="shared" si="69"/>
        <v>1</v>
      </c>
      <c r="N396" s="720"/>
      <c r="O396" s="23">
        <f t="shared" si="70"/>
        <v>1</v>
      </c>
      <c r="P396" s="720"/>
      <c r="Q396" s="23">
        <f t="shared" si="71"/>
        <v>1</v>
      </c>
      <c r="R396" s="716">
        <f t="shared" si="72"/>
        <v>0</v>
      </c>
      <c r="S396" s="361">
        <f t="shared" si="73"/>
        <v>0</v>
      </c>
    </row>
    <row r="397" spans="1:19">
      <c r="A397" s="159"/>
      <c r="B397" s="58"/>
      <c r="C397" s="23">
        <f t="shared" si="64"/>
        <v>1</v>
      </c>
      <c r="D397" s="720"/>
      <c r="E397" s="23">
        <f t="shared" si="65"/>
        <v>1</v>
      </c>
      <c r="F397" s="720"/>
      <c r="G397" s="23">
        <f t="shared" si="66"/>
        <v>1</v>
      </c>
      <c r="H397" s="720"/>
      <c r="I397" s="23">
        <f t="shared" si="67"/>
        <v>1</v>
      </c>
      <c r="J397" s="720"/>
      <c r="K397" s="23">
        <f t="shared" si="68"/>
        <v>1</v>
      </c>
      <c r="L397" s="720"/>
      <c r="M397" s="23">
        <f t="shared" si="69"/>
        <v>1</v>
      </c>
      <c r="N397" s="720"/>
      <c r="O397" s="23">
        <f t="shared" si="70"/>
        <v>1</v>
      </c>
      <c r="P397" s="720"/>
      <c r="Q397" s="23">
        <f t="shared" si="71"/>
        <v>1</v>
      </c>
      <c r="R397" s="716">
        <f t="shared" si="72"/>
        <v>0</v>
      </c>
      <c r="S397" s="361">
        <f t="shared" si="73"/>
        <v>0</v>
      </c>
    </row>
    <row r="398" spans="1:19">
      <c r="A398" s="159"/>
      <c r="B398" s="58"/>
      <c r="C398" s="23">
        <f t="shared" si="64"/>
        <v>1</v>
      </c>
      <c r="D398" s="720"/>
      <c r="E398" s="23">
        <f t="shared" si="65"/>
        <v>1</v>
      </c>
      <c r="F398" s="720"/>
      <c r="G398" s="23">
        <f t="shared" si="66"/>
        <v>1</v>
      </c>
      <c r="H398" s="720"/>
      <c r="I398" s="23">
        <f t="shared" si="67"/>
        <v>1</v>
      </c>
      <c r="J398" s="720"/>
      <c r="K398" s="23">
        <f t="shared" si="68"/>
        <v>1</v>
      </c>
      <c r="L398" s="720"/>
      <c r="M398" s="23">
        <f t="shared" si="69"/>
        <v>1</v>
      </c>
      <c r="N398" s="720"/>
      <c r="O398" s="23">
        <f t="shared" si="70"/>
        <v>1</v>
      </c>
      <c r="P398" s="720"/>
      <c r="Q398" s="23">
        <f t="shared" si="71"/>
        <v>1</v>
      </c>
      <c r="R398" s="716">
        <f t="shared" si="72"/>
        <v>0</v>
      </c>
      <c r="S398" s="361">
        <f t="shared" si="73"/>
        <v>0</v>
      </c>
    </row>
    <row r="399" spans="1:19">
      <c r="A399" s="159"/>
      <c r="B399" s="58"/>
      <c r="C399" s="23">
        <f t="shared" si="64"/>
        <v>1</v>
      </c>
      <c r="D399" s="720"/>
      <c r="E399" s="23">
        <f t="shared" si="65"/>
        <v>1</v>
      </c>
      <c r="F399" s="720"/>
      <c r="G399" s="23">
        <f t="shared" si="66"/>
        <v>1</v>
      </c>
      <c r="H399" s="720"/>
      <c r="I399" s="23">
        <f t="shared" si="67"/>
        <v>1</v>
      </c>
      <c r="J399" s="720"/>
      <c r="K399" s="23">
        <f t="shared" si="68"/>
        <v>1</v>
      </c>
      <c r="L399" s="720"/>
      <c r="M399" s="23">
        <f t="shared" si="69"/>
        <v>1</v>
      </c>
      <c r="N399" s="720"/>
      <c r="O399" s="23">
        <f t="shared" si="70"/>
        <v>1</v>
      </c>
      <c r="P399" s="720"/>
      <c r="Q399" s="23">
        <f t="shared" si="71"/>
        <v>1</v>
      </c>
      <c r="R399" s="716">
        <f t="shared" si="72"/>
        <v>0</v>
      </c>
      <c r="S399" s="361">
        <f t="shared" si="73"/>
        <v>0</v>
      </c>
    </row>
    <row r="400" spans="1:19">
      <c r="A400" s="159"/>
      <c r="B400" s="58"/>
      <c r="C400" s="23">
        <f t="shared" si="64"/>
        <v>1</v>
      </c>
      <c r="D400" s="720"/>
      <c r="E400" s="23">
        <f t="shared" si="65"/>
        <v>1</v>
      </c>
      <c r="F400" s="720"/>
      <c r="G400" s="23">
        <f t="shared" si="66"/>
        <v>1</v>
      </c>
      <c r="H400" s="720"/>
      <c r="I400" s="23">
        <f t="shared" si="67"/>
        <v>1</v>
      </c>
      <c r="J400" s="720"/>
      <c r="K400" s="23">
        <f t="shared" si="68"/>
        <v>1</v>
      </c>
      <c r="L400" s="720"/>
      <c r="M400" s="23">
        <f t="shared" si="69"/>
        <v>1</v>
      </c>
      <c r="N400" s="720"/>
      <c r="O400" s="23">
        <f t="shared" si="70"/>
        <v>1</v>
      </c>
      <c r="P400" s="720"/>
      <c r="Q400" s="23">
        <f t="shared" si="71"/>
        <v>1</v>
      </c>
      <c r="R400" s="716">
        <f t="shared" si="72"/>
        <v>0</v>
      </c>
      <c r="S400" s="361">
        <f t="shared" si="73"/>
        <v>0</v>
      </c>
    </row>
    <row r="401" spans="1:19">
      <c r="A401" s="159"/>
      <c r="B401" s="58"/>
      <c r="C401" s="23">
        <f t="shared" si="64"/>
        <v>1</v>
      </c>
      <c r="D401" s="720"/>
      <c r="E401" s="23">
        <f t="shared" si="65"/>
        <v>1</v>
      </c>
      <c r="F401" s="720"/>
      <c r="G401" s="23">
        <f t="shared" si="66"/>
        <v>1</v>
      </c>
      <c r="H401" s="720"/>
      <c r="I401" s="23">
        <f t="shared" si="67"/>
        <v>1</v>
      </c>
      <c r="J401" s="720"/>
      <c r="K401" s="23">
        <f t="shared" si="68"/>
        <v>1</v>
      </c>
      <c r="L401" s="720"/>
      <c r="M401" s="23">
        <f t="shared" si="69"/>
        <v>1</v>
      </c>
      <c r="N401" s="720"/>
      <c r="O401" s="23">
        <f t="shared" si="70"/>
        <v>1</v>
      </c>
      <c r="P401" s="720"/>
      <c r="Q401" s="23">
        <f t="shared" si="71"/>
        <v>1</v>
      </c>
      <c r="R401" s="716">
        <f t="shared" si="72"/>
        <v>0</v>
      </c>
      <c r="S401" s="361">
        <f t="shared" si="73"/>
        <v>0</v>
      </c>
    </row>
    <row r="402" spans="1:19">
      <c r="A402" s="159"/>
      <c r="B402" s="58"/>
      <c r="C402" s="23">
        <f t="shared" si="64"/>
        <v>1</v>
      </c>
      <c r="D402" s="720"/>
      <c r="E402" s="23">
        <f t="shared" si="65"/>
        <v>1</v>
      </c>
      <c r="F402" s="720"/>
      <c r="G402" s="23">
        <f t="shared" si="66"/>
        <v>1</v>
      </c>
      <c r="H402" s="720"/>
      <c r="I402" s="23">
        <f t="shared" si="67"/>
        <v>1</v>
      </c>
      <c r="J402" s="720"/>
      <c r="K402" s="23">
        <f t="shared" si="68"/>
        <v>1</v>
      </c>
      <c r="L402" s="720"/>
      <c r="M402" s="23">
        <f t="shared" si="69"/>
        <v>1</v>
      </c>
      <c r="N402" s="720"/>
      <c r="O402" s="23">
        <f t="shared" si="70"/>
        <v>1</v>
      </c>
      <c r="P402" s="720"/>
      <c r="Q402" s="23">
        <f t="shared" si="71"/>
        <v>1</v>
      </c>
      <c r="R402" s="716">
        <f t="shared" si="72"/>
        <v>0</v>
      </c>
      <c r="S402" s="361">
        <f t="shared" si="73"/>
        <v>0</v>
      </c>
    </row>
    <row r="403" spans="1:19">
      <c r="A403" s="159"/>
      <c r="B403" s="58"/>
      <c r="C403" s="23">
        <f t="shared" si="64"/>
        <v>1</v>
      </c>
      <c r="D403" s="720"/>
      <c r="E403" s="23">
        <f t="shared" si="65"/>
        <v>1</v>
      </c>
      <c r="F403" s="720"/>
      <c r="G403" s="23">
        <f t="shared" si="66"/>
        <v>1</v>
      </c>
      <c r="H403" s="720"/>
      <c r="I403" s="23">
        <f t="shared" si="67"/>
        <v>1</v>
      </c>
      <c r="J403" s="720"/>
      <c r="K403" s="23">
        <f t="shared" si="68"/>
        <v>1</v>
      </c>
      <c r="L403" s="720"/>
      <c r="M403" s="23">
        <f t="shared" si="69"/>
        <v>1</v>
      </c>
      <c r="N403" s="720"/>
      <c r="O403" s="23">
        <f t="shared" si="70"/>
        <v>1</v>
      </c>
      <c r="P403" s="720"/>
      <c r="Q403" s="23">
        <f t="shared" si="71"/>
        <v>1</v>
      </c>
      <c r="R403" s="716">
        <f t="shared" si="72"/>
        <v>0</v>
      </c>
      <c r="S403" s="361">
        <f t="shared" si="73"/>
        <v>0</v>
      </c>
    </row>
    <row r="404" spans="1:19">
      <c r="A404" s="159"/>
      <c r="B404" s="58"/>
      <c r="C404" s="23">
        <f t="shared" si="64"/>
        <v>1</v>
      </c>
      <c r="D404" s="720"/>
      <c r="E404" s="23">
        <f t="shared" si="65"/>
        <v>1</v>
      </c>
      <c r="F404" s="720"/>
      <c r="G404" s="23">
        <f t="shared" si="66"/>
        <v>1</v>
      </c>
      <c r="H404" s="720"/>
      <c r="I404" s="23">
        <f t="shared" si="67"/>
        <v>1</v>
      </c>
      <c r="J404" s="720"/>
      <c r="K404" s="23">
        <f t="shared" si="68"/>
        <v>1</v>
      </c>
      <c r="L404" s="720"/>
      <c r="M404" s="23">
        <f t="shared" si="69"/>
        <v>1</v>
      </c>
      <c r="N404" s="720"/>
      <c r="O404" s="23">
        <f t="shared" si="70"/>
        <v>1</v>
      </c>
      <c r="P404" s="720"/>
      <c r="Q404" s="23">
        <f t="shared" si="71"/>
        <v>1</v>
      </c>
      <c r="R404" s="716">
        <f t="shared" si="72"/>
        <v>0</v>
      </c>
      <c r="S404" s="361">
        <f t="shared" si="73"/>
        <v>0</v>
      </c>
    </row>
    <row r="405" spans="1:19">
      <c r="A405" s="159"/>
      <c r="B405" s="58"/>
      <c r="C405" s="23">
        <f t="shared" si="64"/>
        <v>1</v>
      </c>
      <c r="D405" s="720"/>
      <c r="E405" s="23">
        <f t="shared" si="65"/>
        <v>1</v>
      </c>
      <c r="F405" s="720"/>
      <c r="G405" s="23">
        <f t="shared" si="66"/>
        <v>1</v>
      </c>
      <c r="H405" s="720"/>
      <c r="I405" s="23">
        <f t="shared" si="67"/>
        <v>1</v>
      </c>
      <c r="J405" s="720"/>
      <c r="K405" s="23">
        <f t="shared" si="68"/>
        <v>1</v>
      </c>
      <c r="L405" s="720"/>
      <c r="M405" s="23">
        <f t="shared" si="69"/>
        <v>1</v>
      </c>
      <c r="N405" s="720"/>
      <c r="O405" s="23">
        <f t="shared" si="70"/>
        <v>1</v>
      </c>
      <c r="P405" s="720"/>
      <c r="Q405" s="23">
        <f t="shared" si="71"/>
        <v>1</v>
      </c>
      <c r="R405" s="716">
        <f t="shared" si="72"/>
        <v>0</v>
      </c>
      <c r="S405" s="361">
        <f t="shared" si="73"/>
        <v>0</v>
      </c>
    </row>
    <row r="406" spans="1:19">
      <c r="A406" s="159"/>
      <c r="B406" s="58"/>
      <c r="C406" s="23">
        <f t="shared" si="64"/>
        <v>1</v>
      </c>
      <c r="D406" s="720"/>
      <c r="E406" s="23">
        <f t="shared" si="65"/>
        <v>1</v>
      </c>
      <c r="F406" s="720"/>
      <c r="G406" s="23">
        <f t="shared" si="66"/>
        <v>1</v>
      </c>
      <c r="H406" s="720"/>
      <c r="I406" s="23">
        <f t="shared" si="67"/>
        <v>1</v>
      </c>
      <c r="J406" s="720"/>
      <c r="K406" s="23">
        <f t="shared" si="68"/>
        <v>1</v>
      </c>
      <c r="L406" s="720"/>
      <c r="M406" s="23">
        <f t="shared" si="69"/>
        <v>1</v>
      </c>
      <c r="N406" s="720"/>
      <c r="O406" s="23">
        <f t="shared" si="70"/>
        <v>1</v>
      </c>
      <c r="P406" s="720"/>
      <c r="Q406" s="23">
        <f t="shared" si="71"/>
        <v>1</v>
      </c>
      <c r="R406" s="716">
        <f t="shared" si="72"/>
        <v>0</v>
      </c>
      <c r="S406" s="361">
        <f t="shared" si="73"/>
        <v>0</v>
      </c>
    </row>
    <row r="407" spans="1:19">
      <c r="A407" s="159"/>
      <c r="B407" s="58"/>
      <c r="C407" s="23">
        <f t="shared" si="64"/>
        <v>1</v>
      </c>
      <c r="D407" s="720"/>
      <c r="E407" s="23">
        <f t="shared" si="65"/>
        <v>1</v>
      </c>
      <c r="F407" s="720"/>
      <c r="G407" s="23">
        <f t="shared" si="66"/>
        <v>1</v>
      </c>
      <c r="H407" s="720"/>
      <c r="I407" s="23">
        <f t="shared" si="67"/>
        <v>1</v>
      </c>
      <c r="J407" s="720"/>
      <c r="K407" s="23">
        <f t="shared" si="68"/>
        <v>1</v>
      </c>
      <c r="L407" s="720"/>
      <c r="M407" s="23">
        <f t="shared" si="69"/>
        <v>1</v>
      </c>
      <c r="N407" s="720"/>
      <c r="O407" s="23">
        <f t="shared" si="70"/>
        <v>1</v>
      </c>
      <c r="P407" s="720"/>
      <c r="Q407" s="23">
        <f t="shared" si="71"/>
        <v>1</v>
      </c>
      <c r="R407" s="716">
        <f t="shared" si="72"/>
        <v>0</v>
      </c>
      <c r="S407" s="361">
        <f t="shared" si="73"/>
        <v>0</v>
      </c>
    </row>
    <row r="408" spans="1:19">
      <c r="A408" s="159"/>
      <c r="B408" s="58"/>
      <c r="C408" s="23">
        <f t="shared" si="64"/>
        <v>1</v>
      </c>
      <c r="D408" s="720"/>
      <c r="E408" s="23">
        <f t="shared" si="65"/>
        <v>1</v>
      </c>
      <c r="F408" s="720"/>
      <c r="G408" s="23">
        <f t="shared" si="66"/>
        <v>1</v>
      </c>
      <c r="H408" s="720"/>
      <c r="I408" s="23">
        <f t="shared" si="67"/>
        <v>1</v>
      </c>
      <c r="J408" s="720"/>
      <c r="K408" s="23">
        <f t="shared" si="68"/>
        <v>1</v>
      </c>
      <c r="L408" s="720"/>
      <c r="M408" s="23">
        <f t="shared" si="69"/>
        <v>1</v>
      </c>
      <c r="N408" s="720"/>
      <c r="O408" s="23">
        <f t="shared" si="70"/>
        <v>1</v>
      </c>
      <c r="P408" s="720"/>
      <c r="Q408" s="23">
        <f t="shared" si="71"/>
        <v>1</v>
      </c>
      <c r="R408" s="716">
        <f t="shared" si="72"/>
        <v>0</v>
      </c>
      <c r="S408" s="361">
        <f t="shared" si="73"/>
        <v>0</v>
      </c>
    </row>
    <row r="409" spans="1:19">
      <c r="A409" s="159"/>
      <c r="B409" s="58"/>
      <c r="C409" s="23">
        <f t="shared" si="64"/>
        <v>1</v>
      </c>
      <c r="D409" s="720"/>
      <c r="E409" s="23">
        <f t="shared" si="65"/>
        <v>1</v>
      </c>
      <c r="F409" s="720"/>
      <c r="G409" s="23">
        <f t="shared" si="66"/>
        <v>1</v>
      </c>
      <c r="H409" s="720"/>
      <c r="I409" s="23">
        <f t="shared" si="67"/>
        <v>1</v>
      </c>
      <c r="J409" s="720"/>
      <c r="K409" s="23">
        <f t="shared" si="68"/>
        <v>1</v>
      </c>
      <c r="L409" s="720"/>
      <c r="M409" s="23">
        <f t="shared" si="69"/>
        <v>1</v>
      </c>
      <c r="N409" s="720"/>
      <c r="O409" s="23">
        <f t="shared" si="70"/>
        <v>1</v>
      </c>
      <c r="P409" s="720"/>
      <c r="Q409" s="23">
        <f t="shared" si="71"/>
        <v>1</v>
      </c>
      <c r="R409" s="716">
        <f t="shared" si="72"/>
        <v>0</v>
      </c>
      <c r="S409" s="361">
        <f t="shared" si="73"/>
        <v>0</v>
      </c>
    </row>
    <row r="410" spans="1:19">
      <c r="A410" s="159"/>
      <c r="B410" s="58"/>
      <c r="C410" s="23">
        <f t="shared" ref="C410:C473" si="74">IF(B410="",1,(LOOKUP(B410,$3:$3,$4:$4)-LOOKUP($B$24,$3:$3,$4:$4)+100)/100)</f>
        <v>1</v>
      </c>
      <c r="D410" s="720"/>
      <c r="E410" s="23">
        <f t="shared" ref="E410:E473" si="75">(SUMIF($5:$5,D410,$6:$6)-SUMIF($5:$5,$D$24,$6:$6)+100)/100</f>
        <v>1</v>
      </c>
      <c r="F410" s="720"/>
      <c r="G410" s="23">
        <f t="shared" ref="G410:G473" si="76">(SUMIF($7:$7,F410,$8:$8)-SUMIF($7:$7,$F$24,$8:$8)+100)/100</f>
        <v>1</v>
      </c>
      <c r="H410" s="720"/>
      <c r="I410" s="23">
        <f t="shared" ref="I410:I473" si="77">(SUMIF($9:$9,H410,$10:$10)-SUMIF($9:$9,$H$24,$10:$10)+100)/100</f>
        <v>1</v>
      </c>
      <c r="J410" s="720"/>
      <c r="K410" s="23">
        <f t="shared" ref="K410:K473" si="78">(SUMIF($11:$11,J410,$12:$12)-SUMIF($11:$11,$J$24,$12:$12)+100)/100</f>
        <v>1</v>
      </c>
      <c r="L410" s="720"/>
      <c r="M410" s="23">
        <f t="shared" ref="M410:M473" si="79">(SUMIF($13:$13,L410,$14:$14)-SUMIF($13:$13,$L$24,$14:$14)+100)/100</f>
        <v>1</v>
      </c>
      <c r="N410" s="720"/>
      <c r="O410" s="23">
        <f t="shared" ref="O410:O473" si="80">(SUMIF($15:$15,N410,$16:$16)-SUMIF($15:$15,$N$24,$16:$16)+100)/100</f>
        <v>1</v>
      </c>
      <c r="P410" s="720"/>
      <c r="Q410" s="23">
        <f t="shared" ref="Q410:Q473" si="81">(SUMIF($17:$17,P410,$18:$18)-SUMIF($17:$17,$P$24,$18:$18)+100)/100</f>
        <v>1</v>
      </c>
      <c r="R410" s="716">
        <f t="shared" ref="R410:R473" si="82">IF(B410="",0,ROUND($R$24*C410*E410*G410*I410*K410*M410*O410*Q410,0))</f>
        <v>0</v>
      </c>
      <c r="S410" s="361">
        <f t="shared" si="73"/>
        <v>0</v>
      </c>
    </row>
    <row r="411" spans="1:19">
      <c r="A411" s="159"/>
      <c r="B411" s="58"/>
      <c r="C411" s="23">
        <f t="shared" si="74"/>
        <v>1</v>
      </c>
      <c r="D411" s="720"/>
      <c r="E411" s="23">
        <f t="shared" si="75"/>
        <v>1</v>
      </c>
      <c r="F411" s="720"/>
      <c r="G411" s="23">
        <f t="shared" si="76"/>
        <v>1</v>
      </c>
      <c r="H411" s="720"/>
      <c r="I411" s="23">
        <f t="shared" si="77"/>
        <v>1</v>
      </c>
      <c r="J411" s="720"/>
      <c r="K411" s="23">
        <f t="shared" si="78"/>
        <v>1</v>
      </c>
      <c r="L411" s="720"/>
      <c r="M411" s="23">
        <f t="shared" si="79"/>
        <v>1</v>
      </c>
      <c r="N411" s="720"/>
      <c r="O411" s="23">
        <f t="shared" si="80"/>
        <v>1</v>
      </c>
      <c r="P411" s="720"/>
      <c r="Q411" s="23">
        <f t="shared" si="81"/>
        <v>1</v>
      </c>
      <c r="R411" s="716">
        <f t="shared" si="82"/>
        <v>0</v>
      </c>
      <c r="S411" s="361">
        <f t="shared" si="73"/>
        <v>0</v>
      </c>
    </row>
    <row r="412" spans="1:19">
      <c r="A412" s="159"/>
      <c r="B412" s="58"/>
      <c r="C412" s="23">
        <f t="shared" si="74"/>
        <v>1</v>
      </c>
      <c r="D412" s="720"/>
      <c r="E412" s="23">
        <f t="shared" si="75"/>
        <v>1</v>
      </c>
      <c r="F412" s="720"/>
      <c r="G412" s="23">
        <f t="shared" si="76"/>
        <v>1</v>
      </c>
      <c r="H412" s="720"/>
      <c r="I412" s="23">
        <f t="shared" si="77"/>
        <v>1</v>
      </c>
      <c r="J412" s="720"/>
      <c r="K412" s="23">
        <f t="shared" si="78"/>
        <v>1</v>
      </c>
      <c r="L412" s="720"/>
      <c r="M412" s="23">
        <f t="shared" si="79"/>
        <v>1</v>
      </c>
      <c r="N412" s="720"/>
      <c r="O412" s="23">
        <f t="shared" si="80"/>
        <v>1</v>
      </c>
      <c r="P412" s="720"/>
      <c r="Q412" s="23">
        <f t="shared" si="81"/>
        <v>1</v>
      </c>
      <c r="R412" s="716">
        <f t="shared" si="82"/>
        <v>0</v>
      </c>
      <c r="S412" s="361">
        <f t="shared" si="73"/>
        <v>0</v>
      </c>
    </row>
    <row r="413" spans="1:19">
      <c r="A413" s="159"/>
      <c r="B413" s="58"/>
      <c r="C413" s="23">
        <f t="shared" si="74"/>
        <v>1</v>
      </c>
      <c r="D413" s="720"/>
      <c r="E413" s="23">
        <f t="shared" si="75"/>
        <v>1</v>
      </c>
      <c r="F413" s="720"/>
      <c r="G413" s="23">
        <f t="shared" si="76"/>
        <v>1</v>
      </c>
      <c r="H413" s="720"/>
      <c r="I413" s="23">
        <f t="shared" si="77"/>
        <v>1</v>
      </c>
      <c r="J413" s="720"/>
      <c r="K413" s="23">
        <f t="shared" si="78"/>
        <v>1</v>
      </c>
      <c r="L413" s="720"/>
      <c r="M413" s="23">
        <f t="shared" si="79"/>
        <v>1</v>
      </c>
      <c r="N413" s="720"/>
      <c r="O413" s="23">
        <f t="shared" si="80"/>
        <v>1</v>
      </c>
      <c r="P413" s="720"/>
      <c r="Q413" s="23">
        <f t="shared" si="81"/>
        <v>1</v>
      </c>
      <c r="R413" s="716">
        <f t="shared" si="82"/>
        <v>0</v>
      </c>
      <c r="S413" s="361">
        <f t="shared" si="73"/>
        <v>0</v>
      </c>
    </row>
    <row r="414" spans="1:19">
      <c r="A414" s="159"/>
      <c r="B414" s="58"/>
      <c r="C414" s="23">
        <f t="shared" si="74"/>
        <v>1</v>
      </c>
      <c r="D414" s="720"/>
      <c r="E414" s="23">
        <f t="shared" si="75"/>
        <v>1</v>
      </c>
      <c r="F414" s="720"/>
      <c r="G414" s="23">
        <f t="shared" si="76"/>
        <v>1</v>
      </c>
      <c r="H414" s="720"/>
      <c r="I414" s="23">
        <f t="shared" si="77"/>
        <v>1</v>
      </c>
      <c r="J414" s="720"/>
      <c r="K414" s="23">
        <f t="shared" si="78"/>
        <v>1</v>
      </c>
      <c r="L414" s="720"/>
      <c r="M414" s="23">
        <f t="shared" si="79"/>
        <v>1</v>
      </c>
      <c r="N414" s="720"/>
      <c r="O414" s="23">
        <f t="shared" si="80"/>
        <v>1</v>
      </c>
      <c r="P414" s="720"/>
      <c r="Q414" s="23">
        <f t="shared" si="81"/>
        <v>1</v>
      </c>
      <c r="R414" s="716">
        <f t="shared" si="82"/>
        <v>0</v>
      </c>
      <c r="S414" s="361">
        <f t="shared" si="73"/>
        <v>0</v>
      </c>
    </row>
    <row r="415" spans="1:19">
      <c r="A415" s="159"/>
      <c r="B415" s="58"/>
      <c r="C415" s="23">
        <f t="shared" si="74"/>
        <v>1</v>
      </c>
      <c r="D415" s="720"/>
      <c r="E415" s="23">
        <f t="shared" si="75"/>
        <v>1</v>
      </c>
      <c r="F415" s="720"/>
      <c r="G415" s="23">
        <f t="shared" si="76"/>
        <v>1</v>
      </c>
      <c r="H415" s="720"/>
      <c r="I415" s="23">
        <f t="shared" si="77"/>
        <v>1</v>
      </c>
      <c r="J415" s="720"/>
      <c r="K415" s="23">
        <f t="shared" si="78"/>
        <v>1</v>
      </c>
      <c r="L415" s="720"/>
      <c r="M415" s="23">
        <f t="shared" si="79"/>
        <v>1</v>
      </c>
      <c r="N415" s="720"/>
      <c r="O415" s="23">
        <f t="shared" si="80"/>
        <v>1</v>
      </c>
      <c r="P415" s="720"/>
      <c r="Q415" s="23">
        <f t="shared" si="81"/>
        <v>1</v>
      </c>
      <c r="R415" s="716">
        <f t="shared" si="82"/>
        <v>0</v>
      </c>
      <c r="S415" s="361">
        <f t="shared" si="73"/>
        <v>0</v>
      </c>
    </row>
    <row r="416" spans="1:19">
      <c r="A416" s="159"/>
      <c r="B416" s="58"/>
      <c r="C416" s="23">
        <f t="shared" si="74"/>
        <v>1</v>
      </c>
      <c r="D416" s="720"/>
      <c r="E416" s="23">
        <f t="shared" si="75"/>
        <v>1</v>
      </c>
      <c r="F416" s="720"/>
      <c r="G416" s="23">
        <f t="shared" si="76"/>
        <v>1</v>
      </c>
      <c r="H416" s="720"/>
      <c r="I416" s="23">
        <f t="shared" si="77"/>
        <v>1</v>
      </c>
      <c r="J416" s="720"/>
      <c r="K416" s="23">
        <f t="shared" si="78"/>
        <v>1</v>
      </c>
      <c r="L416" s="720"/>
      <c r="M416" s="23">
        <f t="shared" si="79"/>
        <v>1</v>
      </c>
      <c r="N416" s="720"/>
      <c r="O416" s="23">
        <f t="shared" si="80"/>
        <v>1</v>
      </c>
      <c r="P416" s="720"/>
      <c r="Q416" s="23">
        <f t="shared" si="81"/>
        <v>1</v>
      </c>
      <c r="R416" s="716">
        <f t="shared" si="82"/>
        <v>0</v>
      </c>
      <c r="S416" s="361">
        <f t="shared" si="73"/>
        <v>0</v>
      </c>
    </row>
    <row r="417" spans="1:19">
      <c r="A417" s="159"/>
      <c r="B417" s="58"/>
      <c r="C417" s="23">
        <f t="shared" si="74"/>
        <v>1</v>
      </c>
      <c r="D417" s="720"/>
      <c r="E417" s="23">
        <f t="shared" si="75"/>
        <v>1</v>
      </c>
      <c r="F417" s="720"/>
      <c r="G417" s="23">
        <f t="shared" si="76"/>
        <v>1</v>
      </c>
      <c r="H417" s="720"/>
      <c r="I417" s="23">
        <f t="shared" si="77"/>
        <v>1</v>
      </c>
      <c r="J417" s="720"/>
      <c r="K417" s="23">
        <f t="shared" si="78"/>
        <v>1</v>
      </c>
      <c r="L417" s="720"/>
      <c r="M417" s="23">
        <f t="shared" si="79"/>
        <v>1</v>
      </c>
      <c r="N417" s="720"/>
      <c r="O417" s="23">
        <f t="shared" si="80"/>
        <v>1</v>
      </c>
      <c r="P417" s="720"/>
      <c r="Q417" s="23">
        <f t="shared" si="81"/>
        <v>1</v>
      </c>
      <c r="R417" s="716">
        <f t="shared" si="82"/>
        <v>0</v>
      </c>
      <c r="S417" s="361">
        <f t="shared" si="73"/>
        <v>0</v>
      </c>
    </row>
    <row r="418" spans="1:19">
      <c r="A418" s="159"/>
      <c r="B418" s="58"/>
      <c r="C418" s="23">
        <f t="shared" si="74"/>
        <v>1</v>
      </c>
      <c r="D418" s="720"/>
      <c r="E418" s="23">
        <f t="shared" si="75"/>
        <v>1</v>
      </c>
      <c r="F418" s="720"/>
      <c r="G418" s="23">
        <f t="shared" si="76"/>
        <v>1</v>
      </c>
      <c r="H418" s="720"/>
      <c r="I418" s="23">
        <f t="shared" si="77"/>
        <v>1</v>
      </c>
      <c r="J418" s="720"/>
      <c r="K418" s="23">
        <f t="shared" si="78"/>
        <v>1</v>
      </c>
      <c r="L418" s="720"/>
      <c r="M418" s="23">
        <f t="shared" si="79"/>
        <v>1</v>
      </c>
      <c r="N418" s="720"/>
      <c r="O418" s="23">
        <f t="shared" si="80"/>
        <v>1</v>
      </c>
      <c r="P418" s="720"/>
      <c r="Q418" s="23">
        <f t="shared" si="81"/>
        <v>1</v>
      </c>
      <c r="R418" s="716">
        <f t="shared" si="82"/>
        <v>0</v>
      </c>
      <c r="S418" s="361">
        <f t="shared" si="73"/>
        <v>0</v>
      </c>
    </row>
    <row r="419" spans="1:19">
      <c r="A419" s="159"/>
      <c r="B419" s="58"/>
      <c r="C419" s="23">
        <f t="shared" si="74"/>
        <v>1</v>
      </c>
      <c r="D419" s="720"/>
      <c r="E419" s="23">
        <f t="shared" si="75"/>
        <v>1</v>
      </c>
      <c r="F419" s="720"/>
      <c r="G419" s="23">
        <f t="shared" si="76"/>
        <v>1</v>
      </c>
      <c r="H419" s="720"/>
      <c r="I419" s="23">
        <f t="shared" si="77"/>
        <v>1</v>
      </c>
      <c r="J419" s="720"/>
      <c r="K419" s="23">
        <f t="shared" si="78"/>
        <v>1</v>
      </c>
      <c r="L419" s="720"/>
      <c r="M419" s="23">
        <f t="shared" si="79"/>
        <v>1</v>
      </c>
      <c r="N419" s="720"/>
      <c r="O419" s="23">
        <f t="shared" si="80"/>
        <v>1</v>
      </c>
      <c r="P419" s="720"/>
      <c r="Q419" s="23">
        <f t="shared" si="81"/>
        <v>1</v>
      </c>
      <c r="R419" s="716">
        <f t="shared" si="82"/>
        <v>0</v>
      </c>
      <c r="S419" s="361">
        <f t="shared" si="73"/>
        <v>0</v>
      </c>
    </row>
    <row r="420" spans="1:19">
      <c r="A420" s="159"/>
      <c r="B420" s="58"/>
      <c r="C420" s="23">
        <f t="shared" si="74"/>
        <v>1</v>
      </c>
      <c r="D420" s="720"/>
      <c r="E420" s="23">
        <f t="shared" si="75"/>
        <v>1</v>
      </c>
      <c r="F420" s="720"/>
      <c r="G420" s="23">
        <f t="shared" si="76"/>
        <v>1</v>
      </c>
      <c r="H420" s="720"/>
      <c r="I420" s="23">
        <f t="shared" si="77"/>
        <v>1</v>
      </c>
      <c r="J420" s="720"/>
      <c r="K420" s="23">
        <f t="shared" si="78"/>
        <v>1</v>
      </c>
      <c r="L420" s="720"/>
      <c r="M420" s="23">
        <f t="shared" si="79"/>
        <v>1</v>
      </c>
      <c r="N420" s="720"/>
      <c r="O420" s="23">
        <f t="shared" si="80"/>
        <v>1</v>
      </c>
      <c r="P420" s="720"/>
      <c r="Q420" s="23">
        <f t="shared" si="81"/>
        <v>1</v>
      </c>
      <c r="R420" s="716">
        <f t="shared" si="82"/>
        <v>0</v>
      </c>
      <c r="S420" s="361">
        <f t="shared" si="73"/>
        <v>0</v>
      </c>
    </row>
    <row r="421" spans="1:19">
      <c r="A421" s="159"/>
      <c r="B421" s="58"/>
      <c r="C421" s="23">
        <f t="shared" si="74"/>
        <v>1</v>
      </c>
      <c r="D421" s="720"/>
      <c r="E421" s="23">
        <f t="shared" si="75"/>
        <v>1</v>
      </c>
      <c r="F421" s="720"/>
      <c r="G421" s="23">
        <f t="shared" si="76"/>
        <v>1</v>
      </c>
      <c r="H421" s="720"/>
      <c r="I421" s="23">
        <f t="shared" si="77"/>
        <v>1</v>
      </c>
      <c r="J421" s="720"/>
      <c r="K421" s="23">
        <f t="shared" si="78"/>
        <v>1</v>
      </c>
      <c r="L421" s="720"/>
      <c r="M421" s="23">
        <f t="shared" si="79"/>
        <v>1</v>
      </c>
      <c r="N421" s="720"/>
      <c r="O421" s="23">
        <f t="shared" si="80"/>
        <v>1</v>
      </c>
      <c r="P421" s="720"/>
      <c r="Q421" s="23">
        <f t="shared" si="81"/>
        <v>1</v>
      </c>
      <c r="R421" s="716">
        <f t="shared" si="82"/>
        <v>0</v>
      </c>
      <c r="S421" s="361">
        <f t="shared" si="73"/>
        <v>0</v>
      </c>
    </row>
    <row r="422" spans="1:19">
      <c r="A422" s="159"/>
      <c r="B422" s="58"/>
      <c r="C422" s="23">
        <f t="shared" si="74"/>
        <v>1</v>
      </c>
      <c r="D422" s="720"/>
      <c r="E422" s="23">
        <f t="shared" si="75"/>
        <v>1</v>
      </c>
      <c r="F422" s="720"/>
      <c r="G422" s="23">
        <f t="shared" si="76"/>
        <v>1</v>
      </c>
      <c r="H422" s="720"/>
      <c r="I422" s="23">
        <f t="shared" si="77"/>
        <v>1</v>
      </c>
      <c r="J422" s="720"/>
      <c r="K422" s="23">
        <f t="shared" si="78"/>
        <v>1</v>
      </c>
      <c r="L422" s="720"/>
      <c r="M422" s="23">
        <f t="shared" si="79"/>
        <v>1</v>
      </c>
      <c r="N422" s="720"/>
      <c r="O422" s="23">
        <f t="shared" si="80"/>
        <v>1</v>
      </c>
      <c r="P422" s="720"/>
      <c r="Q422" s="23">
        <f t="shared" si="81"/>
        <v>1</v>
      </c>
      <c r="R422" s="716">
        <f t="shared" si="82"/>
        <v>0</v>
      </c>
      <c r="S422" s="361">
        <f t="shared" si="73"/>
        <v>0</v>
      </c>
    </row>
    <row r="423" spans="1:19">
      <c r="A423" s="159"/>
      <c r="B423" s="58"/>
      <c r="C423" s="23">
        <f t="shared" si="74"/>
        <v>1</v>
      </c>
      <c r="D423" s="720"/>
      <c r="E423" s="23">
        <f t="shared" si="75"/>
        <v>1</v>
      </c>
      <c r="F423" s="720"/>
      <c r="G423" s="23">
        <f t="shared" si="76"/>
        <v>1</v>
      </c>
      <c r="H423" s="720"/>
      <c r="I423" s="23">
        <f t="shared" si="77"/>
        <v>1</v>
      </c>
      <c r="J423" s="720"/>
      <c r="K423" s="23">
        <f t="shared" si="78"/>
        <v>1</v>
      </c>
      <c r="L423" s="720"/>
      <c r="M423" s="23">
        <f t="shared" si="79"/>
        <v>1</v>
      </c>
      <c r="N423" s="720"/>
      <c r="O423" s="23">
        <f t="shared" si="80"/>
        <v>1</v>
      </c>
      <c r="P423" s="720"/>
      <c r="Q423" s="23">
        <f t="shared" si="81"/>
        <v>1</v>
      </c>
      <c r="R423" s="716">
        <f t="shared" si="82"/>
        <v>0</v>
      </c>
      <c r="S423" s="361">
        <f t="shared" ref="S423:S467" si="83">ROUND(R423*B423/10000,0)</f>
        <v>0</v>
      </c>
    </row>
    <row r="424" spans="1:19">
      <c r="A424" s="159"/>
      <c r="B424" s="58"/>
      <c r="C424" s="23">
        <f t="shared" si="74"/>
        <v>1</v>
      </c>
      <c r="D424" s="720"/>
      <c r="E424" s="23">
        <f t="shared" si="75"/>
        <v>1</v>
      </c>
      <c r="F424" s="720"/>
      <c r="G424" s="23">
        <f t="shared" si="76"/>
        <v>1</v>
      </c>
      <c r="H424" s="720"/>
      <c r="I424" s="23">
        <f t="shared" si="77"/>
        <v>1</v>
      </c>
      <c r="J424" s="720"/>
      <c r="K424" s="23">
        <f t="shared" si="78"/>
        <v>1</v>
      </c>
      <c r="L424" s="720"/>
      <c r="M424" s="23">
        <f t="shared" si="79"/>
        <v>1</v>
      </c>
      <c r="N424" s="720"/>
      <c r="O424" s="23">
        <f t="shared" si="80"/>
        <v>1</v>
      </c>
      <c r="P424" s="720"/>
      <c r="Q424" s="23">
        <f t="shared" si="81"/>
        <v>1</v>
      </c>
      <c r="R424" s="716">
        <f t="shared" si="82"/>
        <v>0</v>
      </c>
      <c r="S424" s="361">
        <f t="shared" si="83"/>
        <v>0</v>
      </c>
    </row>
    <row r="425" spans="1:19">
      <c r="A425" s="159"/>
      <c r="B425" s="58"/>
      <c r="C425" s="23">
        <f t="shared" si="74"/>
        <v>1</v>
      </c>
      <c r="D425" s="720"/>
      <c r="E425" s="23">
        <f t="shared" si="75"/>
        <v>1</v>
      </c>
      <c r="F425" s="720"/>
      <c r="G425" s="23">
        <f t="shared" si="76"/>
        <v>1</v>
      </c>
      <c r="H425" s="720"/>
      <c r="I425" s="23">
        <f t="shared" si="77"/>
        <v>1</v>
      </c>
      <c r="J425" s="720"/>
      <c r="K425" s="23">
        <f t="shared" si="78"/>
        <v>1</v>
      </c>
      <c r="L425" s="720"/>
      <c r="M425" s="23">
        <f t="shared" si="79"/>
        <v>1</v>
      </c>
      <c r="N425" s="720"/>
      <c r="O425" s="23">
        <f t="shared" si="80"/>
        <v>1</v>
      </c>
      <c r="P425" s="720"/>
      <c r="Q425" s="23">
        <f t="shared" si="81"/>
        <v>1</v>
      </c>
      <c r="R425" s="716">
        <f t="shared" si="82"/>
        <v>0</v>
      </c>
      <c r="S425" s="361">
        <f t="shared" si="83"/>
        <v>0</v>
      </c>
    </row>
    <row r="426" spans="1:19">
      <c r="A426" s="159"/>
      <c r="B426" s="58"/>
      <c r="C426" s="23">
        <f t="shared" si="74"/>
        <v>1</v>
      </c>
      <c r="D426" s="720"/>
      <c r="E426" s="23">
        <f t="shared" si="75"/>
        <v>1</v>
      </c>
      <c r="F426" s="720"/>
      <c r="G426" s="23">
        <f t="shared" si="76"/>
        <v>1</v>
      </c>
      <c r="H426" s="720"/>
      <c r="I426" s="23">
        <f t="shared" si="77"/>
        <v>1</v>
      </c>
      <c r="J426" s="720"/>
      <c r="K426" s="23">
        <f t="shared" si="78"/>
        <v>1</v>
      </c>
      <c r="L426" s="720"/>
      <c r="M426" s="23">
        <f t="shared" si="79"/>
        <v>1</v>
      </c>
      <c r="N426" s="720"/>
      <c r="O426" s="23">
        <f t="shared" si="80"/>
        <v>1</v>
      </c>
      <c r="P426" s="720"/>
      <c r="Q426" s="23">
        <f t="shared" si="81"/>
        <v>1</v>
      </c>
      <c r="R426" s="716">
        <f t="shared" si="82"/>
        <v>0</v>
      </c>
      <c r="S426" s="361">
        <f t="shared" si="83"/>
        <v>0</v>
      </c>
    </row>
    <row r="427" spans="1:19">
      <c r="A427" s="159"/>
      <c r="B427" s="58"/>
      <c r="C427" s="23">
        <f t="shared" si="74"/>
        <v>1</v>
      </c>
      <c r="D427" s="720"/>
      <c r="E427" s="23">
        <f t="shared" si="75"/>
        <v>1</v>
      </c>
      <c r="F427" s="720"/>
      <c r="G427" s="23">
        <f t="shared" si="76"/>
        <v>1</v>
      </c>
      <c r="H427" s="720"/>
      <c r="I427" s="23">
        <f t="shared" si="77"/>
        <v>1</v>
      </c>
      <c r="J427" s="720"/>
      <c r="K427" s="23">
        <f t="shared" si="78"/>
        <v>1</v>
      </c>
      <c r="L427" s="720"/>
      <c r="M427" s="23">
        <f t="shared" si="79"/>
        <v>1</v>
      </c>
      <c r="N427" s="720"/>
      <c r="O427" s="23">
        <f t="shared" si="80"/>
        <v>1</v>
      </c>
      <c r="P427" s="720"/>
      <c r="Q427" s="23">
        <f t="shared" si="81"/>
        <v>1</v>
      </c>
      <c r="R427" s="716">
        <f t="shared" si="82"/>
        <v>0</v>
      </c>
      <c r="S427" s="361">
        <f t="shared" si="83"/>
        <v>0</v>
      </c>
    </row>
    <row r="428" spans="1:19">
      <c r="A428" s="159"/>
      <c r="B428" s="58"/>
      <c r="C428" s="23">
        <f t="shared" si="74"/>
        <v>1</v>
      </c>
      <c r="D428" s="720"/>
      <c r="E428" s="23">
        <f t="shared" si="75"/>
        <v>1</v>
      </c>
      <c r="F428" s="720"/>
      <c r="G428" s="23">
        <f t="shared" si="76"/>
        <v>1</v>
      </c>
      <c r="H428" s="720"/>
      <c r="I428" s="23">
        <f t="shared" si="77"/>
        <v>1</v>
      </c>
      <c r="J428" s="720"/>
      <c r="K428" s="23">
        <f t="shared" si="78"/>
        <v>1</v>
      </c>
      <c r="L428" s="720"/>
      <c r="M428" s="23">
        <f t="shared" si="79"/>
        <v>1</v>
      </c>
      <c r="N428" s="720"/>
      <c r="O428" s="23">
        <f t="shared" si="80"/>
        <v>1</v>
      </c>
      <c r="P428" s="720"/>
      <c r="Q428" s="23">
        <f t="shared" si="81"/>
        <v>1</v>
      </c>
      <c r="R428" s="716">
        <f t="shared" si="82"/>
        <v>0</v>
      </c>
      <c r="S428" s="361">
        <f t="shared" si="83"/>
        <v>0</v>
      </c>
    </row>
    <row r="429" spans="1:19">
      <c r="A429" s="159"/>
      <c r="B429" s="58"/>
      <c r="C429" s="23">
        <f t="shared" si="74"/>
        <v>1</v>
      </c>
      <c r="D429" s="720"/>
      <c r="E429" s="23">
        <f t="shared" si="75"/>
        <v>1</v>
      </c>
      <c r="F429" s="720"/>
      <c r="G429" s="23">
        <f t="shared" si="76"/>
        <v>1</v>
      </c>
      <c r="H429" s="720"/>
      <c r="I429" s="23">
        <f t="shared" si="77"/>
        <v>1</v>
      </c>
      <c r="J429" s="720"/>
      <c r="K429" s="23">
        <f t="shared" si="78"/>
        <v>1</v>
      </c>
      <c r="L429" s="720"/>
      <c r="M429" s="23">
        <f t="shared" si="79"/>
        <v>1</v>
      </c>
      <c r="N429" s="720"/>
      <c r="O429" s="23">
        <f t="shared" si="80"/>
        <v>1</v>
      </c>
      <c r="P429" s="720"/>
      <c r="Q429" s="23">
        <f t="shared" si="81"/>
        <v>1</v>
      </c>
      <c r="R429" s="716">
        <f t="shared" si="82"/>
        <v>0</v>
      </c>
      <c r="S429" s="361">
        <f t="shared" si="83"/>
        <v>0</v>
      </c>
    </row>
    <row r="430" spans="1:19">
      <c r="A430" s="159"/>
      <c r="B430" s="58"/>
      <c r="C430" s="23">
        <f t="shared" si="74"/>
        <v>1</v>
      </c>
      <c r="D430" s="720"/>
      <c r="E430" s="23">
        <f t="shared" si="75"/>
        <v>1</v>
      </c>
      <c r="F430" s="720"/>
      <c r="G430" s="23">
        <f t="shared" si="76"/>
        <v>1</v>
      </c>
      <c r="H430" s="720"/>
      <c r="I430" s="23">
        <f t="shared" si="77"/>
        <v>1</v>
      </c>
      <c r="J430" s="720"/>
      <c r="K430" s="23">
        <f t="shared" si="78"/>
        <v>1</v>
      </c>
      <c r="L430" s="720"/>
      <c r="M430" s="23">
        <f t="shared" si="79"/>
        <v>1</v>
      </c>
      <c r="N430" s="720"/>
      <c r="O430" s="23">
        <f t="shared" si="80"/>
        <v>1</v>
      </c>
      <c r="P430" s="720"/>
      <c r="Q430" s="23">
        <f t="shared" si="81"/>
        <v>1</v>
      </c>
      <c r="R430" s="716">
        <f t="shared" si="82"/>
        <v>0</v>
      </c>
      <c r="S430" s="361">
        <f t="shared" si="83"/>
        <v>0</v>
      </c>
    </row>
    <row r="431" spans="1:19">
      <c r="A431" s="159"/>
      <c r="B431" s="58"/>
      <c r="C431" s="23">
        <f t="shared" si="74"/>
        <v>1</v>
      </c>
      <c r="D431" s="720"/>
      <c r="E431" s="23">
        <f t="shared" si="75"/>
        <v>1</v>
      </c>
      <c r="F431" s="720"/>
      <c r="G431" s="23">
        <f t="shared" si="76"/>
        <v>1</v>
      </c>
      <c r="H431" s="720"/>
      <c r="I431" s="23">
        <f t="shared" si="77"/>
        <v>1</v>
      </c>
      <c r="J431" s="720"/>
      <c r="K431" s="23">
        <f t="shared" si="78"/>
        <v>1</v>
      </c>
      <c r="L431" s="720"/>
      <c r="M431" s="23">
        <f t="shared" si="79"/>
        <v>1</v>
      </c>
      <c r="N431" s="720"/>
      <c r="O431" s="23">
        <f t="shared" si="80"/>
        <v>1</v>
      </c>
      <c r="P431" s="720"/>
      <c r="Q431" s="23">
        <f t="shared" si="81"/>
        <v>1</v>
      </c>
      <c r="R431" s="716">
        <f t="shared" si="82"/>
        <v>0</v>
      </c>
      <c r="S431" s="361">
        <f t="shared" si="83"/>
        <v>0</v>
      </c>
    </row>
    <row r="432" spans="1:19">
      <c r="A432" s="159"/>
      <c r="B432" s="58"/>
      <c r="C432" s="23">
        <f t="shared" si="74"/>
        <v>1</v>
      </c>
      <c r="D432" s="720"/>
      <c r="E432" s="23">
        <f t="shared" si="75"/>
        <v>1</v>
      </c>
      <c r="F432" s="720"/>
      <c r="G432" s="23">
        <f t="shared" si="76"/>
        <v>1</v>
      </c>
      <c r="H432" s="720"/>
      <c r="I432" s="23">
        <f t="shared" si="77"/>
        <v>1</v>
      </c>
      <c r="J432" s="720"/>
      <c r="K432" s="23">
        <f t="shared" si="78"/>
        <v>1</v>
      </c>
      <c r="L432" s="720"/>
      <c r="M432" s="23">
        <f t="shared" si="79"/>
        <v>1</v>
      </c>
      <c r="N432" s="720"/>
      <c r="O432" s="23">
        <f t="shared" si="80"/>
        <v>1</v>
      </c>
      <c r="P432" s="720"/>
      <c r="Q432" s="23">
        <f t="shared" si="81"/>
        <v>1</v>
      </c>
      <c r="R432" s="716">
        <f t="shared" si="82"/>
        <v>0</v>
      </c>
      <c r="S432" s="361">
        <f t="shared" si="83"/>
        <v>0</v>
      </c>
    </row>
    <row r="433" spans="1:19">
      <c r="A433" s="159"/>
      <c r="B433" s="58"/>
      <c r="C433" s="23">
        <f t="shared" si="74"/>
        <v>1</v>
      </c>
      <c r="D433" s="720"/>
      <c r="E433" s="23">
        <f t="shared" si="75"/>
        <v>1</v>
      </c>
      <c r="F433" s="720"/>
      <c r="G433" s="23">
        <f t="shared" si="76"/>
        <v>1</v>
      </c>
      <c r="H433" s="720"/>
      <c r="I433" s="23">
        <f t="shared" si="77"/>
        <v>1</v>
      </c>
      <c r="J433" s="720"/>
      <c r="K433" s="23">
        <f t="shared" si="78"/>
        <v>1</v>
      </c>
      <c r="L433" s="720"/>
      <c r="M433" s="23">
        <f t="shared" si="79"/>
        <v>1</v>
      </c>
      <c r="N433" s="720"/>
      <c r="O433" s="23">
        <f t="shared" si="80"/>
        <v>1</v>
      </c>
      <c r="P433" s="720"/>
      <c r="Q433" s="23">
        <f t="shared" si="81"/>
        <v>1</v>
      </c>
      <c r="R433" s="716">
        <f t="shared" si="82"/>
        <v>0</v>
      </c>
      <c r="S433" s="361">
        <f t="shared" si="83"/>
        <v>0</v>
      </c>
    </row>
    <row r="434" spans="1:19">
      <c r="A434" s="159"/>
      <c r="B434" s="58"/>
      <c r="C434" s="23">
        <f t="shared" si="74"/>
        <v>1</v>
      </c>
      <c r="D434" s="720"/>
      <c r="E434" s="23">
        <f t="shared" si="75"/>
        <v>1</v>
      </c>
      <c r="F434" s="720"/>
      <c r="G434" s="23">
        <f t="shared" si="76"/>
        <v>1</v>
      </c>
      <c r="H434" s="720"/>
      <c r="I434" s="23">
        <f t="shared" si="77"/>
        <v>1</v>
      </c>
      <c r="J434" s="720"/>
      <c r="K434" s="23">
        <f t="shared" si="78"/>
        <v>1</v>
      </c>
      <c r="L434" s="720"/>
      <c r="M434" s="23">
        <f t="shared" si="79"/>
        <v>1</v>
      </c>
      <c r="N434" s="720"/>
      <c r="O434" s="23">
        <f t="shared" si="80"/>
        <v>1</v>
      </c>
      <c r="P434" s="720"/>
      <c r="Q434" s="23">
        <f t="shared" si="81"/>
        <v>1</v>
      </c>
      <c r="R434" s="716">
        <f t="shared" si="82"/>
        <v>0</v>
      </c>
      <c r="S434" s="361">
        <f t="shared" si="83"/>
        <v>0</v>
      </c>
    </row>
    <row r="435" spans="1:19">
      <c r="A435" s="159"/>
      <c r="B435" s="58"/>
      <c r="C435" s="23">
        <f t="shared" si="74"/>
        <v>1</v>
      </c>
      <c r="D435" s="720"/>
      <c r="E435" s="23">
        <f t="shared" si="75"/>
        <v>1</v>
      </c>
      <c r="F435" s="720"/>
      <c r="G435" s="23">
        <f t="shared" si="76"/>
        <v>1</v>
      </c>
      <c r="H435" s="720"/>
      <c r="I435" s="23">
        <f t="shared" si="77"/>
        <v>1</v>
      </c>
      <c r="J435" s="720"/>
      <c r="K435" s="23">
        <f t="shared" si="78"/>
        <v>1</v>
      </c>
      <c r="L435" s="720"/>
      <c r="M435" s="23">
        <f t="shared" si="79"/>
        <v>1</v>
      </c>
      <c r="N435" s="720"/>
      <c r="O435" s="23">
        <f t="shared" si="80"/>
        <v>1</v>
      </c>
      <c r="P435" s="720"/>
      <c r="Q435" s="23">
        <f t="shared" si="81"/>
        <v>1</v>
      </c>
      <c r="R435" s="716">
        <f t="shared" si="82"/>
        <v>0</v>
      </c>
      <c r="S435" s="361">
        <f t="shared" si="83"/>
        <v>0</v>
      </c>
    </row>
    <row r="436" spans="1:19">
      <c r="A436" s="159"/>
      <c r="B436" s="58"/>
      <c r="C436" s="23">
        <f t="shared" si="74"/>
        <v>1</v>
      </c>
      <c r="D436" s="720"/>
      <c r="E436" s="23">
        <f t="shared" si="75"/>
        <v>1</v>
      </c>
      <c r="F436" s="720"/>
      <c r="G436" s="23">
        <f t="shared" si="76"/>
        <v>1</v>
      </c>
      <c r="H436" s="720"/>
      <c r="I436" s="23">
        <f t="shared" si="77"/>
        <v>1</v>
      </c>
      <c r="J436" s="720"/>
      <c r="K436" s="23">
        <f t="shared" si="78"/>
        <v>1</v>
      </c>
      <c r="L436" s="720"/>
      <c r="M436" s="23">
        <f t="shared" si="79"/>
        <v>1</v>
      </c>
      <c r="N436" s="720"/>
      <c r="O436" s="23">
        <f t="shared" si="80"/>
        <v>1</v>
      </c>
      <c r="P436" s="720"/>
      <c r="Q436" s="23">
        <f t="shared" si="81"/>
        <v>1</v>
      </c>
      <c r="R436" s="716">
        <f t="shared" si="82"/>
        <v>0</v>
      </c>
      <c r="S436" s="361">
        <f t="shared" si="83"/>
        <v>0</v>
      </c>
    </row>
    <row r="437" spans="1:19">
      <c r="A437" s="159"/>
      <c r="B437" s="58"/>
      <c r="C437" s="23">
        <f t="shared" si="74"/>
        <v>1</v>
      </c>
      <c r="D437" s="720"/>
      <c r="E437" s="23">
        <f t="shared" si="75"/>
        <v>1</v>
      </c>
      <c r="F437" s="720"/>
      <c r="G437" s="23">
        <f t="shared" si="76"/>
        <v>1</v>
      </c>
      <c r="H437" s="720"/>
      <c r="I437" s="23">
        <f t="shared" si="77"/>
        <v>1</v>
      </c>
      <c r="J437" s="720"/>
      <c r="K437" s="23">
        <f t="shared" si="78"/>
        <v>1</v>
      </c>
      <c r="L437" s="720"/>
      <c r="M437" s="23">
        <f t="shared" si="79"/>
        <v>1</v>
      </c>
      <c r="N437" s="720"/>
      <c r="O437" s="23">
        <f t="shared" si="80"/>
        <v>1</v>
      </c>
      <c r="P437" s="720"/>
      <c r="Q437" s="23">
        <f t="shared" si="81"/>
        <v>1</v>
      </c>
      <c r="R437" s="716">
        <f t="shared" si="82"/>
        <v>0</v>
      </c>
      <c r="S437" s="361">
        <f t="shared" si="83"/>
        <v>0</v>
      </c>
    </row>
    <row r="438" spans="1:19">
      <c r="A438" s="159"/>
      <c r="B438" s="58"/>
      <c r="C438" s="23">
        <f t="shared" si="74"/>
        <v>1</v>
      </c>
      <c r="D438" s="720"/>
      <c r="E438" s="23">
        <f t="shared" si="75"/>
        <v>1</v>
      </c>
      <c r="F438" s="720"/>
      <c r="G438" s="23">
        <f t="shared" si="76"/>
        <v>1</v>
      </c>
      <c r="H438" s="720"/>
      <c r="I438" s="23">
        <f t="shared" si="77"/>
        <v>1</v>
      </c>
      <c r="J438" s="720"/>
      <c r="K438" s="23">
        <f t="shared" si="78"/>
        <v>1</v>
      </c>
      <c r="L438" s="720"/>
      <c r="M438" s="23">
        <f t="shared" si="79"/>
        <v>1</v>
      </c>
      <c r="N438" s="720"/>
      <c r="O438" s="23">
        <f t="shared" si="80"/>
        <v>1</v>
      </c>
      <c r="P438" s="720"/>
      <c r="Q438" s="23">
        <f t="shared" si="81"/>
        <v>1</v>
      </c>
      <c r="R438" s="716">
        <f t="shared" si="82"/>
        <v>0</v>
      </c>
      <c r="S438" s="361">
        <f t="shared" si="83"/>
        <v>0</v>
      </c>
    </row>
    <row r="439" spans="1:19">
      <c r="A439" s="159"/>
      <c r="B439" s="58"/>
      <c r="C439" s="23">
        <f t="shared" si="74"/>
        <v>1</v>
      </c>
      <c r="D439" s="720"/>
      <c r="E439" s="23">
        <f t="shared" si="75"/>
        <v>1</v>
      </c>
      <c r="F439" s="720"/>
      <c r="G439" s="23">
        <f t="shared" si="76"/>
        <v>1</v>
      </c>
      <c r="H439" s="720"/>
      <c r="I439" s="23">
        <f t="shared" si="77"/>
        <v>1</v>
      </c>
      <c r="J439" s="720"/>
      <c r="K439" s="23">
        <f t="shared" si="78"/>
        <v>1</v>
      </c>
      <c r="L439" s="720"/>
      <c r="M439" s="23">
        <f t="shared" si="79"/>
        <v>1</v>
      </c>
      <c r="N439" s="720"/>
      <c r="O439" s="23">
        <f t="shared" si="80"/>
        <v>1</v>
      </c>
      <c r="P439" s="720"/>
      <c r="Q439" s="23">
        <f t="shared" si="81"/>
        <v>1</v>
      </c>
      <c r="R439" s="716">
        <f t="shared" si="82"/>
        <v>0</v>
      </c>
      <c r="S439" s="361">
        <f t="shared" si="83"/>
        <v>0</v>
      </c>
    </row>
    <row r="440" spans="1:19">
      <c r="A440" s="159"/>
      <c r="B440" s="58"/>
      <c r="C440" s="23">
        <f t="shared" si="74"/>
        <v>1</v>
      </c>
      <c r="D440" s="720"/>
      <c r="E440" s="23">
        <f t="shared" si="75"/>
        <v>1</v>
      </c>
      <c r="F440" s="720"/>
      <c r="G440" s="23">
        <f t="shared" si="76"/>
        <v>1</v>
      </c>
      <c r="H440" s="720"/>
      <c r="I440" s="23">
        <f t="shared" si="77"/>
        <v>1</v>
      </c>
      <c r="J440" s="720"/>
      <c r="K440" s="23">
        <f t="shared" si="78"/>
        <v>1</v>
      </c>
      <c r="L440" s="720"/>
      <c r="M440" s="23">
        <f t="shared" si="79"/>
        <v>1</v>
      </c>
      <c r="N440" s="720"/>
      <c r="O440" s="23">
        <f t="shared" si="80"/>
        <v>1</v>
      </c>
      <c r="P440" s="720"/>
      <c r="Q440" s="23">
        <f t="shared" si="81"/>
        <v>1</v>
      </c>
      <c r="R440" s="716">
        <f t="shared" si="82"/>
        <v>0</v>
      </c>
      <c r="S440" s="361">
        <f t="shared" si="83"/>
        <v>0</v>
      </c>
    </row>
    <row r="441" spans="1:19">
      <c r="A441" s="159"/>
      <c r="B441" s="58"/>
      <c r="C441" s="23">
        <f t="shared" si="74"/>
        <v>1</v>
      </c>
      <c r="D441" s="720"/>
      <c r="E441" s="23">
        <f t="shared" si="75"/>
        <v>1</v>
      </c>
      <c r="F441" s="720"/>
      <c r="G441" s="23">
        <f t="shared" si="76"/>
        <v>1</v>
      </c>
      <c r="H441" s="720"/>
      <c r="I441" s="23">
        <f t="shared" si="77"/>
        <v>1</v>
      </c>
      <c r="J441" s="720"/>
      <c r="K441" s="23">
        <f t="shared" si="78"/>
        <v>1</v>
      </c>
      <c r="L441" s="720"/>
      <c r="M441" s="23">
        <f t="shared" si="79"/>
        <v>1</v>
      </c>
      <c r="N441" s="720"/>
      <c r="O441" s="23">
        <f t="shared" si="80"/>
        <v>1</v>
      </c>
      <c r="P441" s="720"/>
      <c r="Q441" s="23">
        <f t="shared" si="81"/>
        <v>1</v>
      </c>
      <c r="R441" s="716">
        <f t="shared" si="82"/>
        <v>0</v>
      </c>
      <c r="S441" s="361">
        <f t="shared" si="83"/>
        <v>0</v>
      </c>
    </row>
    <row r="442" spans="1:19">
      <c r="A442" s="159"/>
      <c r="B442" s="58"/>
      <c r="C442" s="23">
        <f t="shared" si="74"/>
        <v>1</v>
      </c>
      <c r="D442" s="720"/>
      <c r="E442" s="23">
        <f t="shared" si="75"/>
        <v>1</v>
      </c>
      <c r="F442" s="720"/>
      <c r="G442" s="23">
        <f t="shared" si="76"/>
        <v>1</v>
      </c>
      <c r="H442" s="720"/>
      <c r="I442" s="23">
        <f t="shared" si="77"/>
        <v>1</v>
      </c>
      <c r="J442" s="720"/>
      <c r="K442" s="23">
        <f t="shared" si="78"/>
        <v>1</v>
      </c>
      <c r="L442" s="720"/>
      <c r="M442" s="23">
        <f t="shared" si="79"/>
        <v>1</v>
      </c>
      <c r="N442" s="720"/>
      <c r="O442" s="23">
        <f t="shared" si="80"/>
        <v>1</v>
      </c>
      <c r="P442" s="720"/>
      <c r="Q442" s="23">
        <f t="shared" si="81"/>
        <v>1</v>
      </c>
      <c r="R442" s="716">
        <f t="shared" si="82"/>
        <v>0</v>
      </c>
      <c r="S442" s="361">
        <f t="shared" si="83"/>
        <v>0</v>
      </c>
    </row>
    <row r="443" spans="1:19">
      <c r="A443" s="159"/>
      <c r="B443" s="58"/>
      <c r="C443" s="23">
        <f t="shared" si="74"/>
        <v>1</v>
      </c>
      <c r="D443" s="720"/>
      <c r="E443" s="23">
        <f t="shared" si="75"/>
        <v>1</v>
      </c>
      <c r="F443" s="720"/>
      <c r="G443" s="23">
        <f t="shared" si="76"/>
        <v>1</v>
      </c>
      <c r="H443" s="720"/>
      <c r="I443" s="23">
        <f t="shared" si="77"/>
        <v>1</v>
      </c>
      <c r="J443" s="720"/>
      <c r="K443" s="23">
        <f t="shared" si="78"/>
        <v>1</v>
      </c>
      <c r="L443" s="720"/>
      <c r="M443" s="23">
        <f t="shared" si="79"/>
        <v>1</v>
      </c>
      <c r="N443" s="720"/>
      <c r="O443" s="23">
        <f t="shared" si="80"/>
        <v>1</v>
      </c>
      <c r="P443" s="720"/>
      <c r="Q443" s="23">
        <f t="shared" si="81"/>
        <v>1</v>
      </c>
      <c r="R443" s="716">
        <f t="shared" si="82"/>
        <v>0</v>
      </c>
      <c r="S443" s="361">
        <f t="shared" si="83"/>
        <v>0</v>
      </c>
    </row>
    <row r="444" spans="1:19">
      <c r="A444" s="159"/>
      <c r="B444" s="58"/>
      <c r="C444" s="23">
        <f t="shared" si="74"/>
        <v>1</v>
      </c>
      <c r="D444" s="720"/>
      <c r="E444" s="23">
        <f t="shared" si="75"/>
        <v>1</v>
      </c>
      <c r="F444" s="720"/>
      <c r="G444" s="23">
        <f t="shared" si="76"/>
        <v>1</v>
      </c>
      <c r="H444" s="720"/>
      <c r="I444" s="23">
        <f t="shared" si="77"/>
        <v>1</v>
      </c>
      <c r="J444" s="720"/>
      <c r="K444" s="23">
        <f t="shared" si="78"/>
        <v>1</v>
      </c>
      <c r="L444" s="720"/>
      <c r="M444" s="23">
        <f t="shared" si="79"/>
        <v>1</v>
      </c>
      <c r="N444" s="720"/>
      <c r="O444" s="23">
        <f t="shared" si="80"/>
        <v>1</v>
      </c>
      <c r="P444" s="720"/>
      <c r="Q444" s="23">
        <f t="shared" si="81"/>
        <v>1</v>
      </c>
      <c r="R444" s="716">
        <f t="shared" si="82"/>
        <v>0</v>
      </c>
      <c r="S444" s="361">
        <f t="shared" si="83"/>
        <v>0</v>
      </c>
    </row>
    <row r="445" spans="1:19">
      <c r="A445" s="159"/>
      <c r="B445" s="58"/>
      <c r="C445" s="23">
        <f t="shared" si="74"/>
        <v>1</v>
      </c>
      <c r="D445" s="720"/>
      <c r="E445" s="23">
        <f t="shared" si="75"/>
        <v>1</v>
      </c>
      <c r="F445" s="720"/>
      <c r="G445" s="23">
        <f t="shared" si="76"/>
        <v>1</v>
      </c>
      <c r="H445" s="720"/>
      <c r="I445" s="23">
        <f t="shared" si="77"/>
        <v>1</v>
      </c>
      <c r="J445" s="720"/>
      <c r="K445" s="23">
        <f t="shared" si="78"/>
        <v>1</v>
      </c>
      <c r="L445" s="720"/>
      <c r="M445" s="23">
        <f t="shared" si="79"/>
        <v>1</v>
      </c>
      <c r="N445" s="720"/>
      <c r="O445" s="23">
        <f t="shared" si="80"/>
        <v>1</v>
      </c>
      <c r="P445" s="720"/>
      <c r="Q445" s="23">
        <f t="shared" si="81"/>
        <v>1</v>
      </c>
      <c r="R445" s="716">
        <f t="shared" si="82"/>
        <v>0</v>
      </c>
      <c r="S445" s="361">
        <f t="shared" si="83"/>
        <v>0</v>
      </c>
    </row>
    <row r="446" spans="1:19">
      <c r="A446" s="159"/>
      <c r="B446" s="58"/>
      <c r="C446" s="23">
        <f t="shared" si="74"/>
        <v>1</v>
      </c>
      <c r="D446" s="720"/>
      <c r="E446" s="23">
        <f t="shared" si="75"/>
        <v>1</v>
      </c>
      <c r="F446" s="720"/>
      <c r="G446" s="23">
        <f t="shared" si="76"/>
        <v>1</v>
      </c>
      <c r="H446" s="720"/>
      <c r="I446" s="23">
        <f t="shared" si="77"/>
        <v>1</v>
      </c>
      <c r="J446" s="720"/>
      <c r="K446" s="23">
        <f t="shared" si="78"/>
        <v>1</v>
      </c>
      <c r="L446" s="720"/>
      <c r="M446" s="23">
        <f t="shared" si="79"/>
        <v>1</v>
      </c>
      <c r="N446" s="720"/>
      <c r="O446" s="23">
        <f t="shared" si="80"/>
        <v>1</v>
      </c>
      <c r="P446" s="720"/>
      <c r="Q446" s="23">
        <f t="shared" si="81"/>
        <v>1</v>
      </c>
      <c r="R446" s="716">
        <f t="shared" si="82"/>
        <v>0</v>
      </c>
      <c r="S446" s="361">
        <f t="shared" si="83"/>
        <v>0</v>
      </c>
    </row>
    <row r="447" spans="1:19">
      <c r="A447" s="159"/>
      <c r="B447" s="58"/>
      <c r="C447" s="23">
        <f t="shared" si="74"/>
        <v>1</v>
      </c>
      <c r="D447" s="720"/>
      <c r="E447" s="23">
        <f t="shared" si="75"/>
        <v>1</v>
      </c>
      <c r="F447" s="720"/>
      <c r="G447" s="23">
        <f t="shared" si="76"/>
        <v>1</v>
      </c>
      <c r="H447" s="720"/>
      <c r="I447" s="23">
        <f t="shared" si="77"/>
        <v>1</v>
      </c>
      <c r="J447" s="720"/>
      <c r="K447" s="23">
        <f t="shared" si="78"/>
        <v>1</v>
      </c>
      <c r="L447" s="720"/>
      <c r="M447" s="23">
        <f t="shared" si="79"/>
        <v>1</v>
      </c>
      <c r="N447" s="720"/>
      <c r="O447" s="23">
        <f t="shared" si="80"/>
        <v>1</v>
      </c>
      <c r="P447" s="720"/>
      <c r="Q447" s="23">
        <f t="shared" si="81"/>
        <v>1</v>
      </c>
      <c r="R447" s="716">
        <f t="shared" si="82"/>
        <v>0</v>
      </c>
      <c r="S447" s="361">
        <f t="shared" si="83"/>
        <v>0</v>
      </c>
    </row>
    <row r="448" spans="1:19">
      <c r="A448" s="159"/>
      <c r="B448" s="58"/>
      <c r="C448" s="23">
        <f t="shared" si="74"/>
        <v>1</v>
      </c>
      <c r="D448" s="720"/>
      <c r="E448" s="23">
        <f t="shared" si="75"/>
        <v>1</v>
      </c>
      <c r="F448" s="720"/>
      <c r="G448" s="23">
        <f t="shared" si="76"/>
        <v>1</v>
      </c>
      <c r="H448" s="720"/>
      <c r="I448" s="23">
        <f t="shared" si="77"/>
        <v>1</v>
      </c>
      <c r="J448" s="720"/>
      <c r="K448" s="23">
        <f t="shared" si="78"/>
        <v>1</v>
      </c>
      <c r="L448" s="720"/>
      <c r="M448" s="23">
        <f t="shared" si="79"/>
        <v>1</v>
      </c>
      <c r="N448" s="720"/>
      <c r="O448" s="23">
        <f t="shared" si="80"/>
        <v>1</v>
      </c>
      <c r="P448" s="720"/>
      <c r="Q448" s="23">
        <f t="shared" si="81"/>
        <v>1</v>
      </c>
      <c r="R448" s="716">
        <f t="shared" si="82"/>
        <v>0</v>
      </c>
      <c r="S448" s="361">
        <f t="shared" si="83"/>
        <v>0</v>
      </c>
    </row>
    <row r="449" spans="1:19">
      <c r="A449" s="159"/>
      <c r="B449" s="58"/>
      <c r="C449" s="23">
        <f t="shared" si="74"/>
        <v>1</v>
      </c>
      <c r="D449" s="720"/>
      <c r="E449" s="23">
        <f t="shared" si="75"/>
        <v>1</v>
      </c>
      <c r="F449" s="720"/>
      <c r="G449" s="23">
        <f t="shared" si="76"/>
        <v>1</v>
      </c>
      <c r="H449" s="720"/>
      <c r="I449" s="23">
        <f t="shared" si="77"/>
        <v>1</v>
      </c>
      <c r="J449" s="720"/>
      <c r="K449" s="23">
        <f t="shared" si="78"/>
        <v>1</v>
      </c>
      <c r="L449" s="720"/>
      <c r="M449" s="23">
        <f t="shared" si="79"/>
        <v>1</v>
      </c>
      <c r="N449" s="720"/>
      <c r="O449" s="23">
        <f t="shared" si="80"/>
        <v>1</v>
      </c>
      <c r="P449" s="720"/>
      <c r="Q449" s="23">
        <f t="shared" si="81"/>
        <v>1</v>
      </c>
      <c r="R449" s="716">
        <f t="shared" si="82"/>
        <v>0</v>
      </c>
      <c r="S449" s="361">
        <f t="shared" si="83"/>
        <v>0</v>
      </c>
    </row>
    <row r="450" spans="1:19">
      <c r="A450" s="159"/>
      <c r="B450" s="58"/>
      <c r="C450" s="23">
        <f t="shared" si="74"/>
        <v>1</v>
      </c>
      <c r="D450" s="720"/>
      <c r="E450" s="23">
        <f t="shared" si="75"/>
        <v>1</v>
      </c>
      <c r="F450" s="720"/>
      <c r="G450" s="23">
        <f t="shared" si="76"/>
        <v>1</v>
      </c>
      <c r="H450" s="720"/>
      <c r="I450" s="23">
        <f t="shared" si="77"/>
        <v>1</v>
      </c>
      <c r="J450" s="720"/>
      <c r="K450" s="23">
        <f t="shared" si="78"/>
        <v>1</v>
      </c>
      <c r="L450" s="720"/>
      <c r="M450" s="23">
        <f t="shared" si="79"/>
        <v>1</v>
      </c>
      <c r="N450" s="720"/>
      <c r="O450" s="23">
        <f t="shared" si="80"/>
        <v>1</v>
      </c>
      <c r="P450" s="720"/>
      <c r="Q450" s="23">
        <f t="shared" si="81"/>
        <v>1</v>
      </c>
      <c r="R450" s="716">
        <f t="shared" si="82"/>
        <v>0</v>
      </c>
      <c r="S450" s="361">
        <f t="shared" si="83"/>
        <v>0</v>
      </c>
    </row>
    <row r="451" spans="1:19">
      <c r="A451" s="159"/>
      <c r="B451" s="58"/>
      <c r="C451" s="23">
        <f t="shared" si="74"/>
        <v>1</v>
      </c>
      <c r="D451" s="720"/>
      <c r="E451" s="23">
        <f t="shared" si="75"/>
        <v>1</v>
      </c>
      <c r="F451" s="720"/>
      <c r="G451" s="23">
        <f t="shared" si="76"/>
        <v>1</v>
      </c>
      <c r="H451" s="720"/>
      <c r="I451" s="23">
        <f t="shared" si="77"/>
        <v>1</v>
      </c>
      <c r="J451" s="720"/>
      <c r="K451" s="23">
        <f t="shared" si="78"/>
        <v>1</v>
      </c>
      <c r="L451" s="720"/>
      <c r="M451" s="23">
        <f t="shared" si="79"/>
        <v>1</v>
      </c>
      <c r="N451" s="720"/>
      <c r="O451" s="23">
        <f t="shared" si="80"/>
        <v>1</v>
      </c>
      <c r="P451" s="720"/>
      <c r="Q451" s="23">
        <f t="shared" si="81"/>
        <v>1</v>
      </c>
      <c r="R451" s="716">
        <f t="shared" si="82"/>
        <v>0</v>
      </c>
      <c r="S451" s="361">
        <f t="shared" si="83"/>
        <v>0</v>
      </c>
    </row>
    <row r="452" spans="1:19">
      <c r="A452" s="159"/>
      <c r="B452" s="58"/>
      <c r="C452" s="23">
        <f t="shared" si="74"/>
        <v>1</v>
      </c>
      <c r="D452" s="720"/>
      <c r="E452" s="23">
        <f t="shared" si="75"/>
        <v>1</v>
      </c>
      <c r="F452" s="720"/>
      <c r="G452" s="23">
        <f t="shared" si="76"/>
        <v>1</v>
      </c>
      <c r="H452" s="720"/>
      <c r="I452" s="23">
        <f t="shared" si="77"/>
        <v>1</v>
      </c>
      <c r="J452" s="720"/>
      <c r="K452" s="23">
        <f t="shared" si="78"/>
        <v>1</v>
      </c>
      <c r="L452" s="720"/>
      <c r="M452" s="23">
        <f t="shared" si="79"/>
        <v>1</v>
      </c>
      <c r="N452" s="720"/>
      <c r="O452" s="23">
        <f t="shared" si="80"/>
        <v>1</v>
      </c>
      <c r="P452" s="720"/>
      <c r="Q452" s="23">
        <f t="shared" si="81"/>
        <v>1</v>
      </c>
      <c r="R452" s="716">
        <f t="shared" si="82"/>
        <v>0</v>
      </c>
      <c r="S452" s="361">
        <f t="shared" si="83"/>
        <v>0</v>
      </c>
    </row>
    <row r="453" spans="1:19">
      <c r="A453" s="159"/>
      <c r="B453" s="58"/>
      <c r="C453" s="23">
        <f t="shared" si="74"/>
        <v>1</v>
      </c>
      <c r="D453" s="720"/>
      <c r="E453" s="23">
        <f t="shared" si="75"/>
        <v>1</v>
      </c>
      <c r="F453" s="720"/>
      <c r="G453" s="23">
        <f t="shared" si="76"/>
        <v>1</v>
      </c>
      <c r="H453" s="720"/>
      <c r="I453" s="23">
        <f t="shared" si="77"/>
        <v>1</v>
      </c>
      <c r="J453" s="720"/>
      <c r="K453" s="23">
        <f t="shared" si="78"/>
        <v>1</v>
      </c>
      <c r="L453" s="720"/>
      <c r="M453" s="23">
        <f t="shared" si="79"/>
        <v>1</v>
      </c>
      <c r="N453" s="720"/>
      <c r="O453" s="23">
        <f t="shared" si="80"/>
        <v>1</v>
      </c>
      <c r="P453" s="720"/>
      <c r="Q453" s="23">
        <f t="shared" si="81"/>
        <v>1</v>
      </c>
      <c r="R453" s="716">
        <f t="shared" si="82"/>
        <v>0</v>
      </c>
      <c r="S453" s="361">
        <f t="shared" si="83"/>
        <v>0</v>
      </c>
    </row>
    <row r="454" spans="1:19">
      <c r="A454" s="159"/>
      <c r="B454" s="58"/>
      <c r="C454" s="23">
        <f t="shared" si="74"/>
        <v>1</v>
      </c>
      <c r="D454" s="720"/>
      <c r="E454" s="23">
        <f t="shared" si="75"/>
        <v>1</v>
      </c>
      <c r="F454" s="720"/>
      <c r="G454" s="23">
        <f t="shared" si="76"/>
        <v>1</v>
      </c>
      <c r="H454" s="720"/>
      <c r="I454" s="23">
        <f t="shared" si="77"/>
        <v>1</v>
      </c>
      <c r="J454" s="720"/>
      <c r="K454" s="23">
        <f t="shared" si="78"/>
        <v>1</v>
      </c>
      <c r="L454" s="720"/>
      <c r="M454" s="23">
        <f t="shared" si="79"/>
        <v>1</v>
      </c>
      <c r="N454" s="720"/>
      <c r="O454" s="23">
        <f t="shared" si="80"/>
        <v>1</v>
      </c>
      <c r="P454" s="720"/>
      <c r="Q454" s="23">
        <f t="shared" si="81"/>
        <v>1</v>
      </c>
      <c r="R454" s="716">
        <f t="shared" si="82"/>
        <v>0</v>
      </c>
      <c r="S454" s="361">
        <f t="shared" si="83"/>
        <v>0</v>
      </c>
    </row>
    <row r="455" spans="1:19">
      <c r="A455" s="159"/>
      <c r="B455" s="58"/>
      <c r="C455" s="23">
        <f t="shared" si="74"/>
        <v>1</v>
      </c>
      <c r="D455" s="720"/>
      <c r="E455" s="23">
        <f t="shared" si="75"/>
        <v>1</v>
      </c>
      <c r="F455" s="720"/>
      <c r="G455" s="23">
        <f t="shared" si="76"/>
        <v>1</v>
      </c>
      <c r="H455" s="720"/>
      <c r="I455" s="23">
        <f t="shared" si="77"/>
        <v>1</v>
      </c>
      <c r="J455" s="720"/>
      <c r="K455" s="23">
        <f t="shared" si="78"/>
        <v>1</v>
      </c>
      <c r="L455" s="720"/>
      <c r="M455" s="23">
        <f t="shared" si="79"/>
        <v>1</v>
      </c>
      <c r="N455" s="720"/>
      <c r="O455" s="23">
        <f t="shared" si="80"/>
        <v>1</v>
      </c>
      <c r="P455" s="720"/>
      <c r="Q455" s="23">
        <f t="shared" si="81"/>
        <v>1</v>
      </c>
      <c r="R455" s="716">
        <f t="shared" si="82"/>
        <v>0</v>
      </c>
      <c r="S455" s="361">
        <f t="shared" si="83"/>
        <v>0</v>
      </c>
    </row>
    <row r="456" spans="1:19">
      <c r="A456" s="159"/>
      <c r="B456" s="58"/>
      <c r="C456" s="23">
        <f t="shared" si="74"/>
        <v>1</v>
      </c>
      <c r="D456" s="720"/>
      <c r="E456" s="23">
        <f t="shared" si="75"/>
        <v>1</v>
      </c>
      <c r="F456" s="720"/>
      <c r="G456" s="23">
        <f t="shared" si="76"/>
        <v>1</v>
      </c>
      <c r="H456" s="720"/>
      <c r="I456" s="23">
        <f t="shared" si="77"/>
        <v>1</v>
      </c>
      <c r="J456" s="720"/>
      <c r="K456" s="23">
        <f t="shared" si="78"/>
        <v>1</v>
      </c>
      <c r="L456" s="720"/>
      <c r="M456" s="23">
        <f t="shared" si="79"/>
        <v>1</v>
      </c>
      <c r="N456" s="720"/>
      <c r="O456" s="23">
        <f t="shared" si="80"/>
        <v>1</v>
      </c>
      <c r="P456" s="720"/>
      <c r="Q456" s="23">
        <f t="shared" si="81"/>
        <v>1</v>
      </c>
      <c r="R456" s="716">
        <f t="shared" si="82"/>
        <v>0</v>
      </c>
      <c r="S456" s="361">
        <f t="shared" si="83"/>
        <v>0</v>
      </c>
    </row>
    <row r="457" spans="1:19">
      <c r="A457" s="159"/>
      <c r="B457" s="58"/>
      <c r="C457" s="23">
        <f t="shared" si="74"/>
        <v>1</v>
      </c>
      <c r="D457" s="720"/>
      <c r="E457" s="23">
        <f t="shared" si="75"/>
        <v>1</v>
      </c>
      <c r="F457" s="720"/>
      <c r="G457" s="23">
        <f t="shared" si="76"/>
        <v>1</v>
      </c>
      <c r="H457" s="720"/>
      <c r="I457" s="23">
        <f t="shared" si="77"/>
        <v>1</v>
      </c>
      <c r="J457" s="720"/>
      <c r="K457" s="23">
        <f t="shared" si="78"/>
        <v>1</v>
      </c>
      <c r="L457" s="720"/>
      <c r="M457" s="23">
        <f t="shared" si="79"/>
        <v>1</v>
      </c>
      <c r="N457" s="720"/>
      <c r="O457" s="23">
        <f t="shared" si="80"/>
        <v>1</v>
      </c>
      <c r="P457" s="720"/>
      <c r="Q457" s="23">
        <f t="shared" si="81"/>
        <v>1</v>
      </c>
      <c r="R457" s="716">
        <f t="shared" si="82"/>
        <v>0</v>
      </c>
      <c r="S457" s="361">
        <f t="shared" si="83"/>
        <v>0</v>
      </c>
    </row>
    <row r="458" spans="1:19">
      <c r="A458" s="159"/>
      <c r="B458" s="58"/>
      <c r="C458" s="23">
        <f t="shared" si="74"/>
        <v>1</v>
      </c>
      <c r="D458" s="720"/>
      <c r="E458" s="23">
        <f t="shared" si="75"/>
        <v>1</v>
      </c>
      <c r="F458" s="720"/>
      <c r="G458" s="23">
        <f t="shared" si="76"/>
        <v>1</v>
      </c>
      <c r="H458" s="720"/>
      <c r="I458" s="23">
        <f t="shared" si="77"/>
        <v>1</v>
      </c>
      <c r="J458" s="720"/>
      <c r="K458" s="23">
        <f t="shared" si="78"/>
        <v>1</v>
      </c>
      <c r="L458" s="720"/>
      <c r="M458" s="23">
        <f t="shared" si="79"/>
        <v>1</v>
      </c>
      <c r="N458" s="720"/>
      <c r="O458" s="23">
        <f t="shared" si="80"/>
        <v>1</v>
      </c>
      <c r="P458" s="720"/>
      <c r="Q458" s="23">
        <f t="shared" si="81"/>
        <v>1</v>
      </c>
      <c r="R458" s="716">
        <f t="shared" si="82"/>
        <v>0</v>
      </c>
      <c r="S458" s="361">
        <f t="shared" si="83"/>
        <v>0</v>
      </c>
    </row>
    <row r="459" spans="1:19">
      <c r="A459" s="159"/>
      <c r="B459" s="58"/>
      <c r="C459" s="23">
        <f t="shared" si="74"/>
        <v>1</v>
      </c>
      <c r="D459" s="720"/>
      <c r="E459" s="23">
        <f t="shared" si="75"/>
        <v>1</v>
      </c>
      <c r="F459" s="720"/>
      <c r="G459" s="23">
        <f t="shared" si="76"/>
        <v>1</v>
      </c>
      <c r="H459" s="720"/>
      <c r="I459" s="23">
        <f t="shared" si="77"/>
        <v>1</v>
      </c>
      <c r="J459" s="720"/>
      <c r="K459" s="23">
        <f t="shared" si="78"/>
        <v>1</v>
      </c>
      <c r="L459" s="720"/>
      <c r="M459" s="23">
        <f t="shared" si="79"/>
        <v>1</v>
      </c>
      <c r="N459" s="720"/>
      <c r="O459" s="23">
        <f t="shared" si="80"/>
        <v>1</v>
      </c>
      <c r="P459" s="720"/>
      <c r="Q459" s="23">
        <f t="shared" si="81"/>
        <v>1</v>
      </c>
      <c r="R459" s="716">
        <f t="shared" si="82"/>
        <v>0</v>
      </c>
      <c r="S459" s="361">
        <f t="shared" si="83"/>
        <v>0</v>
      </c>
    </row>
    <row r="460" spans="1:19">
      <c r="A460" s="159"/>
      <c r="B460" s="58"/>
      <c r="C460" s="23">
        <f t="shared" si="74"/>
        <v>1</v>
      </c>
      <c r="D460" s="720"/>
      <c r="E460" s="23">
        <f t="shared" si="75"/>
        <v>1</v>
      </c>
      <c r="F460" s="720"/>
      <c r="G460" s="23">
        <f t="shared" si="76"/>
        <v>1</v>
      </c>
      <c r="H460" s="720"/>
      <c r="I460" s="23">
        <f t="shared" si="77"/>
        <v>1</v>
      </c>
      <c r="J460" s="720"/>
      <c r="K460" s="23">
        <f t="shared" si="78"/>
        <v>1</v>
      </c>
      <c r="L460" s="720"/>
      <c r="M460" s="23">
        <f t="shared" si="79"/>
        <v>1</v>
      </c>
      <c r="N460" s="720"/>
      <c r="O460" s="23">
        <f t="shared" si="80"/>
        <v>1</v>
      </c>
      <c r="P460" s="720"/>
      <c r="Q460" s="23">
        <f t="shared" si="81"/>
        <v>1</v>
      </c>
      <c r="R460" s="716">
        <f t="shared" si="82"/>
        <v>0</v>
      </c>
      <c r="S460" s="361">
        <f t="shared" si="83"/>
        <v>0</v>
      </c>
    </row>
    <row r="461" spans="1:19">
      <c r="A461" s="159"/>
      <c r="B461" s="58"/>
      <c r="C461" s="23">
        <f t="shared" si="74"/>
        <v>1</v>
      </c>
      <c r="D461" s="720"/>
      <c r="E461" s="23">
        <f t="shared" si="75"/>
        <v>1</v>
      </c>
      <c r="F461" s="720"/>
      <c r="G461" s="23">
        <f t="shared" si="76"/>
        <v>1</v>
      </c>
      <c r="H461" s="720"/>
      <c r="I461" s="23">
        <f t="shared" si="77"/>
        <v>1</v>
      </c>
      <c r="J461" s="720"/>
      <c r="K461" s="23">
        <f t="shared" si="78"/>
        <v>1</v>
      </c>
      <c r="L461" s="720"/>
      <c r="M461" s="23">
        <f t="shared" si="79"/>
        <v>1</v>
      </c>
      <c r="N461" s="720"/>
      <c r="O461" s="23">
        <f t="shared" si="80"/>
        <v>1</v>
      </c>
      <c r="P461" s="720"/>
      <c r="Q461" s="23">
        <f t="shared" si="81"/>
        <v>1</v>
      </c>
      <c r="R461" s="716">
        <f t="shared" si="82"/>
        <v>0</v>
      </c>
      <c r="S461" s="361">
        <f t="shared" si="83"/>
        <v>0</v>
      </c>
    </row>
    <row r="462" spans="1:19">
      <c r="A462" s="159"/>
      <c r="B462" s="58"/>
      <c r="C462" s="23">
        <f t="shared" si="74"/>
        <v>1</v>
      </c>
      <c r="D462" s="720"/>
      <c r="E462" s="23">
        <f t="shared" si="75"/>
        <v>1</v>
      </c>
      <c r="F462" s="720"/>
      <c r="G462" s="23">
        <f t="shared" si="76"/>
        <v>1</v>
      </c>
      <c r="H462" s="720"/>
      <c r="I462" s="23">
        <f t="shared" si="77"/>
        <v>1</v>
      </c>
      <c r="J462" s="720"/>
      <c r="K462" s="23">
        <f t="shared" si="78"/>
        <v>1</v>
      </c>
      <c r="L462" s="720"/>
      <c r="M462" s="23">
        <f t="shared" si="79"/>
        <v>1</v>
      </c>
      <c r="N462" s="720"/>
      <c r="O462" s="23">
        <f t="shared" si="80"/>
        <v>1</v>
      </c>
      <c r="P462" s="720"/>
      <c r="Q462" s="23">
        <f t="shared" si="81"/>
        <v>1</v>
      </c>
      <c r="R462" s="716">
        <f t="shared" si="82"/>
        <v>0</v>
      </c>
      <c r="S462" s="361">
        <f t="shared" si="83"/>
        <v>0</v>
      </c>
    </row>
    <row r="463" spans="1:19">
      <c r="A463" s="159"/>
      <c r="B463" s="58"/>
      <c r="C463" s="23">
        <f t="shared" si="74"/>
        <v>1</v>
      </c>
      <c r="D463" s="720"/>
      <c r="E463" s="23">
        <f t="shared" si="75"/>
        <v>1</v>
      </c>
      <c r="F463" s="720"/>
      <c r="G463" s="23">
        <f t="shared" si="76"/>
        <v>1</v>
      </c>
      <c r="H463" s="720"/>
      <c r="I463" s="23">
        <f t="shared" si="77"/>
        <v>1</v>
      </c>
      <c r="J463" s="720"/>
      <c r="K463" s="23">
        <f t="shared" si="78"/>
        <v>1</v>
      </c>
      <c r="L463" s="720"/>
      <c r="M463" s="23">
        <f t="shared" si="79"/>
        <v>1</v>
      </c>
      <c r="N463" s="720"/>
      <c r="O463" s="23">
        <f t="shared" si="80"/>
        <v>1</v>
      </c>
      <c r="P463" s="720"/>
      <c r="Q463" s="23">
        <f t="shared" si="81"/>
        <v>1</v>
      </c>
      <c r="R463" s="716">
        <f t="shared" si="82"/>
        <v>0</v>
      </c>
      <c r="S463" s="361">
        <f t="shared" si="83"/>
        <v>0</v>
      </c>
    </row>
    <row r="464" spans="1:19">
      <c r="A464" s="159"/>
      <c r="B464" s="58"/>
      <c r="C464" s="23">
        <f t="shared" si="74"/>
        <v>1</v>
      </c>
      <c r="D464" s="720"/>
      <c r="E464" s="23">
        <f t="shared" si="75"/>
        <v>1</v>
      </c>
      <c r="F464" s="720"/>
      <c r="G464" s="23">
        <f t="shared" si="76"/>
        <v>1</v>
      </c>
      <c r="H464" s="720"/>
      <c r="I464" s="23">
        <f t="shared" si="77"/>
        <v>1</v>
      </c>
      <c r="J464" s="720"/>
      <c r="K464" s="23">
        <f t="shared" si="78"/>
        <v>1</v>
      </c>
      <c r="L464" s="720"/>
      <c r="M464" s="23">
        <f t="shared" si="79"/>
        <v>1</v>
      </c>
      <c r="N464" s="720"/>
      <c r="O464" s="23">
        <f t="shared" si="80"/>
        <v>1</v>
      </c>
      <c r="P464" s="720"/>
      <c r="Q464" s="23">
        <f t="shared" si="81"/>
        <v>1</v>
      </c>
      <c r="R464" s="716">
        <f t="shared" si="82"/>
        <v>0</v>
      </c>
      <c r="S464" s="361">
        <f t="shared" si="83"/>
        <v>0</v>
      </c>
    </row>
    <row r="465" spans="1:19">
      <c r="A465" s="159"/>
      <c r="B465" s="58"/>
      <c r="C465" s="23">
        <f t="shared" si="74"/>
        <v>1</v>
      </c>
      <c r="D465" s="720"/>
      <c r="E465" s="23">
        <f t="shared" si="75"/>
        <v>1</v>
      </c>
      <c r="F465" s="720"/>
      <c r="G465" s="23">
        <f t="shared" si="76"/>
        <v>1</v>
      </c>
      <c r="H465" s="720"/>
      <c r="I465" s="23">
        <f t="shared" si="77"/>
        <v>1</v>
      </c>
      <c r="J465" s="720"/>
      <c r="K465" s="23">
        <f t="shared" si="78"/>
        <v>1</v>
      </c>
      <c r="L465" s="720"/>
      <c r="M465" s="23">
        <f t="shared" si="79"/>
        <v>1</v>
      </c>
      <c r="N465" s="720"/>
      <c r="O465" s="23">
        <f t="shared" si="80"/>
        <v>1</v>
      </c>
      <c r="P465" s="720"/>
      <c r="Q465" s="23">
        <f t="shared" si="81"/>
        <v>1</v>
      </c>
      <c r="R465" s="716">
        <f t="shared" si="82"/>
        <v>0</v>
      </c>
      <c r="S465" s="361">
        <f t="shared" si="83"/>
        <v>0</v>
      </c>
    </row>
    <row r="466" spans="1:19">
      <c r="A466" s="159"/>
      <c r="B466" s="58"/>
      <c r="C466" s="23">
        <f t="shared" si="74"/>
        <v>1</v>
      </c>
      <c r="D466" s="720"/>
      <c r="E466" s="23">
        <f t="shared" si="75"/>
        <v>1</v>
      </c>
      <c r="F466" s="720"/>
      <c r="G466" s="23">
        <f t="shared" si="76"/>
        <v>1</v>
      </c>
      <c r="H466" s="720"/>
      <c r="I466" s="23">
        <f t="shared" si="77"/>
        <v>1</v>
      </c>
      <c r="J466" s="720"/>
      <c r="K466" s="23">
        <f t="shared" si="78"/>
        <v>1</v>
      </c>
      <c r="L466" s="720"/>
      <c r="M466" s="23">
        <f t="shared" si="79"/>
        <v>1</v>
      </c>
      <c r="N466" s="720"/>
      <c r="O466" s="23">
        <f t="shared" si="80"/>
        <v>1</v>
      </c>
      <c r="P466" s="720"/>
      <c r="Q466" s="23">
        <f t="shared" si="81"/>
        <v>1</v>
      </c>
      <c r="R466" s="716">
        <f t="shared" si="82"/>
        <v>0</v>
      </c>
      <c r="S466" s="361">
        <f t="shared" si="83"/>
        <v>0</v>
      </c>
    </row>
    <row r="467" spans="1:19">
      <c r="A467" s="159"/>
      <c r="B467" s="58"/>
      <c r="C467" s="23">
        <f t="shared" si="74"/>
        <v>1</v>
      </c>
      <c r="D467" s="720"/>
      <c r="E467" s="23">
        <f t="shared" si="75"/>
        <v>1</v>
      </c>
      <c r="F467" s="720"/>
      <c r="G467" s="23">
        <f t="shared" si="76"/>
        <v>1</v>
      </c>
      <c r="H467" s="720"/>
      <c r="I467" s="23">
        <f t="shared" si="77"/>
        <v>1</v>
      </c>
      <c r="J467" s="720"/>
      <c r="K467" s="23">
        <f t="shared" si="78"/>
        <v>1</v>
      </c>
      <c r="L467" s="720"/>
      <c r="M467" s="23">
        <f t="shared" si="79"/>
        <v>1</v>
      </c>
      <c r="N467" s="720"/>
      <c r="O467" s="23">
        <f t="shared" si="80"/>
        <v>1</v>
      </c>
      <c r="P467" s="720"/>
      <c r="Q467" s="23">
        <f t="shared" si="81"/>
        <v>1</v>
      </c>
      <c r="R467" s="716">
        <f t="shared" si="82"/>
        <v>0</v>
      </c>
      <c r="S467" s="361">
        <f t="shared" si="83"/>
        <v>0</v>
      </c>
    </row>
    <row r="468" spans="1:19">
      <c r="A468" s="159"/>
      <c r="B468" s="58"/>
      <c r="C468" s="23">
        <f t="shared" si="74"/>
        <v>1</v>
      </c>
      <c r="D468" s="720"/>
      <c r="E468" s="23">
        <f t="shared" si="75"/>
        <v>1</v>
      </c>
      <c r="F468" s="720"/>
      <c r="G468" s="23">
        <f t="shared" si="76"/>
        <v>1</v>
      </c>
      <c r="H468" s="720"/>
      <c r="I468" s="23">
        <f t="shared" si="77"/>
        <v>1</v>
      </c>
      <c r="J468" s="720"/>
      <c r="K468" s="23">
        <f t="shared" si="78"/>
        <v>1</v>
      </c>
      <c r="L468" s="720"/>
      <c r="M468" s="23">
        <f t="shared" si="79"/>
        <v>1</v>
      </c>
      <c r="N468" s="720"/>
      <c r="O468" s="23">
        <f t="shared" si="80"/>
        <v>1</v>
      </c>
      <c r="P468" s="720"/>
      <c r="Q468" s="23">
        <f t="shared" si="81"/>
        <v>1</v>
      </c>
      <c r="R468" s="716">
        <f t="shared" si="82"/>
        <v>0</v>
      </c>
      <c r="S468" s="361">
        <f t="shared" ref="S468:S497" si="84">ROUND(R468*B468/10000,0)</f>
        <v>0</v>
      </c>
    </row>
    <row r="469" spans="1:19">
      <c r="A469" s="159"/>
      <c r="B469" s="58"/>
      <c r="C469" s="23">
        <f t="shared" si="74"/>
        <v>1</v>
      </c>
      <c r="D469" s="720"/>
      <c r="E469" s="23">
        <f t="shared" si="75"/>
        <v>1</v>
      </c>
      <c r="F469" s="720"/>
      <c r="G469" s="23">
        <f t="shared" si="76"/>
        <v>1</v>
      </c>
      <c r="H469" s="720"/>
      <c r="I469" s="23">
        <f t="shared" si="77"/>
        <v>1</v>
      </c>
      <c r="J469" s="720"/>
      <c r="K469" s="23">
        <f t="shared" si="78"/>
        <v>1</v>
      </c>
      <c r="L469" s="720"/>
      <c r="M469" s="23">
        <f t="shared" si="79"/>
        <v>1</v>
      </c>
      <c r="N469" s="720"/>
      <c r="O469" s="23">
        <f t="shared" si="80"/>
        <v>1</v>
      </c>
      <c r="P469" s="720"/>
      <c r="Q469" s="23">
        <f t="shared" si="81"/>
        <v>1</v>
      </c>
      <c r="R469" s="716">
        <f t="shared" si="82"/>
        <v>0</v>
      </c>
      <c r="S469" s="361">
        <f t="shared" si="84"/>
        <v>0</v>
      </c>
    </row>
    <row r="470" spans="1:19">
      <c r="A470" s="159"/>
      <c r="B470" s="58"/>
      <c r="C470" s="23">
        <f t="shared" si="74"/>
        <v>1</v>
      </c>
      <c r="D470" s="720"/>
      <c r="E470" s="23">
        <f t="shared" si="75"/>
        <v>1</v>
      </c>
      <c r="F470" s="720"/>
      <c r="G470" s="23">
        <f t="shared" si="76"/>
        <v>1</v>
      </c>
      <c r="H470" s="720"/>
      <c r="I470" s="23">
        <f t="shared" si="77"/>
        <v>1</v>
      </c>
      <c r="J470" s="720"/>
      <c r="K470" s="23">
        <f t="shared" si="78"/>
        <v>1</v>
      </c>
      <c r="L470" s="720"/>
      <c r="M470" s="23">
        <f t="shared" si="79"/>
        <v>1</v>
      </c>
      <c r="N470" s="720"/>
      <c r="O470" s="23">
        <f t="shared" si="80"/>
        <v>1</v>
      </c>
      <c r="P470" s="720"/>
      <c r="Q470" s="23">
        <f t="shared" si="81"/>
        <v>1</v>
      </c>
      <c r="R470" s="716">
        <f t="shared" si="82"/>
        <v>0</v>
      </c>
      <c r="S470" s="361">
        <f t="shared" si="84"/>
        <v>0</v>
      </c>
    </row>
    <row r="471" spans="1:19">
      <c r="A471" s="159"/>
      <c r="B471" s="58"/>
      <c r="C471" s="23">
        <f t="shared" si="74"/>
        <v>1</v>
      </c>
      <c r="D471" s="720"/>
      <c r="E471" s="23">
        <f t="shared" si="75"/>
        <v>1</v>
      </c>
      <c r="F471" s="720"/>
      <c r="G471" s="23">
        <f t="shared" si="76"/>
        <v>1</v>
      </c>
      <c r="H471" s="720"/>
      <c r="I471" s="23">
        <f t="shared" si="77"/>
        <v>1</v>
      </c>
      <c r="J471" s="720"/>
      <c r="K471" s="23">
        <f t="shared" si="78"/>
        <v>1</v>
      </c>
      <c r="L471" s="720"/>
      <c r="M471" s="23">
        <f t="shared" si="79"/>
        <v>1</v>
      </c>
      <c r="N471" s="720"/>
      <c r="O471" s="23">
        <f t="shared" si="80"/>
        <v>1</v>
      </c>
      <c r="P471" s="720"/>
      <c r="Q471" s="23">
        <f t="shared" si="81"/>
        <v>1</v>
      </c>
      <c r="R471" s="716">
        <f t="shared" si="82"/>
        <v>0</v>
      </c>
      <c r="S471" s="361">
        <f t="shared" si="84"/>
        <v>0</v>
      </c>
    </row>
    <row r="472" spans="1:19">
      <c r="A472" s="159"/>
      <c r="B472" s="58"/>
      <c r="C472" s="23">
        <f t="shared" si="74"/>
        <v>1</v>
      </c>
      <c r="D472" s="720"/>
      <c r="E472" s="23">
        <f t="shared" si="75"/>
        <v>1</v>
      </c>
      <c r="F472" s="720"/>
      <c r="G472" s="23">
        <f t="shared" si="76"/>
        <v>1</v>
      </c>
      <c r="H472" s="720"/>
      <c r="I472" s="23">
        <f t="shared" si="77"/>
        <v>1</v>
      </c>
      <c r="J472" s="720"/>
      <c r="K472" s="23">
        <f t="shared" si="78"/>
        <v>1</v>
      </c>
      <c r="L472" s="720"/>
      <c r="M472" s="23">
        <f t="shared" si="79"/>
        <v>1</v>
      </c>
      <c r="N472" s="720"/>
      <c r="O472" s="23">
        <f t="shared" si="80"/>
        <v>1</v>
      </c>
      <c r="P472" s="720"/>
      <c r="Q472" s="23">
        <f t="shared" si="81"/>
        <v>1</v>
      </c>
      <c r="R472" s="716">
        <f t="shared" si="82"/>
        <v>0</v>
      </c>
      <c r="S472" s="361">
        <f t="shared" si="84"/>
        <v>0</v>
      </c>
    </row>
    <row r="473" spans="1:19">
      <c r="A473" s="159"/>
      <c r="B473" s="58"/>
      <c r="C473" s="23">
        <f t="shared" si="74"/>
        <v>1</v>
      </c>
      <c r="D473" s="720"/>
      <c r="E473" s="23">
        <f t="shared" si="75"/>
        <v>1</v>
      </c>
      <c r="F473" s="720"/>
      <c r="G473" s="23">
        <f t="shared" si="76"/>
        <v>1</v>
      </c>
      <c r="H473" s="720"/>
      <c r="I473" s="23">
        <f t="shared" si="77"/>
        <v>1</v>
      </c>
      <c r="J473" s="720"/>
      <c r="K473" s="23">
        <f t="shared" si="78"/>
        <v>1</v>
      </c>
      <c r="L473" s="720"/>
      <c r="M473" s="23">
        <f t="shared" si="79"/>
        <v>1</v>
      </c>
      <c r="N473" s="720"/>
      <c r="O473" s="23">
        <f t="shared" si="80"/>
        <v>1</v>
      </c>
      <c r="P473" s="720"/>
      <c r="Q473" s="23">
        <f t="shared" si="81"/>
        <v>1</v>
      </c>
      <c r="R473" s="716">
        <f t="shared" si="82"/>
        <v>0</v>
      </c>
      <c r="S473" s="361">
        <f t="shared" si="84"/>
        <v>0</v>
      </c>
    </row>
    <row r="474" spans="1:19">
      <c r="A474" s="159"/>
      <c r="B474" s="58"/>
      <c r="C474" s="23">
        <f t="shared" ref="C474:C524" si="85">IF(B474="",1,(LOOKUP(B474,$3:$3,$4:$4)-LOOKUP($B$24,$3:$3,$4:$4)+100)/100)</f>
        <v>1</v>
      </c>
      <c r="D474" s="720"/>
      <c r="E474" s="23">
        <f t="shared" ref="E474:E524" si="86">(SUMIF($5:$5,D474,$6:$6)-SUMIF($5:$5,$D$24,$6:$6)+100)/100</f>
        <v>1</v>
      </c>
      <c r="F474" s="720"/>
      <c r="G474" s="23">
        <f t="shared" ref="G474:G524" si="87">(SUMIF($7:$7,F474,$8:$8)-SUMIF($7:$7,$F$24,$8:$8)+100)/100</f>
        <v>1</v>
      </c>
      <c r="H474" s="720"/>
      <c r="I474" s="23">
        <f t="shared" ref="I474:I524" si="88">(SUMIF($9:$9,H474,$10:$10)-SUMIF($9:$9,$H$24,$10:$10)+100)/100</f>
        <v>1</v>
      </c>
      <c r="J474" s="720"/>
      <c r="K474" s="23">
        <f t="shared" ref="K474:K524" si="89">(SUMIF($11:$11,J474,$12:$12)-SUMIF($11:$11,$J$24,$12:$12)+100)/100</f>
        <v>1</v>
      </c>
      <c r="L474" s="720"/>
      <c r="M474" s="23">
        <f t="shared" ref="M474:M524" si="90">(SUMIF($13:$13,L474,$14:$14)-SUMIF($13:$13,$L$24,$14:$14)+100)/100</f>
        <v>1</v>
      </c>
      <c r="N474" s="720"/>
      <c r="O474" s="23">
        <f t="shared" ref="O474:O524" si="91">(SUMIF($15:$15,N474,$16:$16)-SUMIF($15:$15,$N$24,$16:$16)+100)/100</f>
        <v>1</v>
      </c>
      <c r="P474" s="720"/>
      <c r="Q474" s="23">
        <f t="shared" ref="Q474:Q524" si="92">(SUMIF($17:$17,P474,$18:$18)-SUMIF($17:$17,$P$24,$18:$18)+100)/100</f>
        <v>1</v>
      </c>
      <c r="R474" s="716">
        <f t="shared" ref="R474:R524" si="93">IF(B474="",0,ROUND($R$24*C474*E474*G474*I474*K474*M474*O474*Q474,0))</f>
        <v>0</v>
      </c>
      <c r="S474" s="361">
        <f t="shared" si="84"/>
        <v>0</v>
      </c>
    </row>
    <row r="475" spans="1:19">
      <c r="A475" s="159"/>
      <c r="B475" s="58"/>
      <c r="C475" s="23">
        <f t="shared" si="85"/>
        <v>1</v>
      </c>
      <c r="D475" s="720"/>
      <c r="E475" s="23">
        <f t="shared" si="86"/>
        <v>1</v>
      </c>
      <c r="F475" s="720"/>
      <c r="G475" s="23">
        <f t="shared" si="87"/>
        <v>1</v>
      </c>
      <c r="H475" s="720"/>
      <c r="I475" s="23">
        <f t="shared" si="88"/>
        <v>1</v>
      </c>
      <c r="J475" s="720"/>
      <c r="K475" s="23">
        <f t="shared" si="89"/>
        <v>1</v>
      </c>
      <c r="L475" s="720"/>
      <c r="M475" s="23">
        <f t="shared" si="90"/>
        <v>1</v>
      </c>
      <c r="N475" s="720"/>
      <c r="O475" s="23">
        <f t="shared" si="91"/>
        <v>1</v>
      </c>
      <c r="P475" s="720"/>
      <c r="Q475" s="23">
        <f t="shared" si="92"/>
        <v>1</v>
      </c>
      <c r="R475" s="716">
        <f t="shared" si="93"/>
        <v>0</v>
      </c>
      <c r="S475" s="361">
        <f t="shared" si="84"/>
        <v>0</v>
      </c>
    </row>
    <row r="476" spans="1:19">
      <c r="A476" s="159"/>
      <c r="B476" s="58"/>
      <c r="C476" s="23">
        <f t="shared" si="85"/>
        <v>1</v>
      </c>
      <c r="D476" s="720"/>
      <c r="E476" s="23">
        <f t="shared" si="86"/>
        <v>1</v>
      </c>
      <c r="F476" s="720"/>
      <c r="G476" s="23">
        <f t="shared" si="87"/>
        <v>1</v>
      </c>
      <c r="H476" s="720"/>
      <c r="I476" s="23">
        <f t="shared" si="88"/>
        <v>1</v>
      </c>
      <c r="J476" s="720"/>
      <c r="K476" s="23">
        <f t="shared" si="89"/>
        <v>1</v>
      </c>
      <c r="L476" s="720"/>
      <c r="M476" s="23">
        <f t="shared" si="90"/>
        <v>1</v>
      </c>
      <c r="N476" s="720"/>
      <c r="O476" s="23">
        <f t="shared" si="91"/>
        <v>1</v>
      </c>
      <c r="P476" s="720"/>
      <c r="Q476" s="23">
        <f t="shared" si="92"/>
        <v>1</v>
      </c>
      <c r="R476" s="716">
        <f t="shared" si="93"/>
        <v>0</v>
      </c>
      <c r="S476" s="361">
        <f t="shared" si="84"/>
        <v>0</v>
      </c>
    </row>
    <row r="477" spans="1:19">
      <c r="A477" s="159"/>
      <c r="B477" s="58"/>
      <c r="C477" s="23">
        <f t="shared" si="85"/>
        <v>1</v>
      </c>
      <c r="D477" s="720"/>
      <c r="E477" s="23">
        <f t="shared" si="86"/>
        <v>1</v>
      </c>
      <c r="F477" s="720"/>
      <c r="G477" s="23">
        <f t="shared" si="87"/>
        <v>1</v>
      </c>
      <c r="H477" s="720"/>
      <c r="I477" s="23">
        <f t="shared" si="88"/>
        <v>1</v>
      </c>
      <c r="J477" s="720"/>
      <c r="K477" s="23">
        <f t="shared" si="89"/>
        <v>1</v>
      </c>
      <c r="L477" s="720"/>
      <c r="M477" s="23">
        <f t="shared" si="90"/>
        <v>1</v>
      </c>
      <c r="N477" s="720"/>
      <c r="O477" s="23">
        <f t="shared" si="91"/>
        <v>1</v>
      </c>
      <c r="P477" s="720"/>
      <c r="Q477" s="23">
        <f t="shared" si="92"/>
        <v>1</v>
      </c>
      <c r="R477" s="716">
        <f t="shared" si="93"/>
        <v>0</v>
      </c>
      <c r="S477" s="361">
        <f t="shared" si="84"/>
        <v>0</v>
      </c>
    </row>
    <row r="478" spans="1:19">
      <c r="A478" s="159"/>
      <c r="B478" s="58"/>
      <c r="C478" s="23">
        <f t="shared" si="85"/>
        <v>1</v>
      </c>
      <c r="D478" s="720"/>
      <c r="E478" s="23">
        <f t="shared" si="86"/>
        <v>1</v>
      </c>
      <c r="F478" s="720"/>
      <c r="G478" s="23">
        <f t="shared" si="87"/>
        <v>1</v>
      </c>
      <c r="H478" s="720"/>
      <c r="I478" s="23">
        <f t="shared" si="88"/>
        <v>1</v>
      </c>
      <c r="J478" s="720"/>
      <c r="K478" s="23">
        <f t="shared" si="89"/>
        <v>1</v>
      </c>
      <c r="L478" s="720"/>
      <c r="M478" s="23">
        <f t="shared" si="90"/>
        <v>1</v>
      </c>
      <c r="N478" s="720"/>
      <c r="O478" s="23">
        <f t="shared" si="91"/>
        <v>1</v>
      </c>
      <c r="P478" s="720"/>
      <c r="Q478" s="23">
        <f t="shared" si="92"/>
        <v>1</v>
      </c>
      <c r="R478" s="716">
        <f t="shared" si="93"/>
        <v>0</v>
      </c>
      <c r="S478" s="361">
        <f t="shared" si="84"/>
        <v>0</v>
      </c>
    </row>
    <row r="479" spans="1:19">
      <c r="A479" s="159"/>
      <c r="B479" s="58"/>
      <c r="C479" s="23">
        <f t="shared" si="85"/>
        <v>1</v>
      </c>
      <c r="D479" s="720"/>
      <c r="E479" s="23">
        <f t="shared" si="86"/>
        <v>1</v>
      </c>
      <c r="F479" s="720"/>
      <c r="G479" s="23">
        <f t="shared" si="87"/>
        <v>1</v>
      </c>
      <c r="H479" s="720"/>
      <c r="I479" s="23">
        <f t="shared" si="88"/>
        <v>1</v>
      </c>
      <c r="J479" s="720"/>
      <c r="K479" s="23">
        <f t="shared" si="89"/>
        <v>1</v>
      </c>
      <c r="L479" s="720"/>
      <c r="M479" s="23">
        <f t="shared" si="90"/>
        <v>1</v>
      </c>
      <c r="N479" s="720"/>
      <c r="O479" s="23">
        <f t="shared" si="91"/>
        <v>1</v>
      </c>
      <c r="P479" s="720"/>
      <c r="Q479" s="23">
        <f t="shared" si="92"/>
        <v>1</v>
      </c>
      <c r="R479" s="716">
        <f t="shared" si="93"/>
        <v>0</v>
      </c>
      <c r="S479" s="361">
        <f t="shared" si="84"/>
        <v>0</v>
      </c>
    </row>
    <row r="480" spans="1:19">
      <c r="A480" s="159"/>
      <c r="B480" s="58"/>
      <c r="C480" s="23">
        <f t="shared" si="85"/>
        <v>1</v>
      </c>
      <c r="D480" s="720"/>
      <c r="E480" s="23">
        <f t="shared" si="86"/>
        <v>1</v>
      </c>
      <c r="F480" s="720"/>
      <c r="G480" s="23">
        <f t="shared" si="87"/>
        <v>1</v>
      </c>
      <c r="H480" s="720"/>
      <c r="I480" s="23">
        <f t="shared" si="88"/>
        <v>1</v>
      </c>
      <c r="J480" s="720"/>
      <c r="K480" s="23">
        <f t="shared" si="89"/>
        <v>1</v>
      </c>
      <c r="L480" s="720"/>
      <c r="M480" s="23">
        <f t="shared" si="90"/>
        <v>1</v>
      </c>
      <c r="N480" s="720"/>
      <c r="O480" s="23">
        <f t="shared" si="91"/>
        <v>1</v>
      </c>
      <c r="P480" s="720"/>
      <c r="Q480" s="23">
        <f t="shared" si="92"/>
        <v>1</v>
      </c>
      <c r="R480" s="716">
        <f t="shared" si="93"/>
        <v>0</v>
      </c>
      <c r="S480" s="361">
        <f t="shared" si="84"/>
        <v>0</v>
      </c>
    </row>
    <row r="481" spans="1:19">
      <c r="A481" s="159"/>
      <c r="B481" s="58"/>
      <c r="C481" s="23">
        <f t="shared" si="85"/>
        <v>1</v>
      </c>
      <c r="D481" s="720"/>
      <c r="E481" s="23">
        <f t="shared" si="86"/>
        <v>1</v>
      </c>
      <c r="F481" s="720"/>
      <c r="G481" s="23">
        <f t="shared" si="87"/>
        <v>1</v>
      </c>
      <c r="H481" s="720"/>
      <c r="I481" s="23">
        <f t="shared" si="88"/>
        <v>1</v>
      </c>
      <c r="J481" s="720"/>
      <c r="K481" s="23">
        <f t="shared" si="89"/>
        <v>1</v>
      </c>
      <c r="L481" s="720"/>
      <c r="M481" s="23">
        <f t="shared" si="90"/>
        <v>1</v>
      </c>
      <c r="N481" s="720"/>
      <c r="O481" s="23">
        <f t="shared" si="91"/>
        <v>1</v>
      </c>
      <c r="P481" s="720"/>
      <c r="Q481" s="23">
        <f t="shared" si="92"/>
        <v>1</v>
      </c>
      <c r="R481" s="716">
        <f t="shared" si="93"/>
        <v>0</v>
      </c>
      <c r="S481" s="361">
        <f t="shared" si="84"/>
        <v>0</v>
      </c>
    </row>
    <row r="482" spans="1:19">
      <c r="A482" s="159"/>
      <c r="B482" s="58"/>
      <c r="C482" s="23">
        <f t="shared" si="85"/>
        <v>1</v>
      </c>
      <c r="D482" s="720"/>
      <c r="E482" s="23">
        <f t="shared" si="86"/>
        <v>1</v>
      </c>
      <c r="F482" s="720"/>
      <c r="G482" s="23">
        <f t="shared" si="87"/>
        <v>1</v>
      </c>
      <c r="H482" s="720"/>
      <c r="I482" s="23">
        <f t="shared" si="88"/>
        <v>1</v>
      </c>
      <c r="J482" s="720"/>
      <c r="K482" s="23">
        <f t="shared" si="89"/>
        <v>1</v>
      </c>
      <c r="L482" s="720"/>
      <c r="M482" s="23">
        <f t="shared" si="90"/>
        <v>1</v>
      </c>
      <c r="N482" s="720"/>
      <c r="O482" s="23">
        <f t="shared" si="91"/>
        <v>1</v>
      </c>
      <c r="P482" s="720"/>
      <c r="Q482" s="23">
        <f t="shared" si="92"/>
        <v>1</v>
      </c>
      <c r="R482" s="716">
        <f t="shared" si="93"/>
        <v>0</v>
      </c>
      <c r="S482" s="361">
        <f t="shared" si="84"/>
        <v>0</v>
      </c>
    </row>
    <row r="483" spans="1:19">
      <c r="A483" s="159"/>
      <c r="B483" s="58"/>
      <c r="C483" s="23">
        <f t="shared" si="85"/>
        <v>1</v>
      </c>
      <c r="D483" s="720"/>
      <c r="E483" s="23">
        <f t="shared" si="86"/>
        <v>1</v>
      </c>
      <c r="F483" s="720"/>
      <c r="G483" s="23">
        <f t="shared" si="87"/>
        <v>1</v>
      </c>
      <c r="H483" s="720"/>
      <c r="I483" s="23">
        <f t="shared" si="88"/>
        <v>1</v>
      </c>
      <c r="J483" s="720"/>
      <c r="K483" s="23">
        <f t="shared" si="89"/>
        <v>1</v>
      </c>
      <c r="L483" s="720"/>
      <c r="M483" s="23">
        <f t="shared" si="90"/>
        <v>1</v>
      </c>
      <c r="N483" s="720"/>
      <c r="O483" s="23">
        <f t="shared" si="91"/>
        <v>1</v>
      </c>
      <c r="P483" s="720"/>
      <c r="Q483" s="23">
        <f t="shared" si="92"/>
        <v>1</v>
      </c>
      <c r="R483" s="716">
        <f t="shared" si="93"/>
        <v>0</v>
      </c>
      <c r="S483" s="361">
        <f t="shared" si="84"/>
        <v>0</v>
      </c>
    </row>
    <row r="484" spans="1:19">
      <c r="A484" s="159"/>
      <c r="B484" s="58"/>
      <c r="C484" s="23">
        <f t="shared" si="85"/>
        <v>1</v>
      </c>
      <c r="D484" s="720"/>
      <c r="E484" s="23">
        <f t="shared" si="86"/>
        <v>1</v>
      </c>
      <c r="F484" s="720"/>
      <c r="G484" s="23">
        <f t="shared" si="87"/>
        <v>1</v>
      </c>
      <c r="H484" s="720"/>
      <c r="I484" s="23">
        <f t="shared" si="88"/>
        <v>1</v>
      </c>
      <c r="J484" s="720"/>
      <c r="K484" s="23">
        <f t="shared" si="89"/>
        <v>1</v>
      </c>
      <c r="L484" s="720"/>
      <c r="M484" s="23">
        <f t="shared" si="90"/>
        <v>1</v>
      </c>
      <c r="N484" s="720"/>
      <c r="O484" s="23">
        <f t="shared" si="91"/>
        <v>1</v>
      </c>
      <c r="P484" s="720"/>
      <c r="Q484" s="23">
        <f t="shared" si="92"/>
        <v>1</v>
      </c>
      <c r="R484" s="716">
        <f t="shared" si="93"/>
        <v>0</v>
      </c>
      <c r="S484" s="361">
        <f t="shared" si="84"/>
        <v>0</v>
      </c>
    </row>
    <row r="485" spans="1:19">
      <c r="A485" s="159"/>
      <c r="B485" s="58"/>
      <c r="C485" s="23">
        <f t="shared" si="85"/>
        <v>1</v>
      </c>
      <c r="D485" s="720"/>
      <c r="E485" s="23">
        <f t="shared" si="86"/>
        <v>1</v>
      </c>
      <c r="F485" s="720"/>
      <c r="G485" s="23">
        <f t="shared" si="87"/>
        <v>1</v>
      </c>
      <c r="H485" s="720"/>
      <c r="I485" s="23">
        <f t="shared" si="88"/>
        <v>1</v>
      </c>
      <c r="J485" s="720"/>
      <c r="K485" s="23">
        <f t="shared" si="89"/>
        <v>1</v>
      </c>
      <c r="L485" s="720"/>
      <c r="M485" s="23">
        <f t="shared" si="90"/>
        <v>1</v>
      </c>
      <c r="N485" s="720"/>
      <c r="O485" s="23">
        <f t="shared" si="91"/>
        <v>1</v>
      </c>
      <c r="P485" s="720"/>
      <c r="Q485" s="23">
        <f t="shared" si="92"/>
        <v>1</v>
      </c>
      <c r="R485" s="716">
        <f t="shared" si="93"/>
        <v>0</v>
      </c>
      <c r="S485" s="361">
        <f t="shared" si="84"/>
        <v>0</v>
      </c>
    </row>
    <row r="486" spans="1:19">
      <c r="A486" s="159"/>
      <c r="B486" s="58"/>
      <c r="C486" s="23">
        <f t="shared" si="85"/>
        <v>1</v>
      </c>
      <c r="D486" s="720"/>
      <c r="E486" s="23">
        <f t="shared" si="86"/>
        <v>1</v>
      </c>
      <c r="F486" s="720"/>
      <c r="G486" s="23">
        <f t="shared" si="87"/>
        <v>1</v>
      </c>
      <c r="H486" s="720"/>
      <c r="I486" s="23">
        <f t="shared" si="88"/>
        <v>1</v>
      </c>
      <c r="J486" s="720"/>
      <c r="K486" s="23">
        <f t="shared" si="89"/>
        <v>1</v>
      </c>
      <c r="L486" s="720"/>
      <c r="M486" s="23">
        <f t="shared" si="90"/>
        <v>1</v>
      </c>
      <c r="N486" s="720"/>
      <c r="O486" s="23">
        <f t="shared" si="91"/>
        <v>1</v>
      </c>
      <c r="P486" s="720"/>
      <c r="Q486" s="23">
        <f t="shared" si="92"/>
        <v>1</v>
      </c>
      <c r="R486" s="716">
        <f t="shared" si="93"/>
        <v>0</v>
      </c>
      <c r="S486" s="361">
        <f t="shared" si="84"/>
        <v>0</v>
      </c>
    </row>
    <row r="487" spans="1:19">
      <c r="A487" s="159"/>
      <c r="B487" s="58"/>
      <c r="C487" s="23">
        <f t="shared" si="85"/>
        <v>1</v>
      </c>
      <c r="D487" s="720"/>
      <c r="E487" s="23">
        <f t="shared" si="86"/>
        <v>1</v>
      </c>
      <c r="F487" s="720"/>
      <c r="G487" s="23">
        <f t="shared" si="87"/>
        <v>1</v>
      </c>
      <c r="H487" s="720"/>
      <c r="I487" s="23">
        <f t="shared" si="88"/>
        <v>1</v>
      </c>
      <c r="J487" s="720"/>
      <c r="K487" s="23">
        <f t="shared" si="89"/>
        <v>1</v>
      </c>
      <c r="L487" s="720"/>
      <c r="M487" s="23">
        <f t="shared" si="90"/>
        <v>1</v>
      </c>
      <c r="N487" s="720"/>
      <c r="O487" s="23">
        <f t="shared" si="91"/>
        <v>1</v>
      </c>
      <c r="P487" s="720"/>
      <c r="Q487" s="23">
        <f t="shared" si="92"/>
        <v>1</v>
      </c>
      <c r="R487" s="716">
        <f t="shared" si="93"/>
        <v>0</v>
      </c>
      <c r="S487" s="361">
        <f t="shared" si="84"/>
        <v>0</v>
      </c>
    </row>
    <row r="488" spans="1:19">
      <c r="A488" s="159"/>
      <c r="B488" s="58"/>
      <c r="C488" s="23">
        <f t="shared" si="85"/>
        <v>1</v>
      </c>
      <c r="D488" s="720"/>
      <c r="E488" s="23">
        <f t="shared" si="86"/>
        <v>1</v>
      </c>
      <c r="F488" s="720"/>
      <c r="G488" s="23">
        <f t="shared" si="87"/>
        <v>1</v>
      </c>
      <c r="H488" s="720"/>
      <c r="I488" s="23">
        <f t="shared" si="88"/>
        <v>1</v>
      </c>
      <c r="J488" s="720"/>
      <c r="K488" s="23">
        <f t="shared" si="89"/>
        <v>1</v>
      </c>
      <c r="L488" s="720"/>
      <c r="M488" s="23">
        <f t="shared" si="90"/>
        <v>1</v>
      </c>
      <c r="N488" s="720"/>
      <c r="O488" s="23">
        <f t="shared" si="91"/>
        <v>1</v>
      </c>
      <c r="P488" s="720"/>
      <c r="Q488" s="23">
        <f t="shared" si="92"/>
        <v>1</v>
      </c>
      <c r="R488" s="716">
        <f t="shared" si="93"/>
        <v>0</v>
      </c>
      <c r="S488" s="361">
        <f t="shared" si="84"/>
        <v>0</v>
      </c>
    </row>
    <row r="489" spans="1:19">
      <c r="A489" s="159"/>
      <c r="B489" s="58"/>
      <c r="C489" s="23">
        <f t="shared" si="85"/>
        <v>1</v>
      </c>
      <c r="D489" s="720"/>
      <c r="E489" s="23">
        <f t="shared" si="86"/>
        <v>1</v>
      </c>
      <c r="F489" s="720"/>
      <c r="G489" s="23">
        <f t="shared" si="87"/>
        <v>1</v>
      </c>
      <c r="H489" s="720"/>
      <c r="I489" s="23">
        <f t="shared" si="88"/>
        <v>1</v>
      </c>
      <c r="J489" s="720"/>
      <c r="K489" s="23">
        <f t="shared" si="89"/>
        <v>1</v>
      </c>
      <c r="L489" s="720"/>
      <c r="M489" s="23">
        <f t="shared" si="90"/>
        <v>1</v>
      </c>
      <c r="N489" s="720"/>
      <c r="O489" s="23">
        <f t="shared" si="91"/>
        <v>1</v>
      </c>
      <c r="P489" s="720"/>
      <c r="Q489" s="23">
        <f t="shared" si="92"/>
        <v>1</v>
      </c>
      <c r="R489" s="716">
        <f t="shared" si="93"/>
        <v>0</v>
      </c>
      <c r="S489" s="361">
        <f t="shared" si="84"/>
        <v>0</v>
      </c>
    </row>
    <row r="490" spans="1:19">
      <c r="A490" s="159"/>
      <c r="B490" s="58"/>
      <c r="C490" s="23">
        <f t="shared" si="85"/>
        <v>1</v>
      </c>
      <c r="D490" s="720"/>
      <c r="E490" s="23">
        <f t="shared" si="86"/>
        <v>1</v>
      </c>
      <c r="F490" s="720"/>
      <c r="G490" s="23">
        <f t="shared" si="87"/>
        <v>1</v>
      </c>
      <c r="H490" s="720"/>
      <c r="I490" s="23">
        <f t="shared" si="88"/>
        <v>1</v>
      </c>
      <c r="J490" s="720"/>
      <c r="K490" s="23">
        <f t="shared" si="89"/>
        <v>1</v>
      </c>
      <c r="L490" s="720"/>
      <c r="M490" s="23">
        <f t="shared" si="90"/>
        <v>1</v>
      </c>
      <c r="N490" s="720"/>
      <c r="O490" s="23">
        <f t="shared" si="91"/>
        <v>1</v>
      </c>
      <c r="P490" s="720"/>
      <c r="Q490" s="23">
        <f t="shared" si="92"/>
        <v>1</v>
      </c>
      <c r="R490" s="716">
        <f t="shared" si="93"/>
        <v>0</v>
      </c>
      <c r="S490" s="361">
        <f t="shared" si="84"/>
        <v>0</v>
      </c>
    </row>
    <row r="491" spans="1:19">
      <c r="A491" s="159"/>
      <c r="B491" s="58"/>
      <c r="C491" s="23">
        <f t="shared" si="85"/>
        <v>1</v>
      </c>
      <c r="D491" s="720"/>
      <c r="E491" s="23">
        <f t="shared" si="86"/>
        <v>1</v>
      </c>
      <c r="F491" s="720"/>
      <c r="G491" s="23">
        <f t="shared" si="87"/>
        <v>1</v>
      </c>
      <c r="H491" s="720"/>
      <c r="I491" s="23">
        <f t="shared" si="88"/>
        <v>1</v>
      </c>
      <c r="J491" s="720"/>
      <c r="K491" s="23">
        <f t="shared" si="89"/>
        <v>1</v>
      </c>
      <c r="L491" s="720"/>
      <c r="M491" s="23">
        <f t="shared" si="90"/>
        <v>1</v>
      </c>
      <c r="N491" s="720"/>
      <c r="O491" s="23">
        <f t="shared" si="91"/>
        <v>1</v>
      </c>
      <c r="P491" s="720"/>
      <c r="Q491" s="23">
        <f t="shared" si="92"/>
        <v>1</v>
      </c>
      <c r="R491" s="716">
        <f t="shared" si="93"/>
        <v>0</v>
      </c>
      <c r="S491" s="361">
        <f t="shared" si="84"/>
        <v>0</v>
      </c>
    </row>
    <row r="492" spans="1:19">
      <c r="A492" s="159"/>
      <c r="B492" s="58"/>
      <c r="C492" s="23">
        <f t="shared" si="85"/>
        <v>1</v>
      </c>
      <c r="D492" s="720"/>
      <c r="E492" s="23">
        <f t="shared" si="86"/>
        <v>1</v>
      </c>
      <c r="F492" s="720"/>
      <c r="G492" s="23">
        <f t="shared" si="87"/>
        <v>1</v>
      </c>
      <c r="H492" s="720"/>
      <c r="I492" s="23">
        <f t="shared" si="88"/>
        <v>1</v>
      </c>
      <c r="J492" s="720"/>
      <c r="K492" s="23">
        <f t="shared" si="89"/>
        <v>1</v>
      </c>
      <c r="L492" s="720"/>
      <c r="M492" s="23">
        <f t="shared" si="90"/>
        <v>1</v>
      </c>
      <c r="N492" s="720"/>
      <c r="O492" s="23">
        <f t="shared" si="91"/>
        <v>1</v>
      </c>
      <c r="P492" s="720"/>
      <c r="Q492" s="23">
        <f t="shared" si="92"/>
        <v>1</v>
      </c>
      <c r="R492" s="716">
        <f t="shared" si="93"/>
        <v>0</v>
      </c>
      <c r="S492" s="361">
        <f t="shared" si="84"/>
        <v>0</v>
      </c>
    </row>
    <row r="493" spans="1:19">
      <c r="A493" s="159"/>
      <c r="B493" s="58"/>
      <c r="C493" s="23">
        <f t="shared" si="85"/>
        <v>1</v>
      </c>
      <c r="D493" s="720"/>
      <c r="E493" s="23">
        <f t="shared" si="86"/>
        <v>1</v>
      </c>
      <c r="F493" s="720"/>
      <c r="G493" s="23">
        <f t="shared" si="87"/>
        <v>1</v>
      </c>
      <c r="H493" s="720"/>
      <c r="I493" s="23">
        <f t="shared" si="88"/>
        <v>1</v>
      </c>
      <c r="J493" s="720"/>
      <c r="K493" s="23">
        <f t="shared" si="89"/>
        <v>1</v>
      </c>
      <c r="L493" s="720"/>
      <c r="M493" s="23">
        <f t="shared" si="90"/>
        <v>1</v>
      </c>
      <c r="N493" s="720"/>
      <c r="O493" s="23">
        <f t="shared" si="91"/>
        <v>1</v>
      </c>
      <c r="P493" s="720"/>
      <c r="Q493" s="23">
        <f t="shared" si="92"/>
        <v>1</v>
      </c>
      <c r="R493" s="716">
        <f t="shared" si="93"/>
        <v>0</v>
      </c>
      <c r="S493" s="361">
        <f t="shared" si="84"/>
        <v>0</v>
      </c>
    </row>
    <row r="494" spans="1:19">
      <c r="A494" s="159"/>
      <c r="B494" s="58"/>
      <c r="C494" s="23">
        <f t="shared" si="85"/>
        <v>1</v>
      </c>
      <c r="D494" s="720"/>
      <c r="E494" s="23">
        <f t="shared" si="86"/>
        <v>1</v>
      </c>
      <c r="F494" s="720"/>
      <c r="G494" s="23">
        <f t="shared" si="87"/>
        <v>1</v>
      </c>
      <c r="H494" s="720"/>
      <c r="I494" s="23">
        <f t="shared" si="88"/>
        <v>1</v>
      </c>
      <c r="J494" s="720"/>
      <c r="K494" s="23">
        <f t="shared" si="89"/>
        <v>1</v>
      </c>
      <c r="L494" s="720"/>
      <c r="M494" s="23">
        <f t="shared" si="90"/>
        <v>1</v>
      </c>
      <c r="N494" s="720"/>
      <c r="O494" s="23">
        <f t="shared" si="91"/>
        <v>1</v>
      </c>
      <c r="P494" s="720"/>
      <c r="Q494" s="23">
        <f t="shared" si="92"/>
        <v>1</v>
      </c>
      <c r="R494" s="716">
        <f t="shared" si="93"/>
        <v>0</v>
      </c>
      <c r="S494" s="361">
        <f t="shared" si="84"/>
        <v>0</v>
      </c>
    </row>
    <row r="495" spans="1:19">
      <c r="A495" s="159"/>
      <c r="B495" s="58"/>
      <c r="C495" s="23">
        <f t="shared" si="85"/>
        <v>1</v>
      </c>
      <c r="D495" s="720"/>
      <c r="E495" s="23">
        <f t="shared" si="86"/>
        <v>1</v>
      </c>
      <c r="F495" s="720"/>
      <c r="G495" s="23">
        <f t="shared" si="87"/>
        <v>1</v>
      </c>
      <c r="H495" s="720"/>
      <c r="I495" s="23">
        <f t="shared" si="88"/>
        <v>1</v>
      </c>
      <c r="J495" s="720"/>
      <c r="K495" s="23">
        <f t="shared" si="89"/>
        <v>1</v>
      </c>
      <c r="L495" s="720"/>
      <c r="M495" s="23">
        <f t="shared" si="90"/>
        <v>1</v>
      </c>
      <c r="N495" s="720"/>
      <c r="O495" s="23">
        <f t="shared" si="91"/>
        <v>1</v>
      </c>
      <c r="P495" s="720"/>
      <c r="Q495" s="23">
        <f t="shared" si="92"/>
        <v>1</v>
      </c>
      <c r="R495" s="716">
        <f t="shared" si="93"/>
        <v>0</v>
      </c>
      <c r="S495" s="361">
        <f t="shared" si="84"/>
        <v>0</v>
      </c>
    </row>
    <row r="496" spans="1:19">
      <c r="A496" s="159"/>
      <c r="B496" s="58"/>
      <c r="C496" s="23">
        <f t="shared" si="85"/>
        <v>1</v>
      </c>
      <c r="D496" s="720"/>
      <c r="E496" s="23">
        <f t="shared" si="86"/>
        <v>1</v>
      </c>
      <c r="F496" s="720"/>
      <c r="G496" s="23">
        <f t="shared" si="87"/>
        <v>1</v>
      </c>
      <c r="H496" s="720"/>
      <c r="I496" s="23">
        <f t="shared" si="88"/>
        <v>1</v>
      </c>
      <c r="J496" s="720"/>
      <c r="K496" s="23">
        <f t="shared" si="89"/>
        <v>1</v>
      </c>
      <c r="L496" s="720"/>
      <c r="M496" s="23">
        <f t="shared" si="90"/>
        <v>1</v>
      </c>
      <c r="N496" s="720"/>
      <c r="O496" s="23">
        <f t="shared" si="91"/>
        <v>1</v>
      </c>
      <c r="P496" s="720"/>
      <c r="Q496" s="23">
        <f t="shared" si="92"/>
        <v>1</v>
      </c>
      <c r="R496" s="716">
        <f t="shared" si="93"/>
        <v>0</v>
      </c>
      <c r="S496" s="361">
        <f t="shared" si="84"/>
        <v>0</v>
      </c>
    </row>
    <row r="497" spans="1:19">
      <c r="A497" s="159"/>
      <c r="B497" s="58"/>
      <c r="C497" s="23">
        <f t="shared" si="85"/>
        <v>1</v>
      </c>
      <c r="D497" s="720"/>
      <c r="E497" s="23">
        <f t="shared" si="86"/>
        <v>1</v>
      </c>
      <c r="F497" s="720"/>
      <c r="G497" s="23">
        <f t="shared" si="87"/>
        <v>1</v>
      </c>
      <c r="H497" s="720"/>
      <c r="I497" s="23">
        <f t="shared" si="88"/>
        <v>1</v>
      </c>
      <c r="J497" s="720"/>
      <c r="K497" s="23">
        <f t="shared" si="89"/>
        <v>1</v>
      </c>
      <c r="L497" s="720"/>
      <c r="M497" s="23">
        <f t="shared" si="90"/>
        <v>1</v>
      </c>
      <c r="N497" s="720"/>
      <c r="O497" s="23">
        <f t="shared" si="91"/>
        <v>1</v>
      </c>
      <c r="P497" s="720"/>
      <c r="Q497" s="23">
        <f t="shared" si="92"/>
        <v>1</v>
      </c>
      <c r="R497" s="716">
        <f t="shared" si="93"/>
        <v>0</v>
      </c>
      <c r="S497" s="361">
        <f t="shared" si="84"/>
        <v>0</v>
      </c>
    </row>
    <row r="498" spans="1:19">
      <c r="A498" s="159"/>
      <c r="B498" s="58"/>
      <c r="C498" s="23">
        <f t="shared" si="85"/>
        <v>1</v>
      </c>
      <c r="D498" s="720"/>
      <c r="E498" s="23">
        <f t="shared" si="86"/>
        <v>1</v>
      </c>
      <c r="F498" s="720"/>
      <c r="G498" s="23">
        <f t="shared" si="87"/>
        <v>1</v>
      </c>
      <c r="H498" s="720"/>
      <c r="I498" s="23">
        <f t="shared" si="88"/>
        <v>1</v>
      </c>
      <c r="J498" s="720"/>
      <c r="K498" s="23">
        <f t="shared" si="89"/>
        <v>1</v>
      </c>
      <c r="L498" s="720"/>
      <c r="M498" s="23">
        <f t="shared" si="90"/>
        <v>1</v>
      </c>
      <c r="N498" s="720"/>
      <c r="O498" s="23">
        <f t="shared" si="91"/>
        <v>1</v>
      </c>
      <c r="P498" s="720"/>
      <c r="Q498" s="23">
        <f t="shared" si="92"/>
        <v>1</v>
      </c>
      <c r="R498" s="716">
        <f t="shared" si="93"/>
        <v>0</v>
      </c>
      <c r="S498" s="361">
        <f t="shared" ref="S498:S524" si="94">ROUND(R498*B498/10000,0)</f>
        <v>0</v>
      </c>
    </row>
    <row r="499" spans="1:19">
      <c r="A499" s="159"/>
      <c r="B499" s="58"/>
      <c r="C499" s="23">
        <f t="shared" si="85"/>
        <v>1</v>
      </c>
      <c r="D499" s="720"/>
      <c r="E499" s="23">
        <f t="shared" si="86"/>
        <v>1</v>
      </c>
      <c r="F499" s="720"/>
      <c r="G499" s="23">
        <f t="shared" si="87"/>
        <v>1</v>
      </c>
      <c r="H499" s="720"/>
      <c r="I499" s="23">
        <f t="shared" si="88"/>
        <v>1</v>
      </c>
      <c r="J499" s="720"/>
      <c r="K499" s="23">
        <f t="shared" si="89"/>
        <v>1</v>
      </c>
      <c r="L499" s="720"/>
      <c r="M499" s="23">
        <f t="shared" si="90"/>
        <v>1</v>
      </c>
      <c r="N499" s="720"/>
      <c r="O499" s="23">
        <f t="shared" si="91"/>
        <v>1</v>
      </c>
      <c r="P499" s="720"/>
      <c r="Q499" s="23">
        <f t="shared" si="92"/>
        <v>1</v>
      </c>
      <c r="R499" s="716">
        <f t="shared" si="93"/>
        <v>0</v>
      </c>
      <c r="S499" s="361">
        <f t="shared" si="94"/>
        <v>0</v>
      </c>
    </row>
    <row r="500" spans="1:19">
      <c r="A500" s="159"/>
      <c r="B500" s="58"/>
      <c r="C500" s="23">
        <f t="shared" si="85"/>
        <v>1</v>
      </c>
      <c r="D500" s="720"/>
      <c r="E500" s="23">
        <f t="shared" si="86"/>
        <v>1</v>
      </c>
      <c r="F500" s="720"/>
      <c r="G500" s="23">
        <f t="shared" si="87"/>
        <v>1</v>
      </c>
      <c r="H500" s="720"/>
      <c r="I500" s="23">
        <f t="shared" si="88"/>
        <v>1</v>
      </c>
      <c r="J500" s="720"/>
      <c r="K500" s="23">
        <f t="shared" si="89"/>
        <v>1</v>
      </c>
      <c r="L500" s="720"/>
      <c r="M500" s="23">
        <f t="shared" si="90"/>
        <v>1</v>
      </c>
      <c r="N500" s="720"/>
      <c r="O500" s="23">
        <f t="shared" si="91"/>
        <v>1</v>
      </c>
      <c r="P500" s="720"/>
      <c r="Q500" s="23">
        <f t="shared" si="92"/>
        <v>1</v>
      </c>
      <c r="R500" s="716">
        <f t="shared" si="93"/>
        <v>0</v>
      </c>
      <c r="S500" s="361">
        <f t="shared" si="94"/>
        <v>0</v>
      </c>
    </row>
    <row r="501" spans="1:19">
      <c r="A501" s="159"/>
      <c r="B501" s="58"/>
      <c r="C501" s="23">
        <f t="shared" si="85"/>
        <v>1</v>
      </c>
      <c r="D501" s="720"/>
      <c r="E501" s="23">
        <f t="shared" si="86"/>
        <v>1</v>
      </c>
      <c r="F501" s="720"/>
      <c r="G501" s="23">
        <f t="shared" si="87"/>
        <v>1</v>
      </c>
      <c r="H501" s="720"/>
      <c r="I501" s="23">
        <f t="shared" si="88"/>
        <v>1</v>
      </c>
      <c r="J501" s="720"/>
      <c r="K501" s="23">
        <f t="shared" si="89"/>
        <v>1</v>
      </c>
      <c r="L501" s="720"/>
      <c r="M501" s="23">
        <f t="shared" si="90"/>
        <v>1</v>
      </c>
      <c r="N501" s="720"/>
      <c r="O501" s="23">
        <f t="shared" si="91"/>
        <v>1</v>
      </c>
      <c r="P501" s="720"/>
      <c r="Q501" s="23">
        <f t="shared" si="92"/>
        <v>1</v>
      </c>
      <c r="R501" s="716">
        <f t="shared" si="93"/>
        <v>0</v>
      </c>
      <c r="S501" s="361">
        <f t="shared" si="94"/>
        <v>0</v>
      </c>
    </row>
    <row r="502" spans="1:19">
      <c r="A502" s="159"/>
      <c r="B502" s="58"/>
      <c r="C502" s="23">
        <f t="shared" si="85"/>
        <v>1</v>
      </c>
      <c r="D502" s="720"/>
      <c r="E502" s="23">
        <f t="shared" si="86"/>
        <v>1</v>
      </c>
      <c r="F502" s="720"/>
      <c r="G502" s="23">
        <f t="shared" si="87"/>
        <v>1</v>
      </c>
      <c r="H502" s="720"/>
      <c r="I502" s="23">
        <f t="shared" si="88"/>
        <v>1</v>
      </c>
      <c r="J502" s="720"/>
      <c r="K502" s="23">
        <f t="shared" si="89"/>
        <v>1</v>
      </c>
      <c r="L502" s="720"/>
      <c r="M502" s="23">
        <f t="shared" si="90"/>
        <v>1</v>
      </c>
      <c r="N502" s="720"/>
      <c r="O502" s="23">
        <f t="shared" si="91"/>
        <v>1</v>
      </c>
      <c r="P502" s="720"/>
      <c r="Q502" s="23">
        <f t="shared" si="92"/>
        <v>1</v>
      </c>
      <c r="R502" s="716">
        <f t="shared" si="93"/>
        <v>0</v>
      </c>
      <c r="S502" s="361">
        <f t="shared" si="94"/>
        <v>0</v>
      </c>
    </row>
    <row r="503" spans="1:19">
      <c r="A503" s="159"/>
      <c r="B503" s="58"/>
      <c r="C503" s="23">
        <f t="shared" si="85"/>
        <v>1</v>
      </c>
      <c r="D503" s="720"/>
      <c r="E503" s="23">
        <f t="shared" si="86"/>
        <v>1</v>
      </c>
      <c r="F503" s="720"/>
      <c r="G503" s="23">
        <f t="shared" si="87"/>
        <v>1</v>
      </c>
      <c r="H503" s="720"/>
      <c r="I503" s="23">
        <f t="shared" si="88"/>
        <v>1</v>
      </c>
      <c r="J503" s="720"/>
      <c r="K503" s="23">
        <f t="shared" si="89"/>
        <v>1</v>
      </c>
      <c r="L503" s="720"/>
      <c r="M503" s="23">
        <f t="shared" si="90"/>
        <v>1</v>
      </c>
      <c r="N503" s="720"/>
      <c r="O503" s="23">
        <f t="shared" si="91"/>
        <v>1</v>
      </c>
      <c r="P503" s="720"/>
      <c r="Q503" s="23">
        <f t="shared" si="92"/>
        <v>1</v>
      </c>
      <c r="R503" s="716">
        <f t="shared" si="93"/>
        <v>0</v>
      </c>
      <c r="S503" s="361">
        <f t="shared" si="94"/>
        <v>0</v>
      </c>
    </row>
    <row r="504" spans="1:19">
      <c r="A504" s="159"/>
      <c r="B504" s="58"/>
      <c r="C504" s="23">
        <f t="shared" si="85"/>
        <v>1</v>
      </c>
      <c r="D504" s="720"/>
      <c r="E504" s="23">
        <f t="shared" si="86"/>
        <v>1</v>
      </c>
      <c r="F504" s="720"/>
      <c r="G504" s="23">
        <f t="shared" si="87"/>
        <v>1</v>
      </c>
      <c r="H504" s="720"/>
      <c r="I504" s="23">
        <f t="shared" si="88"/>
        <v>1</v>
      </c>
      <c r="J504" s="720"/>
      <c r="K504" s="23">
        <f t="shared" si="89"/>
        <v>1</v>
      </c>
      <c r="L504" s="720"/>
      <c r="M504" s="23">
        <f t="shared" si="90"/>
        <v>1</v>
      </c>
      <c r="N504" s="720"/>
      <c r="O504" s="23">
        <f t="shared" si="91"/>
        <v>1</v>
      </c>
      <c r="P504" s="720"/>
      <c r="Q504" s="23">
        <f t="shared" si="92"/>
        <v>1</v>
      </c>
      <c r="R504" s="716">
        <f t="shared" si="93"/>
        <v>0</v>
      </c>
      <c r="S504" s="361">
        <f t="shared" si="94"/>
        <v>0</v>
      </c>
    </row>
    <row r="505" spans="1:19">
      <c r="A505" s="159"/>
      <c r="B505" s="58"/>
      <c r="C505" s="23">
        <f t="shared" si="85"/>
        <v>1</v>
      </c>
      <c r="D505" s="720"/>
      <c r="E505" s="23">
        <f t="shared" si="86"/>
        <v>1</v>
      </c>
      <c r="F505" s="720"/>
      <c r="G505" s="23">
        <f t="shared" si="87"/>
        <v>1</v>
      </c>
      <c r="H505" s="720"/>
      <c r="I505" s="23">
        <f t="shared" si="88"/>
        <v>1</v>
      </c>
      <c r="J505" s="720"/>
      <c r="K505" s="23">
        <f t="shared" si="89"/>
        <v>1</v>
      </c>
      <c r="L505" s="720"/>
      <c r="M505" s="23">
        <f t="shared" si="90"/>
        <v>1</v>
      </c>
      <c r="N505" s="720"/>
      <c r="O505" s="23">
        <f t="shared" si="91"/>
        <v>1</v>
      </c>
      <c r="P505" s="720"/>
      <c r="Q505" s="23">
        <f t="shared" si="92"/>
        <v>1</v>
      </c>
      <c r="R505" s="716">
        <f t="shared" si="93"/>
        <v>0</v>
      </c>
      <c r="S505" s="361">
        <f t="shared" si="94"/>
        <v>0</v>
      </c>
    </row>
    <row r="506" spans="1:19">
      <c r="A506" s="159"/>
      <c r="B506" s="58"/>
      <c r="C506" s="23">
        <f t="shared" si="85"/>
        <v>1</v>
      </c>
      <c r="D506" s="720"/>
      <c r="E506" s="23">
        <f t="shared" si="86"/>
        <v>1</v>
      </c>
      <c r="F506" s="720"/>
      <c r="G506" s="23">
        <f t="shared" si="87"/>
        <v>1</v>
      </c>
      <c r="H506" s="720"/>
      <c r="I506" s="23">
        <f t="shared" si="88"/>
        <v>1</v>
      </c>
      <c r="J506" s="720"/>
      <c r="K506" s="23">
        <f t="shared" si="89"/>
        <v>1</v>
      </c>
      <c r="L506" s="720"/>
      <c r="M506" s="23">
        <f t="shared" si="90"/>
        <v>1</v>
      </c>
      <c r="N506" s="720"/>
      <c r="O506" s="23">
        <f t="shared" si="91"/>
        <v>1</v>
      </c>
      <c r="P506" s="720"/>
      <c r="Q506" s="23">
        <f t="shared" si="92"/>
        <v>1</v>
      </c>
      <c r="R506" s="716">
        <f t="shared" si="93"/>
        <v>0</v>
      </c>
      <c r="S506" s="361">
        <f t="shared" si="94"/>
        <v>0</v>
      </c>
    </row>
    <row r="507" spans="1:19">
      <c r="A507" s="159"/>
      <c r="B507" s="58"/>
      <c r="C507" s="23">
        <f t="shared" si="85"/>
        <v>1</v>
      </c>
      <c r="D507" s="720"/>
      <c r="E507" s="23">
        <f t="shared" si="86"/>
        <v>1</v>
      </c>
      <c r="F507" s="720"/>
      <c r="G507" s="23">
        <f t="shared" si="87"/>
        <v>1</v>
      </c>
      <c r="H507" s="720"/>
      <c r="I507" s="23">
        <f t="shared" si="88"/>
        <v>1</v>
      </c>
      <c r="J507" s="720"/>
      <c r="K507" s="23">
        <f t="shared" si="89"/>
        <v>1</v>
      </c>
      <c r="L507" s="720"/>
      <c r="M507" s="23">
        <f t="shared" si="90"/>
        <v>1</v>
      </c>
      <c r="N507" s="720"/>
      <c r="O507" s="23">
        <f t="shared" si="91"/>
        <v>1</v>
      </c>
      <c r="P507" s="720"/>
      <c r="Q507" s="23">
        <f t="shared" si="92"/>
        <v>1</v>
      </c>
      <c r="R507" s="716">
        <f t="shared" si="93"/>
        <v>0</v>
      </c>
      <c r="S507" s="361">
        <f t="shared" si="94"/>
        <v>0</v>
      </c>
    </row>
    <row r="508" spans="1:19">
      <c r="A508" s="159"/>
      <c r="B508" s="58"/>
      <c r="C508" s="23">
        <f t="shared" si="85"/>
        <v>1</v>
      </c>
      <c r="D508" s="720"/>
      <c r="E508" s="23">
        <f t="shared" si="86"/>
        <v>1</v>
      </c>
      <c r="F508" s="720"/>
      <c r="G508" s="23">
        <f t="shared" si="87"/>
        <v>1</v>
      </c>
      <c r="H508" s="720"/>
      <c r="I508" s="23">
        <f t="shared" si="88"/>
        <v>1</v>
      </c>
      <c r="J508" s="720"/>
      <c r="K508" s="23">
        <f t="shared" si="89"/>
        <v>1</v>
      </c>
      <c r="L508" s="720"/>
      <c r="M508" s="23">
        <f t="shared" si="90"/>
        <v>1</v>
      </c>
      <c r="N508" s="720"/>
      <c r="O508" s="23">
        <f t="shared" si="91"/>
        <v>1</v>
      </c>
      <c r="P508" s="720"/>
      <c r="Q508" s="23">
        <f t="shared" si="92"/>
        <v>1</v>
      </c>
      <c r="R508" s="716">
        <f t="shared" si="93"/>
        <v>0</v>
      </c>
      <c r="S508" s="361">
        <f t="shared" si="94"/>
        <v>0</v>
      </c>
    </row>
    <row r="509" spans="1:19">
      <c r="A509" s="159"/>
      <c r="B509" s="58"/>
      <c r="C509" s="23">
        <f t="shared" si="85"/>
        <v>1</v>
      </c>
      <c r="D509" s="720"/>
      <c r="E509" s="23">
        <f t="shared" si="86"/>
        <v>1</v>
      </c>
      <c r="F509" s="720"/>
      <c r="G509" s="23">
        <f t="shared" si="87"/>
        <v>1</v>
      </c>
      <c r="H509" s="720"/>
      <c r="I509" s="23">
        <f t="shared" si="88"/>
        <v>1</v>
      </c>
      <c r="J509" s="720"/>
      <c r="K509" s="23">
        <f t="shared" si="89"/>
        <v>1</v>
      </c>
      <c r="L509" s="720"/>
      <c r="M509" s="23">
        <f t="shared" si="90"/>
        <v>1</v>
      </c>
      <c r="N509" s="720"/>
      <c r="O509" s="23">
        <f t="shared" si="91"/>
        <v>1</v>
      </c>
      <c r="P509" s="720"/>
      <c r="Q509" s="23">
        <f t="shared" si="92"/>
        <v>1</v>
      </c>
      <c r="R509" s="716">
        <f t="shared" si="93"/>
        <v>0</v>
      </c>
      <c r="S509" s="361">
        <f t="shared" si="94"/>
        <v>0</v>
      </c>
    </row>
    <row r="510" spans="1:19">
      <c r="A510" s="159"/>
      <c r="B510" s="58"/>
      <c r="C510" s="23">
        <f t="shared" si="85"/>
        <v>1</v>
      </c>
      <c r="D510" s="720"/>
      <c r="E510" s="23">
        <f t="shared" si="86"/>
        <v>1</v>
      </c>
      <c r="F510" s="720"/>
      <c r="G510" s="23">
        <f t="shared" si="87"/>
        <v>1</v>
      </c>
      <c r="H510" s="720"/>
      <c r="I510" s="23">
        <f t="shared" si="88"/>
        <v>1</v>
      </c>
      <c r="J510" s="720"/>
      <c r="K510" s="23">
        <f t="shared" si="89"/>
        <v>1</v>
      </c>
      <c r="L510" s="720"/>
      <c r="M510" s="23">
        <f t="shared" si="90"/>
        <v>1</v>
      </c>
      <c r="N510" s="720"/>
      <c r="O510" s="23">
        <f t="shared" si="91"/>
        <v>1</v>
      </c>
      <c r="P510" s="720"/>
      <c r="Q510" s="23">
        <f t="shared" si="92"/>
        <v>1</v>
      </c>
      <c r="R510" s="716">
        <f t="shared" si="93"/>
        <v>0</v>
      </c>
      <c r="S510" s="361">
        <f t="shared" si="94"/>
        <v>0</v>
      </c>
    </row>
    <row r="511" spans="1:19">
      <c r="A511" s="159"/>
      <c r="B511" s="58"/>
      <c r="C511" s="23">
        <f t="shared" si="85"/>
        <v>1</v>
      </c>
      <c r="D511" s="720"/>
      <c r="E511" s="23">
        <f t="shared" si="86"/>
        <v>1</v>
      </c>
      <c r="F511" s="720"/>
      <c r="G511" s="23">
        <f t="shared" si="87"/>
        <v>1</v>
      </c>
      <c r="H511" s="720"/>
      <c r="I511" s="23">
        <f t="shared" si="88"/>
        <v>1</v>
      </c>
      <c r="J511" s="720"/>
      <c r="K511" s="23">
        <f t="shared" si="89"/>
        <v>1</v>
      </c>
      <c r="L511" s="720"/>
      <c r="M511" s="23">
        <f t="shared" si="90"/>
        <v>1</v>
      </c>
      <c r="N511" s="720"/>
      <c r="O511" s="23">
        <f t="shared" si="91"/>
        <v>1</v>
      </c>
      <c r="P511" s="720"/>
      <c r="Q511" s="23">
        <f t="shared" si="92"/>
        <v>1</v>
      </c>
      <c r="R511" s="716">
        <f t="shared" si="93"/>
        <v>0</v>
      </c>
      <c r="S511" s="361">
        <f t="shared" si="94"/>
        <v>0</v>
      </c>
    </row>
    <row r="512" spans="1:19">
      <c r="A512" s="159"/>
      <c r="B512" s="58"/>
      <c r="C512" s="23">
        <f t="shared" si="85"/>
        <v>1</v>
      </c>
      <c r="D512" s="720"/>
      <c r="E512" s="23">
        <f t="shared" si="86"/>
        <v>1</v>
      </c>
      <c r="F512" s="720"/>
      <c r="G512" s="23">
        <f t="shared" si="87"/>
        <v>1</v>
      </c>
      <c r="H512" s="720"/>
      <c r="I512" s="23">
        <f t="shared" si="88"/>
        <v>1</v>
      </c>
      <c r="J512" s="720"/>
      <c r="K512" s="23">
        <f t="shared" si="89"/>
        <v>1</v>
      </c>
      <c r="L512" s="720"/>
      <c r="M512" s="23">
        <f t="shared" si="90"/>
        <v>1</v>
      </c>
      <c r="N512" s="720"/>
      <c r="O512" s="23">
        <f t="shared" si="91"/>
        <v>1</v>
      </c>
      <c r="P512" s="720"/>
      <c r="Q512" s="23">
        <f t="shared" si="92"/>
        <v>1</v>
      </c>
      <c r="R512" s="716">
        <f t="shared" si="93"/>
        <v>0</v>
      </c>
      <c r="S512" s="361">
        <f t="shared" si="94"/>
        <v>0</v>
      </c>
    </row>
    <row r="513" spans="1:19">
      <c r="A513" s="159"/>
      <c r="B513" s="58"/>
      <c r="C513" s="23">
        <f t="shared" si="85"/>
        <v>1</v>
      </c>
      <c r="D513" s="720"/>
      <c r="E513" s="23">
        <f t="shared" si="86"/>
        <v>1</v>
      </c>
      <c r="F513" s="720"/>
      <c r="G513" s="23">
        <f t="shared" si="87"/>
        <v>1</v>
      </c>
      <c r="H513" s="720"/>
      <c r="I513" s="23">
        <f t="shared" si="88"/>
        <v>1</v>
      </c>
      <c r="J513" s="720"/>
      <c r="K513" s="23">
        <f t="shared" si="89"/>
        <v>1</v>
      </c>
      <c r="L513" s="720"/>
      <c r="M513" s="23">
        <f t="shared" si="90"/>
        <v>1</v>
      </c>
      <c r="N513" s="720"/>
      <c r="O513" s="23">
        <f t="shared" si="91"/>
        <v>1</v>
      </c>
      <c r="P513" s="720"/>
      <c r="Q513" s="23">
        <f t="shared" si="92"/>
        <v>1</v>
      </c>
      <c r="R513" s="716">
        <f t="shared" si="93"/>
        <v>0</v>
      </c>
      <c r="S513" s="361">
        <f t="shared" si="94"/>
        <v>0</v>
      </c>
    </row>
    <row r="514" spans="1:19">
      <c r="A514" s="159"/>
      <c r="B514" s="58"/>
      <c r="C514" s="23">
        <f t="shared" si="85"/>
        <v>1</v>
      </c>
      <c r="D514" s="720"/>
      <c r="E514" s="23">
        <f t="shared" si="86"/>
        <v>1</v>
      </c>
      <c r="F514" s="720"/>
      <c r="G514" s="23">
        <f t="shared" si="87"/>
        <v>1</v>
      </c>
      <c r="H514" s="720"/>
      <c r="I514" s="23">
        <f t="shared" si="88"/>
        <v>1</v>
      </c>
      <c r="J514" s="720"/>
      <c r="K514" s="23">
        <f t="shared" si="89"/>
        <v>1</v>
      </c>
      <c r="L514" s="720"/>
      <c r="M514" s="23">
        <f t="shared" si="90"/>
        <v>1</v>
      </c>
      <c r="N514" s="720"/>
      <c r="O514" s="23">
        <f t="shared" si="91"/>
        <v>1</v>
      </c>
      <c r="P514" s="720"/>
      <c r="Q514" s="23">
        <f t="shared" si="92"/>
        <v>1</v>
      </c>
      <c r="R514" s="716">
        <f t="shared" si="93"/>
        <v>0</v>
      </c>
      <c r="S514" s="361">
        <f t="shared" si="94"/>
        <v>0</v>
      </c>
    </row>
    <row r="515" spans="1:19">
      <c r="A515" s="159"/>
      <c r="B515" s="58"/>
      <c r="C515" s="23">
        <f t="shared" si="85"/>
        <v>1</v>
      </c>
      <c r="D515" s="720"/>
      <c r="E515" s="23">
        <f t="shared" si="86"/>
        <v>1</v>
      </c>
      <c r="F515" s="720"/>
      <c r="G515" s="23">
        <f t="shared" si="87"/>
        <v>1</v>
      </c>
      <c r="H515" s="720"/>
      <c r="I515" s="23">
        <f t="shared" si="88"/>
        <v>1</v>
      </c>
      <c r="J515" s="720"/>
      <c r="K515" s="23">
        <f t="shared" si="89"/>
        <v>1</v>
      </c>
      <c r="L515" s="720"/>
      <c r="M515" s="23">
        <f t="shared" si="90"/>
        <v>1</v>
      </c>
      <c r="N515" s="720"/>
      <c r="O515" s="23">
        <f t="shared" si="91"/>
        <v>1</v>
      </c>
      <c r="P515" s="720"/>
      <c r="Q515" s="23">
        <f t="shared" si="92"/>
        <v>1</v>
      </c>
      <c r="R515" s="716">
        <f t="shared" si="93"/>
        <v>0</v>
      </c>
      <c r="S515" s="361">
        <f t="shared" si="94"/>
        <v>0</v>
      </c>
    </row>
    <row r="516" spans="1:19">
      <c r="A516" s="159"/>
      <c r="B516" s="58"/>
      <c r="C516" s="23">
        <f t="shared" si="85"/>
        <v>1</v>
      </c>
      <c r="D516" s="720"/>
      <c r="E516" s="23">
        <f t="shared" si="86"/>
        <v>1</v>
      </c>
      <c r="F516" s="720"/>
      <c r="G516" s="23">
        <f t="shared" si="87"/>
        <v>1</v>
      </c>
      <c r="H516" s="720"/>
      <c r="I516" s="23">
        <f t="shared" si="88"/>
        <v>1</v>
      </c>
      <c r="J516" s="720"/>
      <c r="K516" s="23">
        <f t="shared" si="89"/>
        <v>1</v>
      </c>
      <c r="L516" s="720"/>
      <c r="M516" s="23">
        <f t="shared" si="90"/>
        <v>1</v>
      </c>
      <c r="N516" s="720"/>
      <c r="O516" s="23">
        <f t="shared" si="91"/>
        <v>1</v>
      </c>
      <c r="P516" s="720"/>
      <c r="Q516" s="23">
        <f t="shared" si="92"/>
        <v>1</v>
      </c>
      <c r="R516" s="716">
        <f t="shared" si="93"/>
        <v>0</v>
      </c>
      <c r="S516" s="361">
        <f t="shared" si="94"/>
        <v>0</v>
      </c>
    </row>
    <row r="517" spans="1:19">
      <c r="A517" s="159"/>
      <c r="B517" s="58"/>
      <c r="C517" s="23">
        <f t="shared" si="85"/>
        <v>1</v>
      </c>
      <c r="D517" s="720"/>
      <c r="E517" s="23">
        <f t="shared" si="86"/>
        <v>1</v>
      </c>
      <c r="F517" s="720"/>
      <c r="G517" s="23">
        <f t="shared" si="87"/>
        <v>1</v>
      </c>
      <c r="H517" s="720"/>
      <c r="I517" s="23">
        <f t="shared" si="88"/>
        <v>1</v>
      </c>
      <c r="J517" s="720"/>
      <c r="K517" s="23">
        <f t="shared" si="89"/>
        <v>1</v>
      </c>
      <c r="L517" s="720"/>
      <c r="M517" s="23">
        <f t="shared" si="90"/>
        <v>1</v>
      </c>
      <c r="N517" s="720"/>
      <c r="O517" s="23">
        <f t="shared" si="91"/>
        <v>1</v>
      </c>
      <c r="P517" s="720"/>
      <c r="Q517" s="23">
        <f t="shared" si="92"/>
        <v>1</v>
      </c>
      <c r="R517" s="716">
        <f t="shared" si="93"/>
        <v>0</v>
      </c>
      <c r="S517" s="361">
        <f t="shared" si="94"/>
        <v>0</v>
      </c>
    </row>
    <row r="518" spans="1:19">
      <c r="A518" s="159"/>
      <c r="B518" s="58"/>
      <c r="C518" s="23">
        <f t="shared" si="85"/>
        <v>1</v>
      </c>
      <c r="D518" s="720"/>
      <c r="E518" s="23">
        <f t="shared" si="86"/>
        <v>1</v>
      </c>
      <c r="F518" s="720"/>
      <c r="G518" s="23">
        <f t="shared" si="87"/>
        <v>1</v>
      </c>
      <c r="H518" s="720"/>
      <c r="I518" s="23">
        <f t="shared" si="88"/>
        <v>1</v>
      </c>
      <c r="J518" s="720"/>
      <c r="K518" s="23">
        <f t="shared" si="89"/>
        <v>1</v>
      </c>
      <c r="L518" s="720"/>
      <c r="M518" s="23">
        <f t="shared" si="90"/>
        <v>1</v>
      </c>
      <c r="N518" s="720"/>
      <c r="O518" s="23">
        <f t="shared" si="91"/>
        <v>1</v>
      </c>
      <c r="P518" s="720"/>
      <c r="Q518" s="23">
        <f t="shared" si="92"/>
        <v>1</v>
      </c>
      <c r="R518" s="716">
        <f t="shared" si="93"/>
        <v>0</v>
      </c>
      <c r="S518" s="361">
        <f t="shared" si="94"/>
        <v>0</v>
      </c>
    </row>
    <row r="519" spans="1:19">
      <c r="A519" s="159"/>
      <c r="B519" s="58"/>
      <c r="C519" s="23">
        <f t="shared" si="85"/>
        <v>1</v>
      </c>
      <c r="D519" s="720"/>
      <c r="E519" s="23">
        <f t="shared" si="86"/>
        <v>1</v>
      </c>
      <c r="F519" s="720"/>
      <c r="G519" s="23">
        <f t="shared" si="87"/>
        <v>1</v>
      </c>
      <c r="H519" s="720"/>
      <c r="I519" s="23">
        <f t="shared" si="88"/>
        <v>1</v>
      </c>
      <c r="J519" s="720"/>
      <c r="K519" s="23">
        <f t="shared" si="89"/>
        <v>1</v>
      </c>
      <c r="L519" s="720"/>
      <c r="M519" s="23">
        <f t="shared" si="90"/>
        <v>1</v>
      </c>
      <c r="N519" s="720"/>
      <c r="O519" s="23">
        <f t="shared" si="91"/>
        <v>1</v>
      </c>
      <c r="P519" s="720"/>
      <c r="Q519" s="23">
        <f t="shared" si="92"/>
        <v>1</v>
      </c>
      <c r="R519" s="716">
        <f t="shared" si="93"/>
        <v>0</v>
      </c>
      <c r="S519" s="361">
        <f t="shared" si="94"/>
        <v>0</v>
      </c>
    </row>
    <row r="520" spans="1:19">
      <c r="A520" s="159"/>
      <c r="B520" s="58"/>
      <c r="C520" s="23">
        <f t="shared" si="85"/>
        <v>1</v>
      </c>
      <c r="D520" s="720"/>
      <c r="E520" s="23">
        <f t="shared" si="86"/>
        <v>1</v>
      </c>
      <c r="F520" s="720"/>
      <c r="G520" s="23">
        <f t="shared" si="87"/>
        <v>1</v>
      </c>
      <c r="H520" s="720"/>
      <c r="I520" s="23">
        <f t="shared" si="88"/>
        <v>1</v>
      </c>
      <c r="J520" s="720"/>
      <c r="K520" s="23">
        <f t="shared" si="89"/>
        <v>1</v>
      </c>
      <c r="L520" s="720"/>
      <c r="M520" s="23">
        <f t="shared" si="90"/>
        <v>1</v>
      </c>
      <c r="N520" s="720"/>
      <c r="O520" s="23">
        <f t="shared" si="91"/>
        <v>1</v>
      </c>
      <c r="P520" s="720"/>
      <c r="Q520" s="23">
        <f t="shared" si="92"/>
        <v>1</v>
      </c>
      <c r="R520" s="716">
        <f t="shared" si="93"/>
        <v>0</v>
      </c>
      <c r="S520" s="361">
        <f t="shared" si="94"/>
        <v>0</v>
      </c>
    </row>
    <row r="521" spans="1:19">
      <c r="A521" s="159"/>
      <c r="B521" s="58"/>
      <c r="C521" s="23">
        <f t="shared" si="85"/>
        <v>1</v>
      </c>
      <c r="D521" s="720"/>
      <c r="E521" s="23">
        <f t="shared" si="86"/>
        <v>1</v>
      </c>
      <c r="F521" s="720"/>
      <c r="G521" s="23">
        <f t="shared" si="87"/>
        <v>1</v>
      </c>
      <c r="H521" s="720"/>
      <c r="I521" s="23">
        <f t="shared" si="88"/>
        <v>1</v>
      </c>
      <c r="J521" s="720"/>
      <c r="K521" s="23">
        <f t="shared" si="89"/>
        <v>1</v>
      </c>
      <c r="L521" s="720"/>
      <c r="M521" s="23">
        <f t="shared" si="90"/>
        <v>1</v>
      </c>
      <c r="N521" s="720"/>
      <c r="O521" s="23">
        <f t="shared" si="91"/>
        <v>1</v>
      </c>
      <c r="P521" s="720"/>
      <c r="Q521" s="23">
        <f t="shared" si="92"/>
        <v>1</v>
      </c>
      <c r="R521" s="716">
        <f t="shared" si="93"/>
        <v>0</v>
      </c>
      <c r="S521" s="361">
        <f t="shared" si="94"/>
        <v>0</v>
      </c>
    </row>
    <row r="522" spans="1:19">
      <c r="A522" s="159"/>
      <c r="B522" s="58"/>
      <c r="C522" s="23">
        <f t="shared" si="85"/>
        <v>1</v>
      </c>
      <c r="D522" s="720"/>
      <c r="E522" s="23">
        <f t="shared" si="86"/>
        <v>1</v>
      </c>
      <c r="F522" s="720"/>
      <c r="G522" s="23">
        <f t="shared" si="87"/>
        <v>1</v>
      </c>
      <c r="H522" s="720"/>
      <c r="I522" s="23">
        <f t="shared" si="88"/>
        <v>1</v>
      </c>
      <c r="J522" s="720"/>
      <c r="K522" s="23">
        <f t="shared" si="89"/>
        <v>1</v>
      </c>
      <c r="L522" s="720"/>
      <c r="M522" s="23">
        <f t="shared" si="90"/>
        <v>1</v>
      </c>
      <c r="N522" s="720"/>
      <c r="O522" s="23">
        <f t="shared" si="91"/>
        <v>1</v>
      </c>
      <c r="P522" s="720"/>
      <c r="Q522" s="23">
        <f t="shared" si="92"/>
        <v>1</v>
      </c>
      <c r="R522" s="716">
        <f t="shared" si="93"/>
        <v>0</v>
      </c>
      <c r="S522" s="361">
        <f t="shared" si="94"/>
        <v>0</v>
      </c>
    </row>
    <row r="523" spans="1:19">
      <c r="A523" s="159"/>
      <c r="B523" s="58"/>
      <c r="C523" s="23">
        <f t="shared" si="85"/>
        <v>1</v>
      </c>
      <c r="D523" s="720"/>
      <c r="E523" s="23">
        <f t="shared" si="86"/>
        <v>1</v>
      </c>
      <c r="F523" s="720"/>
      <c r="G523" s="23">
        <f t="shared" si="87"/>
        <v>1</v>
      </c>
      <c r="H523" s="720"/>
      <c r="I523" s="23">
        <f t="shared" si="88"/>
        <v>1</v>
      </c>
      <c r="J523" s="720"/>
      <c r="K523" s="23">
        <f t="shared" si="89"/>
        <v>1</v>
      </c>
      <c r="L523" s="720"/>
      <c r="M523" s="23">
        <f t="shared" si="90"/>
        <v>1</v>
      </c>
      <c r="N523" s="720"/>
      <c r="O523" s="23">
        <f t="shared" si="91"/>
        <v>1</v>
      </c>
      <c r="P523" s="720"/>
      <c r="Q523" s="23">
        <f t="shared" si="92"/>
        <v>1</v>
      </c>
      <c r="R523" s="716">
        <f t="shared" si="93"/>
        <v>0</v>
      </c>
      <c r="S523" s="361">
        <f t="shared" si="94"/>
        <v>0</v>
      </c>
    </row>
    <row r="524" spans="1:19">
      <c r="A524" s="159"/>
      <c r="B524" s="58"/>
      <c r="C524" s="23">
        <f t="shared" si="85"/>
        <v>1</v>
      </c>
      <c r="D524" s="720"/>
      <c r="E524" s="23">
        <f t="shared" si="86"/>
        <v>1</v>
      </c>
      <c r="F524" s="720"/>
      <c r="G524" s="23">
        <f t="shared" si="87"/>
        <v>1</v>
      </c>
      <c r="H524" s="720"/>
      <c r="I524" s="23">
        <f t="shared" si="88"/>
        <v>1</v>
      </c>
      <c r="J524" s="720"/>
      <c r="K524" s="23">
        <f t="shared" si="89"/>
        <v>1</v>
      </c>
      <c r="L524" s="720"/>
      <c r="M524" s="23">
        <f t="shared" si="90"/>
        <v>1</v>
      </c>
      <c r="N524" s="720"/>
      <c r="O524" s="23">
        <f t="shared" si="91"/>
        <v>1</v>
      </c>
      <c r="P524" s="720"/>
      <c r="Q524" s="23">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33019</v>
      </c>
      <c r="C2" s="2" t="s">
        <v>133</v>
      </c>
      <c r="D2" s="243"/>
      <c r="E2" s="243"/>
      <c r="F2" s="243"/>
      <c r="G2" s="243"/>
    </row>
    <row r="3" spans="1:7" s="244" customFormat="1" ht="18" customHeight="1" thickBot="1">
      <c r="A3" s="247" t="s">
        <v>85</v>
      </c>
      <c r="B3" s="248">
        <f ca="1">ROUND(B2*10000/'数据-汇总表'!E3,0)</f>
        <v>12984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509</v>
      </c>
      <c r="D10" s="1035">
        <f>'数据-汇总表'!E6</f>
        <v>25430.71</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509</v>
      </c>
      <c r="D19" s="1039">
        <f>'数据-汇总表'!E3</f>
        <v>25430.71</v>
      </c>
      <c r="E19" s="255">
        <f>'数据-取费表'!B31</f>
        <v>200</v>
      </c>
      <c r="F19" s="275"/>
      <c r="G19" s="1" t="s">
        <v>1074</v>
      </c>
    </row>
    <row r="20" spans="1:7" s="258" customFormat="1" ht="13.5" customHeight="1">
      <c r="A20" s="951" t="s">
        <v>1057</v>
      </c>
      <c r="B20" s="254" t="s">
        <v>104</v>
      </c>
      <c r="C20" s="276">
        <f>ROUND((C5+C19)*F20,0)</f>
        <v>422</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928</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22</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3231</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3231</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27836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5339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4578</v>
      </c>
      <c r="D34" s="261"/>
      <c r="E34" s="264"/>
      <c r="F34" s="301">
        <f>IF('数据-取费表'!B24=0,1,'数据-取费表'!N16)</f>
        <v>1</v>
      </c>
      <c r="G34" s="263" t="s">
        <v>116</v>
      </c>
    </row>
    <row r="35" spans="1:7" ht="13.5" customHeight="1">
      <c r="A35" s="954" t="s">
        <v>796</v>
      </c>
      <c r="B35" s="259" t="s">
        <v>60</v>
      </c>
      <c r="C35" s="264">
        <f>ROUND(C34*F35,0)</f>
        <v>183</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509</v>
      </c>
      <c r="D37" s="261">
        <f>'数据-汇总表'!E3</f>
        <v>25430.71</v>
      </c>
      <c r="E37" s="293">
        <f>'数据-取费表'!B35</f>
        <v>200</v>
      </c>
      <c r="F37" s="303"/>
      <c r="G37" s="305" t="s">
        <v>119</v>
      </c>
    </row>
    <row r="38" spans="1:7" ht="13.5" customHeight="1">
      <c r="A38" s="954" t="s">
        <v>799</v>
      </c>
      <c r="B38" s="259" t="s">
        <v>63</v>
      </c>
      <c r="C38" s="264">
        <f>ROUND(C34*F38,0)</f>
        <v>69</v>
      </c>
      <c r="D38" s="264"/>
      <c r="E38" s="264"/>
      <c r="F38" s="303">
        <f>'数据-取费表'!B36</f>
        <v>1.4999999999999999E-2</v>
      </c>
      <c r="G38" s="263" t="s">
        <v>117</v>
      </c>
    </row>
    <row r="39" spans="1:7" s="258" customFormat="1" ht="13.5" customHeight="1">
      <c r="A39" s="951" t="s">
        <v>783</v>
      </c>
      <c r="B39" s="254" t="s">
        <v>104</v>
      </c>
      <c r="C39" s="276">
        <f>ROUND(C33*F20,0)</f>
        <v>107</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118</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116</v>
      </c>
      <c r="D42" s="282"/>
      <c r="E42" s="282"/>
      <c r="F42" s="283"/>
      <c r="G42" s="3295" t="s">
        <v>121</v>
      </c>
    </row>
    <row r="43" spans="1:7" ht="13.5" customHeight="1">
      <c r="A43" s="954" t="s">
        <v>792</v>
      </c>
      <c r="B43" s="259" t="s">
        <v>1064</v>
      </c>
      <c r="C43" s="282">
        <f ca="1">ROUND(IF('数据-取费表'!B22&lt;=1,C39*F22*'数据-取费表'!B21/2,C39*(POWER((1+F22),'数据-取费表'!B21/2)-1)),0)</f>
        <v>2</v>
      </c>
      <c r="D43" s="282"/>
      <c r="E43" s="282"/>
      <c r="F43" s="283"/>
      <c r="G43" s="3296"/>
    </row>
    <row r="44" spans="1:7" ht="13.5" customHeight="1">
      <c r="A44" s="954" t="s">
        <v>793</v>
      </c>
      <c r="B44" s="259" t="s">
        <v>1066</v>
      </c>
      <c r="C44" s="282">
        <f ca="1">ROUND(IF('数据-取费表'!B22&lt;=1,C40*F22*'数据-取费表'!B21/2,C40*(POWER((1+F22),'数据-取费表'!B21/2)-1)),4)</f>
        <v>4.0000000000000002E-4</v>
      </c>
      <c r="D44" s="282"/>
      <c r="E44" s="282"/>
      <c r="F44" s="283"/>
      <c r="G44" s="3297"/>
    </row>
    <row r="45" spans="1:7" s="258" customFormat="1" ht="13.5" customHeight="1">
      <c r="A45" s="951" t="s">
        <v>786</v>
      </c>
      <c r="B45" s="288" t="s">
        <v>112</v>
      </c>
      <c r="C45" s="289">
        <f>C46</f>
        <v>817</v>
      </c>
      <c r="D45" s="279">
        <f>C47</f>
        <v>3.0000000000000001E-3</v>
      </c>
      <c r="E45" s="280" t="s">
        <v>129</v>
      </c>
      <c r="F45" s="290"/>
      <c r="G45" s="291" t="s">
        <v>1072</v>
      </c>
    </row>
    <row r="46" spans="1:7" s="258" customFormat="1" ht="13.5" customHeight="1">
      <c r="A46" s="954" t="s">
        <v>794</v>
      </c>
      <c r="B46" s="292" t="s">
        <v>1065</v>
      </c>
      <c r="C46" s="293">
        <f>ROUND((C33+C39)*F27,0)</f>
        <v>817</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6911</v>
      </c>
      <c r="D49" s="276"/>
      <c r="E49" s="276"/>
      <c r="F49" s="308"/>
      <c r="G49" s="278" t="s">
        <v>1073</v>
      </c>
    </row>
    <row r="50" spans="1:7" s="302" customFormat="1" ht="24">
      <c r="A50" s="951" t="s">
        <v>789</v>
      </c>
      <c r="B50" s="254" t="s">
        <v>124</v>
      </c>
      <c r="C50" s="276"/>
      <c r="D50" s="276"/>
      <c r="E50" s="276"/>
      <c r="F50" s="308">
        <f>IF('数据-取费表'!B24=0,'数据-取费表'!N16,1)</f>
        <v>0.75</v>
      </c>
      <c r="G50" s="291" t="s">
        <v>125</v>
      </c>
    </row>
    <row r="51" spans="1:7" ht="16.5" customHeight="1">
      <c r="A51" s="951" t="s">
        <v>790</v>
      </c>
      <c r="B51" s="254" t="s">
        <v>132</v>
      </c>
      <c r="C51" s="276">
        <f ca="1">ROUND(C49*F50,0)</f>
        <v>5183</v>
      </c>
      <c r="D51" s="276"/>
      <c r="E51" s="276"/>
      <c r="F51" s="308"/>
      <c r="G51" s="278" t="s">
        <v>64</v>
      </c>
    </row>
    <row r="52" spans="1:7" s="252" customFormat="1" ht="16.5" thickBot="1">
      <c r="A52" s="309" t="s">
        <v>65</v>
      </c>
      <c r="B52" s="310"/>
      <c r="C52" s="311">
        <f ca="1">C31+C51</f>
        <v>33019</v>
      </c>
      <c r="D52" s="310"/>
      <c r="E52" s="310"/>
      <c r="F52" s="310"/>
      <c r="G52" s="312"/>
    </row>
    <row r="55" spans="1:7" ht="15">
      <c r="B55" s="314" t="s">
        <v>66</v>
      </c>
      <c r="C55" s="315"/>
    </row>
    <row r="56" spans="1:7">
      <c r="B56" s="317" t="s">
        <v>67</v>
      </c>
      <c r="C56" s="318">
        <f ca="1">ROUND(C51/C52,3)</f>
        <v>0.157</v>
      </c>
    </row>
    <row r="57" spans="1:7">
      <c r="B57" s="317" t="s">
        <v>68</v>
      </c>
      <c r="C57" s="319">
        <f ca="1">1-C56</f>
        <v>0.84299999999999997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75" t="s">
        <v>156</v>
      </c>
      <c r="B1" s="3375"/>
      <c r="C1" s="3375"/>
      <c r="D1" s="3375"/>
      <c r="E1" s="3375"/>
      <c r="F1" s="337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76" t="s">
        <v>169</v>
      </c>
      <c r="B2" s="3376"/>
      <c r="C2" s="3376"/>
      <c r="D2" s="3376"/>
      <c r="E2" s="3376"/>
      <c r="F2" s="337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7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7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75" t="s">
        <v>871</v>
      </c>
      <c r="B1" s="337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43047</v>
      </c>
      <c r="D1" s="1704" t="s">
        <v>1302</v>
      </c>
      <c r="E1" s="1699">
        <f>'数据-取费表'!B22</f>
        <v>1</v>
      </c>
      <c r="F1" s="1704" t="s">
        <v>1303</v>
      </c>
      <c r="G1" s="1700">
        <f ca="1">INDIRECT("d"&amp;$K$1)/100</f>
        <v>4.3499999999999997E-2</v>
      </c>
      <c r="H1" s="1704" t="s">
        <v>1333</v>
      </c>
      <c r="I1" s="1700">
        <f ca="1">F4/100</f>
        <v>1.4999999999999999E-2</v>
      </c>
      <c r="J1" s="1705">
        <f>IF(C1&gt;C13,0,MATCH(C1,C$13:C$100,-1))+IF(SUMIF(C13:C100,C1,D13:D100)=0,13,12)</f>
        <v>13</v>
      </c>
      <c r="K1" s="1705">
        <f ca="1">MATCH(E1,C3:C7,1)+IF(SUMIF(C3:C7,E1,D3:D7)=0,2,1)</f>
        <v>4</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3072" t="str">
        <f>IF(项目基本情况!B9="房地产市场价值","估价结果一览表","结果表-2")</f>
        <v>估价结果一览表</v>
      </c>
      <c r="B1" s="3072"/>
      <c r="C1" s="3072"/>
      <c r="D1" s="3072"/>
      <c r="E1" s="3072"/>
      <c r="F1" s="3072"/>
      <c r="G1" s="3072"/>
      <c r="H1" s="3072"/>
      <c r="I1" s="3072"/>
    </row>
    <row r="2" spans="1:9" ht="30" customHeight="1" thickTop="1">
      <c r="A2" s="3073" t="s">
        <v>1643</v>
      </c>
      <c r="B2" s="3073" t="s">
        <v>1644</v>
      </c>
      <c r="C2" s="3073" t="s">
        <v>1645</v>
      </c>
      <c r="D2" s="3073" t="str">
        <f>'结果表-凯富'!D116</f>
        <v>出让国有建设用地使用权价值</v>
      </c>
      <c r="E2" s="3073"/>
      <c r="F2" s="3073" t="str">
        <f>'结果表-凯富'!F116</f>
        <v>在建建筑物价值</v>
      </c>
      <c r="G2" s="3073"/>
      <c r="H2" s="3073" t="str">
        <f>IF(项目基本情况!B9="房地产市场价值","房地产市场价值","房地产价值")</f>
        <v>房地产市场价值</v>
      </c>
      <c r="I2" s="3073"/>
    </row>
    <row r="3" spans="1:9" ht="15">
      <c r="A3" s="3067"/>
      <c r="B3" s="3067"/>
      <c r="C3" s="3067"/>
      <c r="D3" s="1047" t="s">
        <v>1640</v>
      </c>
      <c r="E3" s="1047" t="s">
        <v>1646</v>
      </c>
      <c r="F3" s="1047" t="s">
        <v>1640</v>
      </c>
      <c r="G3" s="1047" t="s">
        <v>1641</v>
      </c>
      <c r="H3" s="1047" t="s">
        <v>1640</v>
      </c>
      <c r="I3" s="1047" t="s">
        <v>1641</v>
      </c>
    </row>
    <row r="4" spans="1:9" ht="30">
      <c r="A4" s="1977" t="str">
        <f>项目基本情况!S2</f>
        <v>北京市朝阳区酒仙桥北路7号北侧房地产</v>
      </c>
      <c r="B4" s="1047">
        <f>项目基本情况!C17</f>
        <v>25430.71</v>
      </c>
      <c r="C4" s="1047">
        <f>项目基本情况!C18</f>
        <v>38167.26</v>
      </c>
      <c r="D4" s="1047" t="e">
        <f ca="1">'结果表-凯富'!D118</f>
        <v>#N/A</v>
      </c>
      <c r="E4" s="1047" t="e">
        <f ca="1">'结果表-凯富'!E118</f>
        <v>#N/A</v>
      </c>
      <c r="F4" s="1047" t="e">
        <f ca="1">'结果表-凯富'!F118</f>
        <v>#N/A</v>
      </c>
      <c r="G4" s="1047" t="e">
        <f ca="1">'结果表-凯富'!G118</f>
        <v>#N/A</v>
      </c>
      <c r="H4" s="1047" t="e">
        <f ca="1">'结果表-凯富'!H118</f>
        <v>#N/A</v>
      </c>
      <c r="I4" s="1047" t="e">
        <f ca="1">'结果表-凯富'!I118</f>
        <v>#N/A</v>
      </c>
    </row>
    <row r="5" spans="1:9" ht="30" customHeight="1">
      <c r="A5" s="3067" t="s">
        <v>1642</v>
      </c>
      <c r="B5" s="3067"/>
      <c r="C5" s="3067"/>
      <c r="D5" s="3068" t="e">
        <f ca="1">'结果表-凯富'!D119</f>
        <v>#N/A</v>
      </c>
      <c r="E5" s="3068"/>
      <c r="F5" s="3068" t="e">
        <f ca="1">'结果表-凯富'!F119</f>
        <v>#N/A</v>
      </c>
      <c r="G5" s="3068"/>
      <c r="H5" s="3068" t="e">
        <f ca="1">'结果表-凯富'!H119</f>
        <v>#N/A</v>
      </c>
      <c r="I5" s="3068"/>
    </row>
    <row r="6" spans="1:9" ht="15.75">
      <c r="A6" s="3066" t="str">
        <f>'结果表-凯富'!A120</f>
        <v/>
      </c>
      <c r="B6" s="3066"/>
      <c r="C6" s="3066"/>
      <c r="D6" s="3066">
        <f>'结果表-凯富'!D120</f>
        <v>0</v>
      </c>
      <c r="E6" s="3066"/>
      <c r="F6" s="3066"/>
      <c r="G6" s="3066"/>
      <c r="H6" s="3066"/>
      <c r="I6" s="3066"/>
    </row>
    <row r="7" spans="1:9" ht="15">
      <c r="A7" s="3067" t="s">
        <v>1642</v>
      </c>
      <c r="B7" s="3067"/>
      <c r="C7" s="3067"/>
      <c r="D7" s="3069" t="str">
        <f>'结果表-凯富'!D121</f>
        <v>零元整</v>
      </c>
      <c r="E7" s="3070"/>
      <c r="F7" s="3070"/>
      <c r="G7" s="3070"/>
      <c r="H7" s="3070"/>
      <c r="I7" s="3071"/>
    </row>
    <row r="8" spans="1:9" ht="15.75">
      <c r="A8" s="3066" t="str">
        <f>'结果表-凯富'!A122</f>
        <v/>
      </c>
      <c r="B8" s="3066"/>
      <c r="C8" s="3066"/>
      <c r="D8" s="3066" t="e">
        <f ca="1">'结果表-凯富'!D122</f>
        <v>#N/A</v>
      </c>
      <c r="E8" s="3066"/>
      <c r="F8" s="3066"/>
      <c r="G8" s="3066"/>
      <c r="H8" s="3066"/>
      <c r="I8" s="3066"/>
    </row>
    <row r="9" spans="1:9" ht="15">
      <c r="A9" s="3067" t="s">
        <v>1642</v>
      </c>
      <c r="B9" s="3067"/>
      <c r="C9" s="3067"/>
      <c r="D9" s="3068" t="e">
        <f ca="1">'结果表-凯富'!D123</f>
        <v>#N/A</v>
      </c>
      <c r="E9" s="3068"/>
      <c r="F9" s="3068"/>
      <c r="G9" s="3068"/>
      <c r="H9" s="3068"/>
      <c r="I9" s="3068"/>
    </row>
    <row r="10" spans="1:9" ht="15.75">
      <c r="A10" s="3066" t="str">
        <f>'结果表-凯富'!A124</f>
        <v/>
      </c>
      <c r="B10" s="3066"/>
      <c r="C10" s="3066"/>
      <c r="D10" s="3066" t="str">
        <f>'结果表-凯富'!D124</f>
        <v>——</v>
      </c>
      <c r="E10" s="3066"/>
      <c r="F10" s="3066"/>
      <c r="G10" s="3066"/>
      <c r="H10" s="3066"/>
      <c r="I10" s="3066"/>
    </row>
    <row r="11" spans="1:9" ht="15">
      <c r="A11" s="3067" t="s">
        <v>1642</v>
      </c>
      <c r="B11" s="3067"/>
      <c r="C11" s="3067"/>
      <c r="D11" s="3068" t="e">
        <f>'结果表-凯富'!D125</f>
        <v>#VALUE!</v>
      </c>
      <c r="E11" s="3068"/>
      <c r="F11" s="3068"/>
      <c r="G11" s="3068"/>
      <c r="H11" s="3068"/>
      <c r="I11" s="3068"/>
    </row>
    <row r="12" spans="1:9" ht="15.75">
      <c r="A12" s="3066" t="str">
        <f>'结果表-凯富'!A126</f>
        <v/>
      </c>
      <c r="B12" s="3066"/>
      <c r="C12" s="3066"/>
      <c r="D12" s="3066" t="str">
        <f>'结果表-凯富'!D126</f>
        <v>——</v>
      </c>
      <c r="E12" s="3066"/>
      <c r="F12" s="3066"/>
      <c r="G12" s="3066"/>
      <c r="H12" s="3066"/>
      <c r="I12" s="3066"/>
    </row>
    <row r="13" spans="1:9" ht="15.75" thickBot="1">
      <c r="A13" s="3063" t="s">
        <v>1642</v>
      </c>
      <c r="B13" s="3063"/>
      <c r="C13" s="3063"/>
      <c r="D13" s="3064" t="e">
        <f>'结果表-凯富'!D127</f>
        <v>#VALUE!</v>
      </c>
      <c r="E13" s="3064"/>
      <c r="F13" s="3064"/>
      <c r="G13" s="3064"/>
      <c r="H13" s="3064"/>
      <c r="I13" s="3064"/>
    </row>
    <row r="14" spans="1:9" ht="15" thickTop="1">
      <c r="A14" s="3065" t="s">
        <v>1647</v>
      </c>
      <c r="B14" s="3065"/>
      <c r="C14" s="3065"/>
      <c r="D14" s="3065"/>
      <c r="E14" s="3065"/>
      <c r="F14" s="3065"/>
      <c r="G14" s="3065"/>
      <c r="H14" s="3065"/>
      <c r="I14" s="3065"/>
    </row>
    <row r="16" spans="1:9" ht="18.75">
      <c r="A16" s="1978" t="s">
        <v>1630</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8"/>
  <sheetViews>
    <sheetView workbookViewId="0">
      <selection activeCell="F3" sqref="F3:F23"/>
    </sheetView>
  </sheetViews>
  <sheetFormatPr defaultRowHeight="13.5"/>
  <cols>
    <col min="3" max="3" width="12.5" customWidth="1"/>
  </cols>
  <sheetData>
    <row r="1" spans="1:7">
      <c r="A1" s="2931" t="s">
        <v>3060</v>
      </c>
      <c r="B1" s="2931" t="s">
        <v>3061</v>
      </c>
      <c r="C1" s="2931" t="s">
        <v>3067</v>
      </c>
      <c r="D1" s="2931" t="s">
        <v>3062</v>
      </c>
      <c r="E1" s="2931" t="s">
        <v>3063</v>
      </c>
      <c r="F1" s="2931" t="s">
        <v>3068</v>
      </c>
      <c r="G1" s="2931" t="s">
        <v>3064</v>
      </c>
    </row>
    <row r="2" spans="1:7">
      <c r="A2">
        <v>24</v>
      </c>
      <c r="B2" s="2931" t="s">
        <v>3065</v>
      </c>
      <c r="C2" t="str">
        <f>IF(B2="钢混","60",IF(B2="混合","50","40"))</f>
        <v>50</v>
      </c>
      <c r="D2">
        <v>154.19999999999999</v>
      </c>
      <c r="E2">
        <v>1970</v>
      </c>
      <c r="F2">
        <f>ROUND(1-(2017-E2)/C2,2)</f>
        <v>0.06</v>
      </c>
    </row>
    <row r="3" spans="1:7" s="2935" customFormat="1">
      <c r="A3" s="2935">
        <v>64</v>
      </c>
      <c r="B3" s="2934" t="s">
        <v>3066</v>
      </c>
      <c r="C3" t="str">
        <f t="shared" ref="C3:C26" si="0">IF(B3="钢混","60",IF(B3="混合","50","40"))</f>
        <v>50</v>
      </c>
      <c r="D3" s="2935">
        <v>1055.8</v>
      </c>
      <c r="E3" s="2935">
        <v>1980</v>
      </c>
      <c r="F3" s="2935">
        <f t="shared" ref="F3:F23" si="1">ROUND(1-(2017-E3)/C3,2)</f>
        <v>0.26</v>
      </c>
    </row>
    <row r="4" spans="1:7" s="2935" customFormat="1">
      <c r="A4" s="2934">
        <v>66</v>
      </c>
      <c r="B4" s="2934" t="s">
        <v>3066</v>
      </c>
      <c r="C4" t="str">
        <f t="shared" si="0"/>
        <v>50</v>
      </c>
      <c r="D4" s="2935">
        <v>1214.4100000000001</v>
      </c>
      <c r="E4" s="2935">
        <v>1970</v>
      </c>
      <c r="F4" s="2935">
        <f t="shared" si="1"/>
        <v>0.06</v>
      </c>
    </row>
    <row r="5" spans="1:7" s="2936" customFormat="1" ht="14.25" customHeight="1">
      <c r="A5" s="2936">
        <v>68</v>
      </c>
      <c r="B5" s="2937" t="s">
        <v>3066</v>
      </c>
      <c r="C5" s="2936" t="str">
        <f t="shared" si="0"/>
        <v>50</v>
      </c>
      <c r="D5" s="2936">
        <v>4956.67</v>
      </c>
      <c r="E5" s="2936">
        <v>1998</v>
      </c>
      <c r="F5" s="2936">
        <f t="shared" si="1"/>
        <v>0.62</v>
      </c>
    </row>
    <row r="6" spans="1:7" s="2936" customFormat="1" ht="14.25" customHeight="1">
      <c r="A6" s="2937" t="s">
        <v>3072</v>
      </c>
      <c r="B6" s="2937" t="s">
        <v>3065</v>
      </c>
      <c r="C6" s="2936" t="str">
        <f t="shared" si="0"/>
        <v>50</v>
      </c>
      <c r="D6" s="2936">
        <v>1470.37</v>
      </c>
      <c r="E6" s="2936">
        <v>1998</v>
      </c>
      <c r="F6" s="2936">
        <f t="shared" si="1"/>
        <v>0.62</v>
      </c>
    </row>
    <row r="7" spans="1:7" s="2932" customFormat="1">
      <c r="A7" s="2932">
        <v>69</v>
      </c>
      <c r="B7" s="2933" t="s">
        <v>3066</v>
      </c>
      <c r="C7" s="2932" t="str">
        <f t="shared" si="0"/>
        <v>50</v>
      </c>
      <c r="D7" s="2932">
        <v>1135.2</v>
      </c>
      <c r="E7" s="2932">
        <v>1980</v>
      </c>
      <c r="F7" s="2932">
        <f t="shared" si="1"/>
        <v>0.26</v>
      </c>
    </row>
    <row r="8" spans="1:7" s="2932" customFormat="1">
      <c r="A8" s="2933" t="s">
        <v>3071</v>
      </c>
      <c r="B8" s="2933" t="s">
        <v>3065</v>
      </c>
      <c r="C8" s="2932" t="str">
        <f t="shared" si="0"/>
        <v>50</v>
      </c>
      <c r="D8" s="2932">
        <v>263.3</v>
      </c>
      <c r="E8" s="2932">
        <v>1980</v>
      </c>
      <c r="F8" s="2932">
        <f t="shared" si="1"/>
        <v>0.26</v>
      </c>
    </row>
    <row r="9" spans="1:7">
      <c r="A9">
        <v>70</v>
      </c>
      <c r="B9" s="2931" t="s">
        <v>3066</v>
      </c>
      <c r="C9" t="str">
        <f t="shared" si="0"/>
        <v>50</v>
      </c>
      <c r="D9">
        <v>716.2</v>
      </c>
      <c r="E9">
        <v>1970</v>
      </c>
      <c r="F9">
        <f t="shared" si="1"/>
        <v>0.06</v>
      </c>
    </row>
    <row r="10" spans="1:7">
      <c r="A10">
        <v>73</v>
      </c>
      <c r="B10" s="2931" t="s">
        <v>3066</v>
      </c>
      <c r="C10" t="str">
        <f t="shared" si="0"/>
        <v>50</v>
      </c>
      <c r="D10">
        <v>761.8</v>
      </c>
      <c r="E10">
        <v>1990</v>
      </c>
      <c r="F10">
        <f t="shared" si="1"/>
        <v>0.46</v>
      </c>
    </row>
    <row r="11" spans="1:7">
      <c r="A11">
        <v>74</v>
      </c>
      <c r="B11" s="2931" t="s">
        <v>3066</v>
      </c>
      <c r="C11" t="str">
        <f t="shared" si="0"/>
        <v>50</v>
      </c>
      <c r="D11">
        <v>1080.3</v>
      </c>
      <c r="E11">
        <v>1960</v>
      </c>
      <c r="F11">
        <f t="shared" si="1"/>
        <v>-0.14000000000000001</v>
      </c>
    </row>
    <row r="12" spans="1:7" s="2938" customFormat="1">
      <c r="A12" s="2938">
        <v>75</v>
      </c>
      <c r="B12" s="2938" t="s">
        <v>3066</v>
      </c>
      <c r="C12" t="str">
        <f t="shared" si="0"/>
        <v>50</v>
      </c>
      <c r="D12" s="2938">
        <v>1023</v>
      </c>
      <c r="E12" s="2938">
        <v>1960</v>
      </c>
      <c r="F12" s="2938">
        <f t="shared" si="1"/>
        <v>-0.14000000000000001</v>
      </c>
    </row>
    <row r="13" spans="1:7">
      <c r="A13">
        <v>76</v>
      </c>
      <c r="B13" s="2931" t="s">
        <v>3066</v>
      </c>
      <c r="C13" t="str">
        <f t="shared" si="0"/>
        <v>50</v>
      </c>
      <c r="D13">
        <v>516.79999999999995</v>
      </c>
      <c r="E13">
        <v>1960</v>
      </c>
      <c r="F13">
        <f t="shared" si="1"/>
        <v>-0.14000000000000001</v>
      </c>
    </row>
    <row r="14" spans="1:7">
      <c r="A14">
        <v>77</v>
      </c>
      <c r="B14" s="2931" t="s">
        <v>3065</v>
      </c>
      <c r="C14" t="str">
        <f t="shared" si="0"/>
        <v>50</v>
      </c>
      <c r="D14">
        <v>1309.8</v>
      </c>
      <c r="E14">
        <v>1980</v>
      </c>
      <c r="F14">
        <f t="shared" si="1"/>
        <v>0.26</v>
      </c>
    </row>
    <row r="15" spans="1:7" s="2932" customFormat="1">
      <c r="A15" s="2932">
        <v>78</v>
      </c>
      <c r="B15" s="2933" t="s">
        <v>3073</v>
      </c>
      <c r="C15" s="2932" t="str">
        <f t="shared" si="0"/>
        <v>60</v>
      </c>
      <c r="D15" s="2932">
        <v>3711.6</v>
      </c>
      <c r="E15" s="2932">
        <v>1970</v>
      </c>
      <c r="F15" s="2932">
        <f t="shared" si="1"/>
        <v>0.22</v>
      </c>
    </row>
    <row r="16" spans="1:7" s="2932" customFormat="1">
      <c r="A16" s="2933" t="s">
        <v>3074</v>
      </c>
      <c r="B16" s="2933" t="s">
        <v>3073</v>
      </c>
      <c r="C16" s="2932" t="str">
        <f t="shared" si="0"/>
        <v>60</v>
      </c>
      <c r="D16" s="2932">
        <v>63.3</v>
      </c>
    </row>
    <row r="17" spans="1:6">
      <c r="A17">
        <v>79</v>
      </c>
      <c r="B17" s="2931" t="s">
        <v>3073</v>
      </c>
      <c r="C17" t="str">
        <f t="shared" si="0"/>
        <v>60</v>
      </c>
      <c r="D17">
        <v>2640.1</v>
      </c>
      <c r="E17">
        <v>1970</v>
      </c>
      <c r="F17">
        <f t="shared" si="1"/>
        <v>0.22</v>
      </c>
    </row>
    <row r="18" spans="1:6" s="2932" customFormat="1" ht="14.25" customHeight="1">
      <c r="A18" s="2932">
        <v>80</v>
      </c>
      <c r="B18" s="2933" t="s">
        <v>3073</v>
      </c>
      <c r="C18" s="2932" t="str">
        <f t="shared" si="0"/>
        <v>60</v>
      </c>
      <c r="D18" s="2932">
        <v>7024</v>
      </c>
      <c r="E18" s="2932">
        <v>1980</v>
      </c>
      <c r="F18" s="2932">
        <f t="shared" si="1"/>
        <v>0.38</v>
      </c>
    </row>
    <row r="19" spans="1:6" s="2932" customFormat="1">
      <c r="A19" s="2933" t="s">
        <v>3075</v>
      </c>
      <c r="B19" s="2933" t="s">
        <v>3073</v>
      </c>
      <c r="C19" s="2932" t="str">
        <f t="shared" si="0"/>
        <v>60</v>
      </c>
      <c r="D19" s="2932">
        <v>63.6</v>
      </c>
    </row>
    <row r="20" spans="1:6" s="2936" customFormat="1">
      <c r="A20" s="2936">
        <v>81</v>
      </c>
      <c r="B20" s="2937" t="s">
        <v>3073</v>
      </c>
      <c r="C20" s="2936" t="str">
        <f t="shared" si="0"/>
        <v>60</v>
      </c>
      <c r="D20" s="2936">
        <v>3674.6</v>
      </c>
      <c r="E20" s="2936">
        <v>1990</v>
      </c>
      <c r="F20" s="2936">
        <f t="shared" si="1"/>
        <v>0.55000000000000004</v>
      </c>
    </row>
    <row r="21" spans="1:6" s="2936" customFormat="1">
      <c r="A21" s="2937" t="s">
        <v>3076</v>
      </c>
      <c r="B21" s="2937" t="s">
        <v>3073</v>
      </c>
      <c r="C21" s="2936" t="str">
        <f t="shared" si="0"/>
        <v>60</v>
      </c>
      <c r="D21" s="2936">
        <v>495.9</v>
      </c>
    </row>
    <row r="22" spans="1:6" s="2936" customFormat="1">
      <c r="A22" s="2937" t="s">
        <v>3075</v>
      </c>
      <c r="B22" s="2937" t="s">
        <v>3073</v>
      </c>
      <c r="C22" s="2936" t="str">
        <f t="shared" si="0"/>
        <v>60</v>
      </c>
      <c r="D22" s="2936">
        <v>46.7</v>
      </c>
    </row>
    <row r="23" spans="1:6" s="2939" customFormat="1">
      <c r="A23" s="2939">
        <v>87</v>
      </c>
      <c r="B23" s="2940" t="s">
        <v>3073</v>
      </c>
      <c r="C23" s="2939" t="str">
        <f t="shared" si="0"/>
        <v>60</v>
      </c>
      <c r="D23" s="2939">
        <v>28523.14</v>
      </c>
      <c r="E23" s="2939">
        <v>2002</v>
      </c>
      <c r="F23" s="2939">
        <f t="shared" si="1"/>
        <v>0.75</v>
      </c>
    </row>
    <row r="24" spans="1:6" s="2939" customFormat="1">
      <c r="A24" s="2940" t="s">
        <v>3077</v>
      </c>
      <c r="B24" s="2940" t="s">
        <v>3073</v>
      </c>
      <c r="C24" s="2939" t="str">
        <f t="shared" si="0"/>
        <v>60</v>
      </c>
      <c r="D24" s="2939">
        <v>8280.93</v>
      </c>
    </row>
    <row r="25" spans="1:6" s="2939" customFormat="1">
      <c r="A25" s="2940" t="s">
        <v>3078</v>
      </c>
      <c r="B25" s="2940" t="s">
        <v>3073</v>
      </c>
      <c r="C25" s="2939" t="str">
        <f t="shared" si="0"/>
        <v>60</v>
      </c>
      <c r="D25" s="2939">
        <v>80.099999999999994</v>
      </c>
    </row>
    <row r="26" spans="1:6" s="2939" customFormat="1">
      <c r="A26" s="2940" t="s">
        <v>3079</v>
      </c>
      <c r="B26" s="2940" t="s">
        <v>3073</v>
      </c>
      <c r="C26" s="2939" t="str">
        <f t="shared" si="0"/>
        <v>60</v>
      </c>
      <c r="D26" s="2939">
        <v>204.09</v>
      </c>
    </row>
    <row r="27" spans="1:6">
      <c r="B27" s="2931"/>
      <c r="D27">
        <f>SUM(D2:D26)</f>
        <v>70465.91</v>
      </c>
    </row>
    <row r="28" spans="1:6">
      <c r="B28" s="2931"/>
    </row>
    <row r="29" spans="1:6">
      <c r="B29" s="2931"/>
    </row>
    <row r="30" spans="1:6">
      <c r="B30" s="2931"/>
    </row>
    <row r="31" spans="1:6">
      <c r="B31" s="2931"/>
    </row>
    <row r="32" spans="1:6">
      <c r="B32" s="2931"/>
    </row>
    <row r="33" spans="2:2">
      <c r="B33" s="2931"/>
    </row>
    <row r="34" spans="2:2">
      <c r="B34" s="2931"/>
    </row>
    <row r="35" spans="2:2">
      <c r="B35" s="2931"/>
    </row>
    <row r="36" spans="2:2">
      <c r="B36" s="2931"/>
    </row>
    <row r="37" spans="2:2">
      <c r="B37" s="2931"/>
    </row>
    <row r="38" spans="2:2">
      <c r="B38" s="2931"/>
    </row>
    <row r="39" spans="2:2">
      <c r="B39" s="2931"/>
    </row>
    <row r="40" spans="2:2">
      <c r="B40" s="2931"/>
    </row>
    <row r="41" spans="2:2">
      <c r="B41" s="2931"/>
    </row>
    <row r="42" spans="2:2">
      <c r="B42" s="2931"/>
    </row>
    <row r="43" spans="2:2">
      <c r="B43" s="2931"/>
    </row>
    <row r="44" spans="2:2">
      <c r="B44" s="2931"/>
    </row>
    <row r="45" spans="2:2">
      <c r="B45" s="2931"/>
    </row>
    <row r="46" spans="2:2">
      <c r="B46" s="2931"/>
    </row>
    <row r="47" spans="2:2">
      <c r="B47" s="2931"/>
    </row>
    <row r="48" spans="2:2">
      <c r="B48" s="2931"/>
    </row>
    <row r="49" spans="1:6">
      <c r="B49" s="2931"/>
    </row>
    <row r="50" spans="1:6">
      <c r="B50" s="2931"/>
    </row>
    <row r="51" spans="1:6">
      <c r="B51" s="2931"/>
    </row>
    <row r="52" spans="1:6">
      <c r="B52" s="2931"/>
    </row>
    <row r="53" spans="1:6">
      <c r="B53" s="2931"/>
    </row>
    <row r="54" spans="1:6">
      <c r="B54" s="2931"/>
    </row>
    <row r="55" spans="1:6" s="2932" customFormat="1">
      <c r="B55" s="2933"/>
      <c r="F55"/>
    </row>
    <row r="56" spans="1:6" s="2932" customFormat="1">
      <c r="A56" s="2933"/>
      <c r="B56" s="2933"/>
      <c r="F56"/>
    </row>
    <row r="57" spans="1:6">
      <c r="B57" s="2931"/>
    </row>
    <row r="58" spans="1:6">
      <c r="B58" s="2931"/>
    </row>
    <row r="59" spans="1:6">
      <c r="B59" s="2931"/>
    </row>
    <row r="60" spans="1:6">
      <c r="B60" s="2931"/>
    </row>
    <row r="61" spans="1:6">
      <c r="B61" s="2931"/>
    </row>
    <row r="62" spans="1:6">
      <c r="B62" s="2931"/>
    </row>
    <row r="63" spans="1:6">
      <c r="B63" s="2931"/>
    </row>
    <row r="64" spans="1:6">
      <c r="B64" s="2931"/>
    </row>
    <row r="65" spans="2:6">
      <c r="B65" s="2931"/>
    </row>
    <row r="66" spans="2:6">
      <c r="B66" s="2931"/>
    </row>
    <row r="67" spans="2:6">
      <c r="B67" s="2931"/>
    </row>
    <row r="68" spans="2:6">
      <c r="B68" s="2931"/>
    </row>
    <row r="69" spans="2:6">
      <c r="B69" s="2931"/>
    </row>
    <row r="70" spans="2:6">
      <c r="B70" s="2931"/>
    </row>
    <row r="71" spans="2:6">
      <c r="B71" s="2931"/>
    </row>
    <row r="72" spans="2:6">
      <c r="B72" s="2931"/>
    </row>
    <row r="73" spans="2:6">
      <c r="B73" s="2931"/>
    </row>
    <row r="74" spans="2:6">
      <c r="B74" s="2931"/>
    </row>
    <row r="75" spans="2:6">
      <c r="B75" s="2931"/>
    </row>
    <row r="76" spans="2:6" s="2932" customFormat="1">
      <c r="B76" s="2933"/>
      <c r="F76"/>
    </row>
    <row r="77" spans="2:6" s="2932" customFormat="1">
      <c r="B77" s="2933"/>
      <c r="F77"/>
    </row>
    <row r="78" spans="2:6">
      <c r="B78" s="2934"/>
    </row>
  </sheetData>
  <phoneticPr fontId="143" type="noConversion"/>
  <dataValidations count="1">
    <dataValidation type="list" allowBlank="1" showInputMessage="1" showErrorMessage="1" sqref="B2:B78">
      <formula1>"钢混,混合,砖木"</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
  <sheetViews>
    <sheetView topLeftCell="A10" workbookViewId="0">
      <selection activeCell="D29" sqref="D29:D43"/>
    </sheetView>
  </sheetViews>
  <sheetFormatPr defaultRowHeight="13.5"/>
  <cols>
    <col min="3" max="3" width="12.625" customWidth="1"/>
    <col min="5" max="7" width="9" customWidth="1"/>
    <col min="8" max="8" width="59.875" customWidth="1"/>
    <col min="9" max="9" width="15.625" hidden="1" customWidth="1"/>
    <col min="10" max="10" width="0" hidden="1" customWidth="1"/>
    <col min="11" max="11" width="15.625" hidden="1" customWidth="1"/>
    <col min="12" max="12" width="14.75" customWidth="1"/>
  </cols>
  <sheetData>
    <row r="1" spans="1:15">
      <c r="A1" s="2931" t="s">
        <v>3060</v>
      </c>
      <c r="B1" s="2931" t="s">
        <v>3061</v>
      </c>
      <c r="C1" s="2931" t="s">
        <v>3067</v>
      </c>
      <c r="D1" s="2931" t="s">
        <v>3062</v>
      </c>
      <c r="F1" s="2973" t="s">
        <v>3080</v>
      </c>
      <c r="G1" s="2973" t="s">
        <v>3081</v>
      </c>
      <c r="H1" s="2977" t="s">
        <v>3082</v>
      </c>
      <c r="I1" s="2977" t="s">
        <v>3083</v>
      </c>
      <c r="J1" s="3379" t="s">
        <v>3084</v>
      </c>
      <c r="K1" s="3379" t="s">
        <v>3085</v>
      </c>
      <c r="L1" s="3379" t="s">
        <v>3086</v>
      </c>
      <c r="M1" s="3379" t="s">
        <v>3087</v>
      </c>
      <c r="N1" s="2973" t="s">
        <v>3088</v>
      </c>
      <c r="O1" s="2974" t="s">
        <v>3089</v>
      </c>
    </row>
    <row r="2" spans="1:15" ht="14.25" thickBot="1">
      <c r="A2" s="2981">
        <v>24</v>
      </c>
      <c r="B2" s="2982" t="s">
        <v>3065</v>
      </c>
      <c r="C2" s="2981" t="str">
        <f>IF(B2="钢混","60",IF(B2="混合","50","40"))</f>
        <v>50</v>
      </c>
      <c r="D2" s="2980">
        <v>154.19999999999999</v>
      </c>
      <c r="E2">
        <f>D2</f>
        <v>154.19999999999999</v>
      </c>
      <c r="F2" s="2975"/>
      <c r="G2" s="2975"/>
      <c r="H2" s="2978"/>
      <c r="I2" s="2978"/>
      <c r="J2" s="3380"/>
      <c r="K2" s="3380"/>
      <c r="L2" s="3380"/>
      <c r="M2" s="3380"/>
      <c r="N2" s="2975" t="s">
        <v>3090</v>
      </c>
      <c r="O2" s="2976" t="s">
        <v>3091</v>
      </c>
    </row>
    <row r="3" spans="1:15">
      <c r="A3" s="2981">
        <v>64</v>
      </c>
      <c r="B3" s="2982" t="s">
        <v>3066</v>
      </c>
      <c r="C3" s="2981" t="str">
        <f t="shared" ref="C3:C26" si="0">IF(B3="钢混","60",IF(B3="混合","50","40"))</f>
        <v>50</v>
      </c>
      <c r="D3" s="2981">
        <v>1055.8</v>
      </c>
      <c r="E3">
        <f>D3</f>
        <v>1055.8</v>
      </c>
      <c r="F3" s="2970">
        <v>1</v>
      </c>
      <c r="G3" s="2983">
        <v>24</v>
      </c>
      <c r="H3" s="2984" t="s">
        <v>3092</v>
      </c>
      <c r="I3" s="2984" t="s">
        <v>3093</v>
      </c>
      <c r="J3" s="2985">
        <v>6</v>
      </c>
      <c r="K3" s="2986">
        <v>40909</v>
      </c>
      <c r="L3" s="2986">
        <v>43100</v>
      </c>
      <c r="M3" s="2985">
        <v>154.19999999999999</v>
      </c>
      <c r="N3" s="2971">
        <v>30.96</v>
      </c>
      <c r="O3" s="2972">
        <v>5.5</v>
      </c>
    </row>
    <row r="4" spans="1:15">
      <c r="A4" s="2982">
        <v>66</v>
      </c>
      <c r="B4" s="2982" t="s">
        <v>3066</v>
      </c>
      <c r="C4" s="2981" t="str">
        <f t="shared" si="0"/>
        <v>50</v>
      </c>
      <c r="D4" s="2981">
        <v>1214.4100000000001</v>
      </c>
      <c r="E4">
        <f>D4</f>
        <v>1214.4100000000001</v>
      </c>
      <c r="F4" s="2970">
        <v>2</v>
      </c>
      <c r="G4" s="2983">
        <v>64</v>
      </c>
      <c r="H4" s="2984" t="s">
        <v>3094</v>
      </c>
      <c r="I4" s="2984" t="s">
        <v>3095</v>
      </c>
      <c r="J4" s="2985">
        <v>5</v>
      </c>
      <c r="K4" s="2986">
        <v>41487</v>
      </c>
      <c r="L4" s="2986">
        <v>43312</v>
      </c>
      <c r="M4" s="2985">
        <v>1055.8</v>
      </c>
      <c r="N4" s="2971">
        <v>281.32</v>
      </c>
      <c r="O4" s="2972">
        <v>7.3</v>
      </c>
    </row>
    <row r="5" spans="1:15">
      <c r="A5" s="2936">
        <v>68</v>
      </c>
      <c r="B5" s="2937" t="s">
        <v>3066</v>
      </c>
      <c r="C5" s="2936" t="str">
        <f t="shared" si="0"/>
        <v>50</v>
      </c>
      <c r="D5" s="2936">
        <v>4956.67</v>
      </c>
      <c r="E5">
        <f>M6+M7+M8</f>
        <v>2330</v>
      </c>
      <c r="F5" s="2970">
        <v>3</v>
      </c>
      <c r="G5" s="2983">
        <v>66</v>
      </c>
      <c r="H5" s="2984" t="s">
        <v>3096</v>
      </c>
      <c r="I5" s="2984" t="s">
        <v>3097</v>
      </c>
      <c r="J5" s="2985">
        <v>6</v>
      </c>
      <c r="K5" s="2986">
        <v>41091</v>
      </c>
      <c r="L5" s="2986">
        <v>43281</v>
      </c>
      <c r="M5" s="2985">
        <v>1214.4100000000001</v>
      </c>
      <c r="N5" s="2971">
        <v>203.9</v>
      </c>
      <c r="O5" s="2972">
        <v>4.5999999999999996</v>
      </c>
    </row>
    <row r="6" spans="1:15">
      <c r="A6" s="2937" t="s">
        <v>3072</v>
      </c>
      <c r="B6" s="2937" t="s">
        <v>3065</v>
      </c>
      <c r="C6" s="2936" t="str">
        <f t="shared" si="0"/>
        <v>50</v>
      </c>
      <c r="D6" s="2936">
        <v>1470.37</v>
      </c>
      <c r="F6" s="2970">
        <v>5</v>
      </c>
      <c r="G6" s="2983">
        <v>68</v>
      </c>
      <c r="H6" s="2984" t="s">
        <v>3098</v>
      </c>
      <c r="I6" s="2984" t="s">
        <v>3099</v>
      </c>
      <c r="J6" s="2985" t="s">
        <v>3100</v>
      </c>
      <c r="K6" s="2986">
        <v>39904</v>
      </c>
      <c r="L6" s="2986">
        <v>43235</v>
      </c>
      <c r="M6" s="2985">
        <v>860</v>
      </c>
      <c r="N6" s="2971">
        <v>114.89</v>
      </c>
      <c r="O6" s="2972">
        <v>3.66</v>
      </c>
    </row>
    <row r="7" spans="1:15">
      <c r="A7" s="2932">
        <v>69</v>
      </c>
      <c r="B7" s="2933" t="s">
        <v>3066</v>
      </c>
      <c r="C7" s="2932" t="str">
        <f t="shared" si="0"/>
        <v>50</v>
      </c>
      <c r="D7" s="2932">
        <v>1135.2</v>
      </c>
      <c r="E7">
        <f>M9+M10</f>
        <v>980.8</v>
      </c>
      <c r="F7" s="2970">
        <v>6</v>
      </c>
      <c r="G7" s="2983">
        <v>68</v>
      </c>
      <c r="H7" s="2984" t="s">
        <v>3101</v>
      </c>
      <c r="I7" s="2984" t="s">
        <v>3102</v>
      </c>
      <c r="J7" s="2985">
        <v>20</v>
      </c>
      <c r="K7" s="2986">
        <v>39203</v>
      </c>
      <c r="L7" s="2986">
        <v>48213</v>
      </c>
      <c r="M7" s="2985">
        <v>590</v>
      </c>
      <c r="N7" s="2971">
        <v>9.48</v>
      </c>
      <c r="O7" s="2972">
        <v>0.44</v>
      </c>
    </row>
    <row r="8" spans="1:15">
      <c r="A8" s="2933" t="s">
        <v>3071</v>
      </c>
      <c r="B8" s="2933" t="s">
        <v>3065</v>
      </c>
      <c r="C8" s="2932" t="str">
        <f t="shared" si="0"/>
        <v>50</v>
      </c>
      <c r="D8" s="2932">
        <v>263.3</v>
      </c>
      <c r="F8" s="2970">
        <v>7</v>
      </c>
      <c r="G8" s="2983">
        <v>68</v>
      </c>
      <c r="H8" s="2984" t="s">
        <v>3103</v>
      </c>
      <c r="I8" s="2984" t="s">
        <v>3104</v>
      </c>
      <c r="J8" s="2985">
        <v>6</v>
      </c>
      <c r="K8" s="2986">
        <v>40940</v>
      </c>
      <c r="L8" s="2986">
        <v>43131</v>
      </c>
      <c r="M8" s="2985">
        <v>880</v>
      </c>
      <c r="N8" s="2971">
        <v>64.239999999999995</v>
      </c>
      <c r="O8" s="2972">
        <v>2</v>
      </c>
    </row>
    <row r="9" spans="1:15">
      <c r="A9" s="2981">
        <v>70</v>
      </c>
      <c r="B9" s="2982" t="s">
        <v>3066</v>
      </c>
      <c r="C9" s="2981" t="str">
        <f t="shared" si="0"/>
        <v>50</v>
      </c>
      <c r="D9" s="2981">
        <v>716.2</v>
      </c>
      <c r="E9">
        <f>D9</f>
        <v>716.2</v>
      </c>
      <c r="F9" s="2970">
        <v>8</v>
      </c>
      <c r="G9" s="2983">
        <v>69</v>
      </c>
      <c r="H9" s="2984" t="s">
        <v>3105</v>
      </c>
      <c r="I9" s="2984" t="s">
        <v>3106</v>
      </c>
      <c r="J9" s="2985">
        <v>9</v>
      </c>
      <c r="K9" s="2986">
        <v>39924</v>
      </c>
      <c r="L9" s="2986">
        <v>43210</v>
      </c>
      <c r="M9" s="2985">
        <v>800.8</v>
      </c>
      <c r="N9" s="2971">
        <v>203.59</v>
      </c>
      <c r="O9" s="2972" t="s">
        <v>3107</v>
      </c>
    </row>
    <row r="10" spans="1:15">
      <c r="A10">
        <v>73</v>
      </c>
      <c r="B10" s="2931" t="s">
        <v>3066</v>
      </c>
      <c r="C10" t="str">
        <f t="shared" si="0"/>
        <v>50</v>
      </c>
      <c r="D10">
        <v>761.8</v>
      </c>
      <c r="E10">
        <f>D10</f>
        <v>761.8</v>
      </c>
      <c r="F10" s="2970">
        <v>9</v>
      </c>
      <c r="G10" s="2983">
        <v>69</v>
      </c>
      <c r="H10" s="2984" t="s">
        <v>3108</v>
      </c>
      <c r="I10" s="2984" t="s">
        <v>3109</v>
      </c>
      <c r="J10" s="2985">
        <v>6</v>
      </c>
      <c r="K10" s="2986">
        <v>41183</v>
      </c>
      <c r="L10" s="2986">
        <v>43373</v>
      </c>
      <c r="M10" s="2985">
        <v>180</v>
      </c>
      <c r="N10" s="2971">
        <v>46.65</v>
      </c>
      <c r="O10" s="2972">
        <v>7.1</v>
      </c>
    </row>
    <row r="11" spans="1:15">
      <c r="A11" s="2981">
        <v>74</v>
      </c>
      <c r="B11" s="2982" t="s">
        <v>3066</v>
      </c>
      <c r="C11" s="2981" t="str">
        <f t="shared" si="0"/>
        <v>50</v>
      </c>
      <c r="D11" s="2981">
        <v>1080.3</v>
      </c>
      <c r="E11">
        <f>D11</f>
        <v>1080.3</v>
      </c>
      <c r="F11" s="2970">
        <v>10</v>
      </c>
      <c r="G11" s="2987">
        <v>73</v>
      </c>
      <c r="H11" s="2988" t="s">
        <v>3110</v>
      </c>
      <c r="I11" s="2988" t="s">
        <v>3111</v>
      </c>
      <c r="J11" s="2989">
        <v>5</v>
      </c>
      <c r="K11" s="2990">
        <v>42417</v>
      </c>
      <c r="L11" s="2990">
        <v>44243</v>
      </c>
      <c r="M11" s="2989">
        <v>417.7</v>
      </c>
      <c r="N11" s="2971">
        <v>106.72</v>
      </c>
      <c r="O11" s="2972">
        <v>7</v>
      </c>
    </row>
    <row r="12" spans="1:15">
      <c r="A12" s="2938">
        <v>75</v>
      </c>
      <c r="B12" s="2938" t="s">
        <v>3066</v>
      </c>
      <c r="C12" t="str">
        <f t="shared" si="0"/>
        <v>50</v>
      </c>
      <c r="D12" s="2938">
        <v>1023</v>
      </c>
      <c r="E12">
        <f>M17+M18+M20</f>
        <v>1008.5</v>
      </c>
      <c r="F12" s="2970">
        <v>11</v>
      </c>
      <c r="G12" s="2983">
        <v>70</v>
      </c>
      <c r="H12" s="2984" t="s">
        <v>3112</v>
      </c>
      <c r="I12" s="2984" t="s">
        <v>3113</v>
      </c>
      <c r="J12" s="2985">
        <v>5</v>
      </c>
      <c r="K12" s="2986">
        <v>42005</v>
      </c>
      <c r="L12" s="2986">
        <v>43830</v>
      </c>
      <c r="M12" s="2985">
        <v>716.2</v>
      </c>
      <c r="N12" s="2971">
        <v>261.41000000000003</v>
      </c>
      <c r="O12" s="2972">
        <v>10</v>
      </c>
    </row>
    <row r="13" spans="1:15">
      <c r="A13">
        <v>76</v>
      </c>
      <c r="B13" s="2931" t="s">
        <v>3066</v>
      </c>
      <c r="C13" t="str">
        <f t="shared" si="0"/>
        <v>50</v>
      </c>
      <c r="D13">
        <v>516.79999999999995</v>
      </c>
      <c r="E13">
        <f>M19</f>
        <v>531.29999999999995</v>
      </c>
      <c r="F13" s="2970">
        <v>12</v>
      </c>
      <c r="G13" s="2995">
        <v>73</v>
      </c>
      <c r="H13" s="2996" t="s">
        <v>3114</v>
      </c>
      <c r="I13" s="2996" t="s">
        <v>3115</v>
      </c>
      <c r="J13" s="2997">
        <v>5</v>
      </c>
      <c r="K13" s="2998">
        <v>42111</v>
      </c>
      <c r="L13" s="2998">
        <v>43937</v>
      </c>
      <c r="M13" s="2997">
        <v>119</v>
      </c>
      <c r="N13" s="2971">
        <v>31.27</v>
      </c>
      <c r="O13" s="2972">
        <v>7.2</v>
      </c>
    </row>
    <row r="14" spans="1:15">
      <c r="A14" s="2981">
        <v>77</v>
      </c>
      <c r="B14" s="2982" t="s">
        <v>3065</v>
      </c>
      <c r="C14" s="2981" t="str">
        <f t="shared" si="0"/>
        <v>50</v>
      </c>
      <c r="D14" s="2981">
        <v>1309.8</v>
      </c>
      <c r="E14">
        <f>D14</f>
        <v>1309.8</v>
      </c>
      <c r="F14" s="2970">
        <v>13</v>
      </c>
      <c r="G14" s="2995">
        <v>73</v>
      </c>
      <c r="H14" s="2996" t="s">
        <v>3116</v>
      </c>
      <c r="I14" s="2996" t="s">
        <v>3117</v>
      </c>
      <c r="J14" s="2997">
        <v>5</v>
      </c>
      <c r="K14" s="2998">
        <v>42111</v>
      </c>
      <c r="L14" s="2998">
        <v>43937</v>
      </c>
      <c r="M14" s="2997">
        <v>642.79999999999995</v>
      </c>
      <c r="N14" s="2971">
        <v>150.16</v>
      </c>
      <c r="O14" s="2972">
        <v>6.4</v>
      </c>
    </row>
    <row r="15" spans="1:15">
      <c r="A15" s="2932">
        <v>78</v>
      </c>
      <c r="B15" s="2933" t="s">
        <v>3073</v>
      </c>
      <c r="C15" s="2932" t="str">
        <f t="shared" si="0"/>
        <v>60</v>
      </c>
      <c r="D15" s="2932">
        <v>3711.6</v>
      </c>
      <c r="E15">
        <f>M22</f>
        <v>875</v>
      </c>
      <c r="F15" s="2970">
        <v>14</v>
      </c>
      <c r="G15" s="2983">
        <v>77</v>
      </c>
      <c r="H15" s="2984" t="s">
        <v>3118</v>
      </c>
      <c r="I15" s="2984" t="s">
        <v>3119</v>
      </c>
      <c r="J15" s="2985">
        <v>5</v>
      </c>
      <c r="K15" s="2986">
        <v>42370</v>
      </c>
      <c r="L15" s="2986">
        <v>44196</v>
      </c>
      <c r="M15" s="2985">
        <v>561.4</v>
      </c>
      <c r="N15" s="2971">
        <v>122.95</v>
      </c>
      <c r="O15" s="2972">
        <v>6</v>
      </c>
    </row>
    <row r="16" spans="1:15">
      <c r="A16" s="2933" t="s">
        <v>3074</v>
      </c>
      <c r="B16" s="2933" t="s">
        <v>3073</v>
      </c>
      <c r="C16" s="2932" t="str">
        <f t="shared" si="0"/>
        <v>60</v>
      </c>
      <c r="D16" s="2932">
        <v>63.3</v>
      </c>
      <c r="F16" s="2970">
        <v>15</v>
      </c>
      <c r="G16" s="2983">
        <v>77</v>
      </c>
      <c r="H16" s="2984" t="s">
        <v>3120</v>
      </c>
      <c r="I16" s="2984" t="s">
        <v>3121</v>
      </c>
      <c r="J16" s="2985">
        <v>5</v>
      </c>
      <c r="K16" s="2986">
        <v>42491</v>
      </c>
      <c r="L16" s="2986">
        <v>44316</v>
      </c>
      <c r="M16" s="2985">
        <v>748.4</v>
      </c>
      <c r="N16" s="2971">
        <v>204.87</v>
      </c>
      <c r="O16" s="2972">
        <v>7.5</v>
      </c>
    </row>
    <row r="17" spans="1:15">
      <c r="A17">
        <v>79</v>
      </c>
      <c r="B17" s="2931" t="s">
        <v>3073</v>
      </c>
      <c r="C17" t="str">
        <f t="shared" si="0"/>
        <v>60</v>
      </c>
      <c r="D17">
        <v>2640.1</v>
      </c>
      <c r="E17">
        <f>M24+M25+M26+M27</f>
        <v>2540.1</v>
      </c>
      <c r="F17" s="2970">
        <v>16</v>
      </c>
      <c r="G17" s="3003">
        <v>75</v>
      </c>
      <c r="H17" s="3004" t="s">
        <v>3122</v>
      </c>
      <c r="I17" s="3004" t="s">
        <v>3123</v>
      </c>
      <c r="J17" s="3005">
        <v>5</v>
      </c>
      <c r="K17" s="3006">
        <v>41214</v>
      </c>
      <c r="L17" s="3006">
        <v>43038</v>
      </c>
      <c r="M17" s="3005">
        <v>245.85</v>
      </c>
      <c r="N17" s="2971">
        <v>42.18</v>
      </c>
      <c r="O17" s="2972">
        <v>4.7</v>
      </c>
    </row>
    <row r="18" spans="1:15">
      <c r="A18" s="2932">
        <v>80</v>
      </c>
      <c r="B18" s="2933" t="s">
        <v>3073</v>
      </c>
      <c r="C18" s="2932" t="str">
        <f t="shared" si="0"/>
        <v>60</v>
      </c>
      <c r="D18" s="2932">
        <v>7024</v>
      </c>
      <c r="E18">
        <f>M23+M28+M29+M30+M31+M32+M33+M34+M35+M36</f>
        <v>6669.8</v>
      </c>
      <c r="F18" s="2970">
        <v>17</v>
      </c>
      <c r="G18" s="3003">
        <v>75</v>
      </c>
      <c r="H18" s="3004" t="s">
        <v>3124</v>
      </c>
      <c r="I18" s="3004" t="s">
        <v>3125</v>
      </c>
      <c r="J18" s="3005">
        <v>5</v>
      </c>
      <c r="K18" s="3006">
        <v>41228</v>
      </c>
      <c r="L18" s="3006">
        <v>43053</v>
      </c>
      <c r="M18" s="3005">
        <v>245.85</v>
      </c>
      <c r="N18" s="2971">
        <v>42.18</v>
      </c>
      <c r="O18" s="2972">
        <v>4.7</v>
      </c>
    </row>
    <row r="19" spans="1:15">
      <c r="A19" s="2933" t="s">
        <v>3075</v>
      </c>
      <c r="B19" s="2933" t="s">
        <v>3073</v>
      </c>
      <c r="C19" s="2932" t="str">
        <f t="shared" si="0"/>
        <v>60</v>
      </c>
      <c r="D19" s="2932">
        <v>63.6</v>
      </c>
      <c r="F19" s="2970">
        <v>18</v>
      </c>
      <c r="G19" s="3011">
        <v>76</v>
      </c>
      <c r="H19" s="3012" t="s">
        <v>3126</v>
      </c>
      <c r="I19" s="3012" t="s">
        <v>3127</v>
      </c>
      <c r="J19" s="3013">
        <v>5</v>
      </c>
      <c r="K19" s="3014">
        <v>42917</v>
      </c>
      <c r="L19" s="3014">
        <v>44742</v>
      </c>
      <c r="M19" s="3013">
        <v>531.29999999999995</v>
      </c>
      <c r="N19" s="2971">
        <v>96.96</v>
      </c>
      <c r="O19" s="2972">
        <v>5</v>
      </c>
    </row>
    <row r="20" spans="1:15">
      <c r="A20" s="3024">
        <v>81</v>
      </c>
      <c r="B20" s="3025" t="s">
        <v>3073</v>
      </c>
      <c r="C20" s="3024" t="str">
        <f t="shared" si="0"/>
        <v>60</v>
      </c>
      <c r="D20" s="3024">
        <v>3674.6</v>
      </c>
      <c r="E20">
        <f>M37+M38+M39+M40+M41+M42+M43+M44+M45+M46+M47+M48+M49+M50+M51+M52+M53+M54+M55+M56</f>
        <v>4217.2</v>
      </c>
      <c r="F20" s="2970">
        <v>19</v>
      </c>
      <c r="G20" s="3003">
        <v>75</v>
      </c>
      <c r="H20" s="3004" t="s">
        <v>3128</v>
      </c>
      <c r="I20" s="3004" t="s">
        <v>3129</v>
      </c>
      <c r="J20" s="3005">
        <v>5</v>
      </c>
      <c r="K20" s="3006">
        <v>42917</v>
      </c>
      <c r="L20" s="3006">
        <v>44742</v>
      </c>
      <c r="M20" s="3005">
        <v>516.79999999999995</v>
      </c>
      <c r="N20" s="2971">
        <v>94.32</v>
      </c>
      <c r="O20" s="2972">
        <v>5</v>
      </c>
    </row>
    <row r="21" spans="1:15">
      <c r="A21" s="3025" t="s">
        <v>3076</v>
      </c>
      <c r="B21" s="3025" t="s">
        <v>3073</v>
      </c>
      <c r="C21" s="3024" t="str">
        <f t="shared" si="0"/>
        <v>60</v>
      </c>
      <c r="D21" s="3024">
        <v>495.9</v>
      </c>
      <c r="F21" s="2970">
        <v>20</v>
      </c>
      <c r="G21" s="2983">
        <v>74</v>
      </c>
      <c r="H21" s="2984" t="s">
        <v>3130</v>
      </c>
      <c r="I21" s="2984" t="s">
        <v>3102</v>
      </c>
      <c r="J21" s="2985">
        <v>20</v>
      </c>
      <c r="K21" s="2986">
        <v>39814</v>
      </c>
      <c r="L21" s="2986">
        <v>48213</v>
      </c>
      <c r="M21" s="2985">
        <v>1080.3</v>
      </c>
      <c r="N21" s="2985">
        <v>39.43</v>
      </c>
      <c r="O21" s="2972">
        <v>1</v>
      </c>
    </row>
    <row r="22" spans="1:15">
      <c r="A22" s="3025" t="s">
        <v>3075</v>
      </c>
      <c r="B22" s="3025" t="s">
        <v>3073</v>
      </c>
      <c r="C22" s="3024" t="str">
        <f t="shared" si="0"/>
        <v>60</v>
      </c>
      <c r="D22" s="3024">
        <v>46.7</v>
      </c>
      <c r="F22" s="2970">
        <v>21</v>
      </c>
      <c r="G22" s="2999">
        <v>78</v>
      </c>
      <c r="H22" s="3000" t="s">
        <v>3131</v>
      </c>
      <c r="I22" s="3000" t="s">
        <v>3132</v>
      </c>
      <c r="J22" s="3001" t="s">
        <v>1330</v>
      </c>
      <c r="K22" s="3002">
        <v>43009</v>
      </c>
      <c r="L22" s="3002">
        <v>43100</v>
      </c>
      <c r="M22" s="3001">
        <v>875</v>
      </c>
      <c r="N22" s="2971">
        <v>51.9</v>
      </c>
      <c r="O22" s="2972">
        <v>6.5</v>
      </c>
    </row>
    <row r="23" spans="1:15">
      <c r="A23" s="2939">
        <v>87</v>
      </c>
      <c r="B23" s="2940" t="s">
        <v>3073</v>
      </c>
      <c r="C23" s="2939" t="str">
        <f t="shared" si="0"/>
        <v>60</v>
      </c>
      <c r="D23" s="2939">
        <v>28523.14</v>
      </c>
      <c r="E23">
        <f>M57+M58+M59+M60+M61+M62+M63+M64+M65+M66+M67+M68+M69+M70+M71+M72+M73</f>
        <v>27877.57</v>
      </c>
      <c r="F23" s="2970">
        <v>22</v>
      </c>
      <c r="G23" s="3015">
        <v>80</v>
      </c>
      <c r="H23" s="3016" t="s">
        <v>3133</v>
      </c>
      <c r="I23" s="3016" t="s">
        <v>3134</v>
      </c>
      <c r="J23" s="3017">
        <v>6</v>
      </c>
      <c r="K23" s="3018">
        <v>40909</v>
      </c>
      <c r="L23" s="3018">
        <v>43100</v>
      </c>
      <c r="M23" s="3017">
        <v>1680</v>
      </c>
      <c r="N23" s="2971">
        <v>294.33999999999997</v>
      </c>
      <c r="O23" s="2972">
        <v>4.8</v>
      </c>
    </row>
    <row r="24" spans="1:15">
      <c r="A24" s="2940" t="s">
        <v>3077</v>
      </c>
      <c r="B24" s="2940" t="s">
        <v>3073</v>
      </c>
      <c r="C24" s="2939" t="str">
        <f t="shared" si="0"/>
        <v>60</v>
      </c>
      <c r="D24" s="2939">
        <v>8280.93</v>
      </c>
      <c r="E24">
        <f>SUM(E2:E23)</f>
        <v>53322.78</v>
      </c>
      <c r="F24" s="2970">
        <v>23</v>
      </c>
      <c r="G24" s="3007">
        <v>79</v>
      </c>
      <c r="H24" s="3008" t="s">
        <v>3135</v>
      </c>
      <c r="I24" s="3008" t="s">
        <v>3136</v>
      </c>
      <c r="J24" s="3009">
        <v>5</v>
      </c>
      <c r="K24" s="3010">
        <v>42979</v>
      </c>
      <c r="L24" s="3010">
        <v>44804</v>
      </c>
      <c r="M24" s="3009">
        <v>1125</v>
      </c>
      <c r="N24" s="2971">
        <v>615.94000000000005</v>
      </c>
      <c r="O24" s="2972">
        <v>15</v>
      </c>
    </row>
    <row r="25" spans="1:15">
      <c r="A25" s="2940" t="s">
        <v>3078</v>
      </c>
      <c r="B25" s="2940" t="s">
        <v>3073</v>
      </c>
      <c r="C25" s="2939" t="str">
        <f t="shared" si="0"/>
        <v>60</v>
      </c>
      <c r="D25" s="2939">
        <v>80.099999999999994</v>
      </c>
      <c r="E25">
        <v>54111.57</v>
      </c>
      <c r="F25" s="2970">
        <v>24</v>
      </c>
      <c r="G25" s="3007">
        <v>79</v>
      </c>
      <c r="H25" s="3008" t="s">
        <v>3137</v>
      </c>
      <c r="I25" s="3008" t="s">
        <v>3138</v>
      </c>
      <c r="J25" s="3009">
        <v>5</v>
      </c>
      <c r="K25" s="3010">
        <v>41665</v>
      </c>
      <c r="L25" s="3010">
        <v>43479</v>
      </c>
      <c r="M25" s="3009">
        <v>1160.45</v>
      </c>
      <c r="N25" s="2971">
        <v>436.27</v>
      </c>
      <c r="O25" s="2972">
        <v>10.3</v>
      </c>
    </row>
    <row r="26" spans="1:15">
      <c r="A26" s="2940" t="s">
        <v>3079</v>
      </c>
      <c r="B26" s="2940" t="s">
        <v>3073</v>
      </c>
      <c r="C26" s="2939" t="str">
        <f t="shared" si="0"/>
        <v>60</v>
      </c>
      <c r="D26" s="2939">
        <v>204.09</v>
      </c>
      <c r="E26">
        <f>E25-E24</f>
        <v>788.79000000000087</v>
      </c>
      <c r="F26" s="2970">
        <v>25</v>
      </c>
      <c r="G26" s="3007">
        <v>79</v>
      </c>
      <c r="H26" s="3008" t="s">
        <v>3137</v>
      </c>
      <c r="I26" s="3008" t="s">
        <v>3139</v>
      </c>
      <c r="J26" s="3009">
        <v>5</v>
      </c>
      <c r="K26" s="3010">
        <v>41665</v>
      </c>
      <c r="L26" s="3010">
        <v>43479</v>
      </c>
      <c r="M26" s="3009">
        <v>45.62</v>
      </c>
      <c r="N26" s="2971">
        <v>17.149999999999999</v>
      </c>
      <c r="O26" s="2972">
        <v>10.3</v>
      </c>
    </row>
    <row r="27" spans="1:15">
      <c r="F27" s="2970">
        <v>26</v>
      </c>
      <c r="G27" s="3007">
        <v>79</v>
      </c>
      <c r="H27" s="3008" t="s">
        <v>3137</v>
      </c>
      <c r="I27" s="3008" t="s">
        <v>3140</v>
      </c>
      <c r="J27" s="3009">
        <v>5</v>
      </c>
      <c r="K27" s="3010">
        <v>41665</v>
      </c>
      <c r="L27" s="3010">
        <v>43479</v>
      </c>
      <c r="M27" s="3009">
        <v>209.03</v>
      </c>
      <c r="N27" s="2971">
        <v>78.58</v>
      </c>
      <c r="O27" s="2972">
        <v>10.3</v>
      </c>
    </row>
    <row r="28" spans="1:15">
      <c r="A28" s="3026" t="s">
        <v>3060</v>
      </c>
      <c r="B28" s="3026" t="s">
        <v>3061</v>
      </c>
      <c r="C28" s="3026" t="s">
        <v>3067</v>
      </c>
      <c r="D28" s="3026" t="s">
        <v>3062</v>
      </c>
      <c r="F28" s="2970">
        <v>27</v>
      </c>
      <c r="G28" s="3015">
        <v>80</v>
      </c>
      <c r="H28" s="3016" t="s">
        <v>3141</v>
      </c>
      <c r="I28" s="3016" t="s">
        <v>3142</v>
      </c>
      <c r="J28" s="3017">
        <v>5</v>
      </c>
      <c r="K28" s="3018">
        <v>42962</v>
      </c>
      <c r="L28" s="3018">
        <v>44787</v>
      </c>
      <c r="M28" s="3017">
        <v>1300</v>
      </c>
      <c r="N28" s="2971">
        <v>348.76</v>
      </c>
      <c r="O28" s="2972">
        <v>7.35</v>
      </c>
    </row>
    <row r="29" spans="1:15">
      <c r="A29" s="3027">
        <v>24</v>
      </c>
      <c r="B29" s="3026" t="s">
        <v>3065</v>
      </c>
      <c r="C29" s="3027" t="str">
        <f>IF(B29="钢混","60",IF(B29="混合","50","40"))</f>
        <v>50</v>
      </c>
      <c r="D29" s="3028">
        <v>154.19999999999999</v>
      </c>
      <c r="F29" s="2970">
        <v>29</v>
      </c>
      <c r="G29" s="3015">
        <v>80</v>
      </c>
      <c r="H29" s="3016" t="s">
        <v>3143</v>
      </c>
      <c r="I29" s="3016" t="s">
        <v>3144</v>
      </c>
      <c r="J29" s="3017">
        <v>2</v>
      </c>
      <c r="K29" s="3018">
        <v>42979</v>
      </c>
      <c r="L29" s="3018">
        <v>43708</v>
      </c>
      <c r="M29" s="3017">
        <v>160.80000000000001</v>
      </c>
      <c r="N29" s="2971">
        <v>44.37</v>
      </c>
      <c r="O29" s="2972">
        <v>7.56</v>
      </c>
    </row>
    <row r="30" spans="1:15">
      <c r="A30" s="3027">
        <v>64</v>
      </c>
      <c r="B30" s="3026" t="s">
        <v>3066</v>
      </c>
      <c r="C30" s="3027" t="str">
        <f t="shared" ref="C30:C32" si="1">IF(B30="钢混","60",IF(B30="混合","50","40"))</f>
        <v>50</v>
      </c>
      <c r="D30" s="3027">
        <v>1055.8</v>
      </c>
      <c r="F30" s="2970">
        <v>30</v>
      </c>
      <c r="G30" s="3015">
        <v>80</v>
      </c>
      <c r="H30" s="3016" t="s">
        <v>3145</v>
      </c>
      <c r="I30" s="3016" t="s">
        <v>3146</v>
      </c>
      <c r="J30" s="3017">
        <v>1</v>
      </c>
      <c r="K30" s="3018">
        <v>42750</v>
      </c>
      <c r="L30" s="3018">
        <v>43114</v>
      </c>
      <c r="M30" s="3017">
        <v>150</v>
      </c>
      <c r="N30" s="2971">
        <v>39.64</v>
      </c>
      <c r="O30" s="2972">
        <v>7.24</v>
      </c>
    </row>
    <row r="31" spans="1:15">
      <c r="A31" s="3026">
        <v>66</v>
      </c>
      <c r="B31" s="3026" t="s">
        <v>3066</v>
      </c>
      <c r="C31" s="3027" t="str">
        <f t="shared" si="1"/>
        <v>50</v>
      </c>
      <c r="D31" s="3027">
        <v>1214.4100000000001</v>
      </c>
      <c r="F31" s="2970">
        <v>31</v>
      </c>
      <c r="G31" s="3015">
        <v>80</v>
      </c>
      <c r="H31" s="3016" t="s">
        <v>3147</v>
      </c>
      <c r="I31" s="3016" t="s">
        <v>3148</v>
      </c>
      <c r="J31" s="3017">
        <v>3</v>
      </c>
      <c r="K31" s="3018">
        <v>42856</v>
      </c>
      <c r="L31" s="3018">
        <v>43951</v>
      </c>
      <c r="M31" s="3017">
        <v>266</v>
      </c>
      <c r="N31" s="2971">
        <v>71.17</v>
      </c>
      <c r="O31" s="2972">
        <v>7.33</v>
      </c>
    </row>
    <row r="32" spans="1:15">
      <c r="A32" s="3027">
        <v>68</v>
      </c>
      <c r="B32" s="3026" t="s">
        <v>3066</v>
      </c>
      <c r="C32" s="3027" t="str">
        <f t="shared" si="1"/>
        <v>50</v>
      </c>
      <c r="D32" s="3027">
        <f>E5</f>
        <v>2330</v>
      </c>
      <c r="F32" s="2970">
        <v>32</v>
      </c>
      <c r="G32" s="3015">
        <v>80</v>
      </c>
      <c r="H32" s="3016" t="s">
        <v>3149</v>
      </c>
      <c r="I32" s="3016" t="s">
        <v>3150</v>
      </c>
      <c r="J32" s="3017">
        <v>2</v>
      </c>
      <c r="K32" s="3018">
        <v>42865</v>
      </c>
      <c r="L32" s="3018">
        <v>43594</v>
      </c>
      <c r="M32" s="3017">
        <v>407</v>
      </c>
      <c r="N32" s="2971">
        <v>106.22</v>
      </c>
      <c r="O32" s="2972">
        <v>7.15</v>
      </c>
    </row>
    <row r="33" spans="1:15">
      <c r="A33" s="3027">
        <v>69</v>
      </c>
      <c r="B33" s="3026" t="s">
        <v>3066</v>
      </c>
      <c r="C33" s="3027" t="str">
        <f t="shared" ref="C33:C44" si="2">IF(B33="钢混","60",IF(B33="混合","50","40"))</f>
        <v>50</v>
      </c>
      <c r="D33" s="3027">
        <f>E7</f>
        <v>980.8</v>
      </c>
      <c r="F33" s="2970">
        <v>33</v>
      </c>
      <c r="G33" s="3015">
        <v>80</v>
      </c>
      <c r="H33" s="3016" t="s">
        <v>3151</v>
      </c>
      <c r="I33" s="3016" t="s">
        <v>3152</v>
      </c>
      <c r="J33" s="3017">
        <v>1</v>
      </c>
      <c r="K33" s="3018">
        <v>42916</v>
      </c>
      <c r="L33" s="3018">
        <v>43280</v>
      </c>
      <c r="M33" s="3017">
        <v>335</v>
      </c>
      <c r="N33" s="2971">
        <v>89.26</v>
      </c>
      <c r="O33" s="2972">
        <v>7.3</v>
      </c>
    </row>
    <row r="34" spans="1:15">
      <c r="A34" s="3027">
        <v>70</v>
      </c>
      <c r="B34" s="3026" t="s">
        <v>3066</v>
      </c>
      <c r="C34" s="3027" t="str">
        <f t="shared" si="2"/>
        <v>50</v>
      </c>
      <c r="D34" s="3027">
        <v>716.2</v>
      </c>
      <c r="F34" s="2970">
        <v>34</v>
      </c>
      <c r="G34" s="3015">
        <v>80</v>
      </c>
      <c r="H34" s="3016" t="s">
        <v>3153</v>
      </c>
      <c r="I34" s="3016" t="s">
        <v>3154</v>
      </c>
      <c r="J34" s="3017">
        <v>3</v>
      </c>
      <c r="K34" s="3018">
        <v>42449</v>
      </c>
      <c r="L34" s="3018">
        <v>43543</v>
      </c>
      <c r="M34" s="3017">
        <v>266</v>
      </c>
      <c r="N34" s="2971">
        <v>71.849999999999994</v>
      </c>
      <c r="O34" s="2972">
        <v>7.4</v>
      </c>
    </row>
    <row r="35" spans="1:15">
      <c r="A35" s="3027">
        <v>73</v>
      </c>
      <c r="B35" s="3026" t="s">
        <v>3066</v>
      </c>
      <c r="C35" s="3027" t="str">
        <f t="shared" si="2"/>
        <v>50</v>
      </c>
      <c r="D35" s="3027">
        <f>E10</f>
        <v>761.8</v>
      </c>
      <c r="F35" s="2970">
        <v>35</v>
      </c>
      <c r="G35" s="3015">
        <v>80</v>
      </c>
      <c r="H35" s="3016" t="s">
        <v>3155</v>
      </c>
      <c r="I35" s="3016" t="s">
        <v>3156</v>
      </c>
      <c r="J35" s="3017">
        <v>5</v>
      </c>
      <c r="K35" s="3018">
        <v>42444</v>
      </c>
      <c r="L35" s="3018">
        <v>44269</v>
      </c>
      <c r="M35" s="3017">
        <v>1800</v>
      </c>
      <c r="N35" s="2971">
        <v>446.76</v>
      </c>
      <c r="O35" s="2972">
        <v>6.8</v>
      </c>
    </row>
    <row r="36" spans="1:15">
      <c r="A36" s="3027">
        <v>74</v>
      </c>
      <c r="B36" s="3026" t="s">
        <v>3066</v>
      </c>
      <c r="C36" s="3027" t="str">
        <f t="shared" si="2"/>
        <v>50</v>
      </c>
      <c r="D36" s="3027">
        <v>1080.3</v>
      </c>
      <c r="F36" s="2970">
        <v>36</v>
      </c>
      <c r="G36" s="3015">
        <v>80</v>
      </c>
      <c r="H36" s="3016" t="s">
        <v>3157</v>
      </c>
      <c r="I36" s="3016" t="s">
        <v>3158</v>
      </c>
      <c r="J36" s="3017">
        <v>1</v>
      </c>
      <c r="K36" s="3018">
        <v>43028</v>
      </c>
      <c r="L36" s="3018">
        <v>43392</v>
      </c>
      <c r="M36" s="3017">
        <v>305</v>
      </c>
      <c r="N36" s="2971">
        <v>90.17</v>
      </c>
      <c r="O36" s="2972">
        <v>8.1</v>
      </c>
    </row>
    <row r="37" spans="1:15">
      <c r="A37" s="3029">
        <v>75</v>
      </c>
      <c r="B37" s="3029" t="s">
        <v>3066</v>
      </c>
      <c r="C37" s="3027" t="str">
        <f t="shared" si="2"/>
        <v>50</v>
      </c>
      <c r="D37" s="3029">
        <f>E12</f>
        <v>1008.5</v>
      </c>
      <c r="F37" s="2970">
        <v>37</v>
      </c>
      <c r="G37" s="2991">
        <v>81</v>
      </c>
      <c r="H37" s="2992" t="s">
        <v>3159</v>
      </c>
      <c r="I37" s="2992" t="s">
        <v>3160</v>
      </c>
      <c r="J37" s="2993">
        <v>5</v>
      </c>
      <c r="K37" s="2994">
        <v>43076</v>
      </c>
      <c r="L37" s="2994">
        <v>44901</v>
      </c>
      <c r="M37" s="2993">
        <v>398.09</v>
      </c>
      <c r="N37" s="2971">
        <v>181.63</v>
      </c>
      <c r="O37" s="2972">
        <v>12.5</v>
      </c>
    </row>
    <row r="38" spans="1:15">
      <c r="A38" s="3027">
        <v>76</v>
      </c>
      <c r="B38" s="3026" t="s">
        <v>3066</v>
      </c>
      <c r="C38" s="3027" t="str">
        <f t="shared" si="2"/>
        <v>50</v>
      </c>
      <c r="D38" s="3027">
        <f>D13</f>
        <v>516.79999999999995</v>
      </c>
      <c r="F38" s="2970">
        <v>38</v>
      </c>
      <c r="G38" s="2991">
        <v>81</v>
      </c>
      <c r="H38" s="2992" t="s">
        <v>3161</v>
      </c>
      <c r="I38" s="2992" t="s">
        <v>3162</v>
      </c>
      <c r="J38" s="2993">
        <v>5</v>
      </c>
      <c r="K38" s="2994">
        <v>42109</v>
      </c>
      <c r="L38" s="2994">
        <v>43935</v>
      </c>
      <c r="M38" s="2993">
        <v>475</v>
      </c>
      <c r="N38" s="2971">
        <v>116.16</v>
      </c>
      <c r="O38" s="2972">
        <v>6.7</v>
      </c>
    </row>
    <row r="39" spans="1:15">
      <c r="A39" s="3027">
        <v>77</v>
      </c>
      <c r="B39" s="3026" t="s">
        <v>3065</v>
      </c>
      <c r="C39" s="3027" t="str">
        <f t="shared" si="2"/>
        <v>50</v>
      </c>
      <c r="D39" s="3027">
        <v>1309.8</v>
      </c>
      <c r="F39" s="2970">
        <v>39</v>
      </c>
      <c r="G39" s="2991">
        <v>81</v>
      </c>
      <c r="H39" s="2992" t="s">
        <v>3163</v>
      </c>
      <c r="I39" s="2992" t="s">
        <v>3164</v>
      </c>
      <c r="J39" s="2993">
        <v>5</v>
      </c>
      <c r="K39" s="2994">
        <v>42200</v>
      </c>
      <c r="L39" s="2994">
        <v>44026</v>
      </c>
      <c r="M39" s="2993">
        <v>805</v>
      </c>
      <c r="N39" s="2971">
        <v>196.19</v>
      </c>
      <c r="O39" s="2972">
        <v>6.68</v>
      </c>
    </row>
    <row r="40" spans="1:15">
      <c r="A40" s="3027">
        <v>78</v>
      </c>
      <c r="B40" s="3026" t="s">
        <v>3073</v>
      </c>
      <c r="C40" s="3027" t="str">
        <f t="shared" si="2"/>
        <v>60</v>
      </c>
      <c r="D40" s="3027">
        <f>E15</f>
        <v>875</v>
      </c>
      <c r="F40" s="2970">
        <v>40</v>
      </c>
      <c r="G40" s="2991">
        <v>81</v>
      </c>
      <c r="H40" s="2992" t="s">
        <v>3165</v>
      </c>
      <c r="I40" s="2992" t="s">
        <v>3166</v>
      </c>
      <c r="J40" s="2993" t="s">
        <v>3167</v>
      </c>
      <c r="K40" s="2994">
        <v>42795</v>
      </c>
      <c r="L40" s="2994">
        <v>44026</v>
      </c>
      <c r="M40" s="2993">
        <v>146.12</v>
      </c>
      <c r="N40" s="2971">
        <v>48</v>
      </c>
      <c r="O40" s="2972">
        <v>9</v>
      </c>
    </row>
    <row r="41" spans="1:15">
      <c r="A41" s="3027">
        <v>79</v>
      </c>
      <c r="B41" s="3026" t="s">
        <v>3073</v>
      </c>
      <c r="C41" s="3027" t="str">
        <f t="shared" si="2"/>
        <v>60</v>
      </c>
      <c r="D41" s="3027">
        <f>E17</f>
        <v>2540.1</v>
      </c>
      <c r="F41" s="2970">
        <v>41</v>
      </c>
      <c r="G41" s="2991">
        <v>81</v>
      </c>
      <c r="H41" s="2992" t="s">
        <v>3168</v>
      </c>
      <c r="I41" s="2992" t="s">
        <v>3169</v>
      </c>
      <c r="J41" s="2993">
        <v>5</v>
      </c>
      <c r="K41" s="2994">
        <v>42200</v>
      </c>
      <c r="L41" s="2994">
        <v>44026</v>
      </c>
      <c r="M41" s="2993">
        <v>50.96</v>
      </c>
      <c r="N41" s="2971">
        <v>12.42</v>
      </c>
      <c r="O41" s="2972">
        <v>6.68</v>
      </c>
    </row>
    <row r="42" spans="1:15">
      <c r="A42" s="3027">
        <v>80</v>
      </c>
      <c r="B42" s="3026" t="s">
        <v>3073</v>
      </c>
      <c r="C42" s="3027" t="str">
        <f t="shared" si="2"/>
        <v>60</v>
      </c>
      <c r="D42" s="3027">
        <f>E18</f>
        <v>6669.8</v>
      </c>
      <c r="F42" s="2970">
        <v>42</v>
      </c>
      <c r="G42" s="2991">
        <v>81</v>
      </c>
      <c r="H42" s="2992" t="s">
        <v>3170</v>
      </c>
      <c r="I42" s="2992" t="s">
        <v>3171</v>
      </c>
      <c r="J42" s="2993">
        <v>5</v>
      </c>
      <c r="K42" s="2994">
        <v>42200</v>
      </c>
      <c r="L42" s="2994">
        <v>44026</v>
      </c>
      <c r="M42" s="2993">
        <v>68.7</v>
      </c>
      <c r="N42" s="2971">
        <v>10.96</v>
      </c>
      <c r="O42" s="2972">
        <v>4.37</v>
      </c>
    </row>
    <row r="43" spans="1:15">
      <c r="A43" s="3027">
        <v>81</v>
      </c>
      <c r="B43" s="3026" t="s">
        <v>3073</v>
      </c>
      <c r="C43" s="3027" t="str">
        <f t="shared" si="2"/>
        <v>60</v>
      </c>
      <c r="D43" s="3027">
        <f>E20</f>
        <v>4217.2</v>
      </c>
      <c r="F43" s="2970">
        <v>43</v>
      </c>
      <c r="G43" s="2991">
        <v>81</v>
      </c>
      <c r="H43" s="2992" t="s">
        <v>3172</v>
      </c>
      <c r="I43" s="2992" t="s">
        <v>3173</v>
      </c>
      <c r="J43" s="2993">
        <v>5</v>
      </c>
      <c r="K43" s="2994">
        <v>42200</v>
      </c>
      <c r="L43" s="2994">
        <v>44026</v>
      </c>
      <c r="M43" s="2993">
        <v>104.59</v>
      </c>
      <c r="N43" s="2971">
        <v>25.49</v>
      </c>
      <c r="O43" s="2972">
        <v>6.68</v>
      </c>
    </row>
    <row r="44" spans="1:15">
      <c r="A44" s="3027">
        <v>87</v>
      </c>
      <c r="B44" s="3026" t="s">
        <v>3073</v>
      </c>
      <c r="C44" s="3027" t="str">
        <f t="shared" si="2"/>
        <v>60</v>
      </c>
      <c r="D44" s="3027">
        <f>E23</f>
        <v>27877.57</v>
      </c>
      <c r="F44" s="2970">
        <v>44</v>
      </c>
      <c r="G44" s="2991">
        <v>81</v>
      </c>
      <c r="H44" s="2992" t="s">
        <v>3174</v>
      </c>
      <c r="I44" s="2992" t="s">
        <v>3175</v>
      </c>
      <c r="J44" s="2993">
        <v>5</v>
      </c>
      <c r="K44" s="2994">
        <v>42200</v>
      </c>
      <c r="L44" s="2994">
        <v>44026</v>
      </c>
      <c r="M44" s="2993">
        <v>49.07</v>
      </c>
      <c r="N44" s="2971">
        <v>7.83</v>
      </c>
      <c r="O44" s="2972">
        <v>4.37</v>
      </c>
    </row>
    <row r="45" spans="1:15">
      <c r="D45">
        <f>SUM(D29:D44)</f>
        <v>53308.28</v>
      </c>
      <c r="F45" s="2970">
        <v>45</v>
      </c>
      <c r="G45" s="2991">
        <v>81</v>
      </c>
      <c r="H45" s="2992" t="s">
        <v>3176</v>
      </c>
      <c r="I45" s="2992" t="s">
        <v>3177</v>
      </c>
      <c r="J45" s="2993">
        <v>5</v>
      </c>
      <c r="K45" s="2994">
        <v>42200</v>
      </c>
      <c r="L45" s="2994">
        <v>44026</v>
      </c>
      <c r="M45" s="2993">
        <v>34.89</v>
      </c>
      <c r="N45" s="2971">
        <v>5.56</v>
      </c>
      <c r="O45" s="2972">
        <v>4.37</v>
      </c>
    </row>
    <row r="46" spans="1:15">
      <c r="A46" s="2933"/>
      <c r="B46" s="2933"/>
      <c r="C46" s="2932"/>
      <c r="D46" s="2932"/>
      <c r="F46" s="2970">
        <v>46</v>
      </c>
      <c r="G46" s="2991">
        <v>81</v>
      </c>
      <c r="H46" s="2992" t="s">
        <v>3178</v>
      </c>
      <c r="I46" s="2992" t="s">
        <v>3179</v>
      </c>
      <c r="J46" s="2993" t="s">
        <v>3167</v>
      </c>
      <c r="K46" s="2994">
        <v>42795</v>
      </c>
      <c r="L46" s="2994">
        <v>44026</v>
      </c>
      <c r="M46" s="2993">
        <v>80.42</v>
      </c>
      <c r="N46" s="2971">
        <v>22.53</v>
      </c>
      <c r="O46" s="2972">
        <v>7.6769999999999996</v>
      </c>
    </row>
    <row r="47" spans="1:15">
      <c r="F47" s="2970">
        <v>47</v>
      </c>
      <c r="G47" s="2991">
        <v>81</v>
      </c>
      <c r="H47" s="2992" t="s">
        <v>3180</v>
      </c>
      <c r="I47" s="2992" t="s">
        <v>3181</v>
      </c>
      <c r="J47" s="2993" t="s">
        <v>3167</v>
      </c>
      <c r="K47" s="2994">
        <v>42795</v>
      </c>
      <c r="L47" s="2994">
        <v>44026</v>
      </c>
      <c r="M47" s="2993">
        <v>75.239999999999995</v>
      </c>
      <c r="N47" s="2971">
        <v>31.58</v>
      </c>
      <c r="O47" s="2972">
        <v>11.5</v>
      </c>
    </row>
    <row r="48" spans="1:15">
      <c r="A48" s="3025"/>
      <c r="B48" s="3025"/>
      <c r="C48" s="3024"/>
      <c r="D48" s="3024"/>
      <c r="F48" s="2970">
        <v>48</v>
      </c>
      <c r="G48" s="2991">
        <v>81</v>
      </c>
      <c r="H48" s="2992" t="s">
        <v>3182</v>
      </c>
      <c r="I48" s="2992" t="s">
        <v>3183</v>
      </c>
      <c r="J48" s="2993">
        <v>3</v>
      </c>
      <c r="K48" s="2994">
        <v>42200</v>
      </c>
      <c r="L48" s="2994">
        <v>43295</v>
      </c>
      <c r="M48" s="2993">
        <v>13.4</v>
      </c>
      <c r="N48" s="2971">
        <v>3.27</v>
      </c>
      <c r="O48" s="2972">
        <v>6.68</v>
      </c>
    </row>
    <row r="49" spans="1:15">
      <c r="A49" s="3025"/>
      <c r="B49" s="3025"/>
      <c r="C49" s="3024"/>
      <c r="D49" s="3024"/>
      <c r="F49" s="2970">
        <v>49</v>
      </c>
      <c r="G49" s="2991">
        <v>81</v>
      </c>
      <c r="H49" s="2992" t="s">
        <v>3184</v>
      </c>
      <c r="I49" s="2992" t="s">
        <v>3185</v>
      </c>
      <c r="J49" s="2993" t="s">
        <v>3167</v>
      </c>
      <c r="K49" s="2994">
        <v>42795</v>
      </c>
      <c r="L49" s="2994">
        <v>44026</v>
      </c>
      <c r="M49" s="2993">
        <v>83.1</v>
      </c>
      <c r="N49" s="2971">
        <v>21.33</v>
      </c>
      <c r="O49" s="2972">
        <v>7.6769999999999996</v>
      </c>
    </row>
    <row r="50" spans="1:15">
      <c r="F50" s="2970">
        <v>50</v>
      </c>
      <c r="G50" s="2991">
        <v>81</v>
      </c>
      <c r="H50" s="2992" t="s">
        <v>3186</v>
      </c>
      <c r="I50" s="2992" t="s">
        <v>3187</v>
      </c>
      <c r="J50" s="2993">
        <v>5</v>
      </c>
      <c r="K50" s="2994">
        <v>42200</v>
      </c>
      <c r="L50" s="2994">
        <v>44026</v>
      </c>
      <c r="M50" s="2993">
        <v>91.16</v>
      </c>
      <c r="N50" s="2971">
        <v>22.22</v>
      </c>
      <c r="O50" s="2972">
        <v>6.68</v>
      </c>
    </row>
    <row r="51" spans="1:15">
      <c r="A51" s="2940"/>
      <c r="B51" s="2940"/>
      <c r="C51" s="2939"/>
      <c r="D51" s="2939"/>
      <c r="F51" s="2970">
        <v>51</v>
      </c>
      <c r="G51" s="2991">
        <v>81</v>
      </c>
      <c r="H51" s="2992" t="s">
        <v>3188</v>
      </c>
      <c r="I51" s="2992" t="s">
        <v>3189</v>
      </c>
      <c r="J51" s="2993">
        <v>2</v>
      </c>
      <c r="K51" s="2994">
        <v>42200</v>
      </c>
      <c r="L51" s="2994">
        <v>44026</v>
      </c>
      <c r="M51" s="2993">
        <v>53.64</v>
      </c>
      <c r="N51" s="2971">
        <v>13.07</v>
      </c>
      <c r="O51" s="2972">
        <v>6.68</v>
      </c>
    </row>
    <row r="52" spans="1:15">
      <c r="A52" s="2940"/>
      <c r="B52" s="2940"/>
      <c r="C52" s="2939"/>
      <c r="D52" s="2939"/>
      <c r="F52" s="2970">
        <v>52</v>
      </c>
      <c r="G52" s="2991">
        <v>81</v>
      </c>
      <c r="H52" s="2992" t="s">
        <v>3190</v>
      </c>
      <c r="I52" s="2992" t="s">
        <v>3191</v>
      </c>
      <c r="J52" s="2993">
        <v>3</v>
      </c>
      <c r="K52" s="2994">
        <v>42200</v>
      </c>
      <c r="L52" s="2994">
        <v>43295</v>
      </c>
      <c r="M52" s="2993">
        <v>37.56</v>
      </c>
      <c r="N52" s="2971">
        <v>9.15</v>
      </c>
      <c r="O52" s="2972">
        <v>6.68</v>
      </c>
    </row>
    <row r="53" spans="1:15">
      <c r="A53" s="2940"/>
      <c r="B53" s="2940"/>
      <c r="C53" s="2939"/>
      <c r="D53" s="2939"/>
      <c r="F53" s="2970">
        <v>53</v>
      </c>
      <c r="G53" s="2991">
        <v>81</v>
      </c>
      <c r="H53" s="2992" t="s">
        <v>3192</v>
      </c>
      <c r="I53" s="2992" t="s">
        <v>3193</v>
      </c>
      <c r="J53" s="2993">
        <v>3</v>
      </c>
      <c r="K53" s="2994">
        <v>42200</v>
      </c>
      <c r="L53" s="2994">
        <v>43295</v>
      </c>
      <c r="M53" s="2993">
        <v>85.05</v>
      </c>
      <c r="N53" s="2971">
        <v>34.15</v>
      </c>
      <c r="O53" s="2972">
        <v>11</v>
      </c>
    </row>
    <row r="54" spans="1:15">
      <c r="F54" s="2970">
        <v>54</v>
      </c>
      <c r="G54" s="2991">
        <v>81</v>
      </c>
      <c r="H54" s="2992" t="s">
        <v>3194</v>
      </c>
      <c r="I54" s="2992" t="s">
        <v>3195</v>
      </c>
      <c r="J54" s="2993">
        <v>10</v>
      </c>
      <c r="K54" s="2994">
        <v>39814</v>
      </c>
      <c r="L54" s="2994">
        <v>43465</v>
      </c>
      <c r="M54" s="2993">
        <v>475</v>
      </c>
      <c r="N54" s="2971">
        <v>78.89</v>
      </c>
      <c r="O54" s="2972">
        <v>4.55</v>
      </c>
    </row>
    <row r="55" spans="1:15">
      <c r="F55" s="2970">
        <v>55</v>
      </c>
      <c r="G55" s="2991">
        <v>81</v>
      </c>
      <c r="H55" s="2992" t="s">
        <v>3196</v>
      </c>
      <c r="I55" s="2992" t="s">
        <v>3195</v>
      </c>
      <c r="J55" s="2993">
        <v>3</v>
      </c>
      <c r="K55" s="2994">
        <v>42370</v>
      </c>
      <c r="L55" s="2994">
        <v>43465</v>
      </c>
      <c r="M55" s="2993">
        <v>280</v>
      </c>
      <c r="N55" s="2971">
        <v>20.440000000000001</v>
      </c>
      <c r="O55" s="2972">
        <v>2</v>
      </c>
    </row>
    <row r="56" spans="1:15">
      <c r="F56" s="2970">
        <v>56</v>
      </c>
      <c r="G56" s="2991">
        <v>81</v>
      </c>
      <c r="H56" s="2992" t="s">
        <v>3197</v>
      </c>
      <c r="I56" s="2992" t="s">
        <v>3198</v>
      </c>
      <c r="J56" s="2993" t="s">
        <v>3199</v>
      </c>
      <c r="K56" s="2994">
        <v>39873</v>
      </c>
      <c r="L56" s="2994">
        <v>43100</v>
      </c>
      <c r="M56" s="2993">
        <v>810.21</v>
      </c>
      <c r="N56" s="2971">
        <v>100.55</v>
      </c>
      <c r="O56" s="2972">
        <v>3.4</v>
      </c>
    </row>
    <row r="57" spans="1:15">
      <c r="F57" s="2970">
        <v>57</v>
      </c>
      <c r="G57" s="3019">
        <v>87</v>
      </c>
      <c r="H57" s="3020" t="s">
        <v>3200</v>
      </c>
      <c r="I57" s="3020" t="s">
        <v>3201</v>
      </c>
      <c r="J57" s="3021">
        <v>5</v>
      </c>
      <c r="K57" s="3022">
        <v>43009</v>
      </c>
      <c r="L57" s="3022">
        <v>44834</v>
      </c>
      <c r="M57" s="3021">
        <v>593</v>
      </c>
      <c r="N57" s="2971">
        <v>292.2</v>
      </c>
      <c r="O57" s="2972">
        <v>13.5</v>
      </c>
    </row>
    <row r="58" spans="1:15">
      <c r="F58" s="2970">
        <v>58</v>
      </c>
      <c r="G58" s="3019">
        <v>87</v>
      </c>
      <c r="H58" s="3020" t="s">
        <v>3202</v>
      </c>
      <c r="I58" s="3020" t="s">
        <v>3203</v>
      </c>
      <c r="J58" s="3021">
        <v>5</v>
      </c>
      <c r="K58" s="3022">
        <v>42195</v>
      </c>
      <c r="L58" s="3022">
        <v>44021</v>
      </c>
      <c r="M58" s="3021">
        <v>3484.37</v>
      </c>
      <c r="N58" s="2971">
        <v>992</v>
      </c>
      <c r="O58" s="2972">
        <v>7.8</v>
      </c>
    </row>
    <row r="59" spans="1:15">
      <c r="F59" s="2970">
        <v>59</v>
      </c>
      <c r="G59" s="3019">
        <v>87</v>
      </c>
      <c r="H59" s="3020" t="s">
        <v>3204</v>
      </c>
      <c r="I59" s="3020" t="s">
        <v>3102</v>
      </c>
      <c r="J59" s="3021">
        <v>20</v>
      </c>
      <c r="K59" s="3022">
        <v>37773</v>
      </c>
      <c r="L59" s="3022">
        <v>47999</v>
      </c>
      <c r="M59" s="3021">
        <v>464</v>
      </c>
      <c r="N59" s="2971">
        <v>110</v>
      </c>
      <c r="O59" s="2972">
        <v>6.5</v>
      </c>
    </row>
    <row r="60" spans="1:15">
      <c r="F60" s="2970">
        <v>60</v>
      </c>
      <c r="G60" s="3019">
        <v>87</v>
      </c>
      <c r="H60" s="3020" t="s">
        <v>3205</v>
      </c>
      <c r="I60" s="3020" t="s">
        <v>3206</v>
      </c>
      <c r="J60" s="3021">
        <v>5</v>
      </c>
      <c r="K60" s="3022">
        <v>42887</v>
      </c>
      <c r="L60" s="3022">
        <v>44712</v>
      </c>
      <c r="M60" s="3021">
        <v>2920</v>
      </c>
      <c r="N60" s="2971">
        <v>746.06</v>
      </c>
      <c r="O60" s="2972">
        <v>7</v>
      </c>
    </row>
    <row r="61" spans="1:15">
      <c r="F61" s="2970">
        <v>61</v>
      </c>
      <c r="G61" s="3019">
        <v>87</v>
      </c>
      <c r="H61" s="3020" t="s">
        <v>3207</v>
      </c>
      <c r="I61" s="3020" t="s">
        <v>3208</v>
      </c>
      <c r="J61" s="3021">
        <v>5</v>
      </c>
      <c r="K61" s="3022">
        <v>42385</v>
      </c>
      <c r="L61" s="3022">
        <v>43115</v>
      </c>
      <c r="M61" s="3021">
        <v>22</v>
      </c>
      <c r="N61" s="2971">
        <v>8.0299999999999994</v>
      </c>
      <c r="O61" s="2972">
        <v>10</v>
      </c>
    </row>
    <row r="62" spans="1:15">
      <c r="F62" s="2970">
        <v>62</v>
      </c>
      <c r="G62" s="3019">
        <v>87</v>
      </c>
      <c r="H62" s="3020" t="s">
        <v>3209</v>
      </c>
      <c r="I62" s="3020" t="s">
        <v>3210</v>
      </c>
      <c r="J62" s="3021">
        <v>5</v>
      </c>
      <c r="K62" s="3022">
        <v>42236</v>
      </c>
      <c r="L62" s="3022">
        <v>44093</v>
      </c>
      <c r="M62" s="3021">
        <v>70</v>
      </c>
      <c r="N62" s="2971">
        <v>25.55</v>
      </c>
      <c r="O62" s="2972">
        <v>10</v>
      </c>
    </row>
    <row r="63" spans="1:15">
      <c r="F63" s="2970">
        <v>63</v>
      </c>
      <c r="G63" s="3019">
        <v>87</v>
      </c>
      <c r="H63" s="3020" t="s">
        <v>3211</v>
      </c>
      <c r="I63" s="3020" t="s">
        <v>3212</v>
      </c>
      <c r="J63" s="3021">
        <v>50</v>
      </c>
      <c r="K63" s="3022"/>
      <c r="L63" s="3022"/>
      <c r="M63" s="3021">
        <v>6735</v>
      </c>
      <c r="N63" s="2971">
        <v>0</v>
      </c>
      <c r="O63" s="2972"/>
    </row>
    <row r="64" spans="1:15">
      <c r="F64" s="2970">
        <v>64</v>
      </c>
      <c r="G64" s="3019">
        <v>87</v>
      </c>
      <c r="H64" s="3020" t="s">
        <v>3213</v>
      </c>
      <c r="I64" s="3020" t="s">
        <v>3214</v>
      </c>
      <c r="J64" s="3021">
        <v>20</v>
      </c>
      <c r="K64" s="3022">
        <v>37257</v>
      </c>
      <c r="L64" s="3022">
        <v>44561</v>
      </c>
      <c r="M64" s="3021">
        <v>5750</v>
      </c>
      <c r="N64" s="2971">
        <v>447.03</v>
      </c>
      <c r="O64" s="2972">
        <v>2.13</v>
      </c>
    </row>
    <row r="65" spans="6:15">
      <c r="F65" s="2970">
        <v>65</v>
      </c>
      <c r="G65" s="3019">
        <v>87</v>
      </c>
      <c r="H65" s="3020" t="s">
        <v>3215</v>
      </c>
      <c r="I65" s="3020" t="s">
        <v>3214</v>
      </c>
      <c r="J65" s="3021" t="s">
        <v>3216</v>
      </c>
      <c r="K65" s="3022">
        <v>43009</v>
      </c>
      <c r="L65" s="3022">
        <v>44439</v>
      </c>
      <c r="M65" s="3021">
        <v>83</v>
      </c>
      <c r="N65" s="2971">
        <v>30.3</v>
      </c>
      <c r="O65" s="2972">
        <v>10</v>
      </c>
    </row>
    <row r="66" spans="6:15">
      <c r="F66" s="2970">
        <v>66</v>
      </c>
      <c r="G66" s="3019">
        <v>87</v>
      </c>
      <c r="H66" s="3020" t="s">
        <v>3217</v>
      </c>
      <c r="I66" s="3020" t="s">
        <v>3218</v>
      </c>
      <c r="J66" s="3021" t="s">
        <v>3219</v>
      </c>
      <c r="K66" s="3022" t="s">
        <v>3220</v>
      </c>
      <c r="L66" s="3022" t="s">
        <v>3221</v>
      </c>
      <c r="M66" s="3021">
        <v>238</v>
      </c>
      <c r="N66" s="2971">
        <v>69.5</v>
      </c>
      <c r="O66" s="2972">
        <v>8</v>
      </c>
    </row>
    <row r="67" spans="6:15">
      <c r="F67" s="2970">
        <v>67</v>
      </c>
      <c r="G67" s="3019">
        <v>87</v>
      </c>
      <c r="H67" s="3020" t="s">
        <v>3222</v>
      </c>
      <c r="I67" s="3020" t="s">
        <v>3214</v>
      </c>
      <c r="J67" s="3021">
        <v>2</v>
      </c>
      <c r="K67" s="3022">
        <v>42505</v>
      </c>
      <c r="L67" s="3022">
        <v>43234</v>
      </c>
      <c r="M67" s="3021">
        <v>92.2</v>
      </c>
      <c r="N67" s="2971">
        <v>6.73</v>
      </c>
      <c r="O67" s="2972">
        <v>2</v>
      </c>
    </row>
    <row r="68" spans="6:15">
      <c r="F68" s="2970">
        <v>68</v>
      </c>
      <c r="G68" s="3019">
        <v>87</v>
      </c>
      <c r="H68" s="3020" t="s">
        <v>3223</v>
      </c>
      <c r="I68" s="3020" t="s">
        <v>3218</v>
      </c>
      <c r="J68" s="3021">
        <v>2</v>
      </c>
      <c r="K68" s="3022">
        <v>42475</v>
      </c>
      <c r="L68" s="3022">
        <v>43204</v>
      </c>
      <c r="M68" s="3021">
        <v>1072.5</v>
      </c>
      <c r="N68" s="2971">
        <v>313.17</v>
      </c>
      <c r="O68" s="2972">
        <v>8</v>
      </c>
    </row>
    <row r="69" spans="6:15">
      <c r="F69" s="2970">
        <v>69</v>
      </c>
      <c r="G69" s="3019">
        <v>87</v>
      </c>
      <c r="H69" s="3020" t="s">
        <v>3224</v>
      </c>
      <c r="I69" s="3020" t="s">
        <v>3225</v>
      </c>
      <c r="J69" s="3021">
        <v>2</v>
      </c>
      <c r="K69" s="3022">
        <v>42475</v>
      </c>
      <c r="L69" s="3022">
        <v>43204</v>
      </c>
      <c r="M69" s="3021">
        <v>1072.5</v>
      </c>
      <c r="N69" s="2971">
        <v>313.17</v>
      </c>
      <c r="O69" s="2972">
        <v>8</v>
      </c>
    </row>
    <row r="70" spans="6:15">
      <c r="F70" s="2970">
        <v>70</v>
      </c>
      <c r="G70" s="3019">
        <v>87</v>
      </c>
      <c r="H70" s="3020" t="s">
        <v>3226</v>
      </c>
      <c r="I70" s="3020" t="s">
        <v>3227</v>
      </c>
      <c r="J70" s="3021">
        <v>5</v>
      </c>
      <c r="K70" s="3022">
        <v>42536</v>
      </c>
      <c r="L70" s="3022">
        <v>44361</v>
      </c>
      <c r="M70" s="3021">
        <v>365</v>
      </c>
      <c r="N70" s="2971">
        <v>96.59</v>
      </c>
      <c r="O70" s="2972">
        <v>7.25</v>
      </c>
    </row>
    <row r="71" spans="6:15">
      <c r="F71" s="2970">
        <v>71</v>
      </c>
      <c r="G71" s="3019">
        <v>87</v>
      </c>
      <c r="H71" s="3020" t="s">
        <v>3228</v>
      </c>
      <c r="I71" s="3020" t="s">
        <v>3229</v>
      </c>
      <c r="J71" s="3021">
        <v>10</v>
      </c>
      <c r="K71" s="3022">
        <v>40648</v>
      </c>
      <c r="L71" s="3022">
        <v>44300</v>
      </c>
      <c r="M71" s="3021">
        <v>1626</v>
      </c>
      <c r="N71" s="2971">
        <v>293.18</v>
      </c>
      <c r="O71" s="2972">
        <v>4.9400000000000004</v>
      </c>
    </row>
    <row r="72" spans="6:15">
      <c r="F72" s="2970">
        <v>72</v>
      </c>
      <c r="G72" s="3019">
        <v>87</v>
      </c>
      <c r="H72" s="3020" t="s">
        <v>3230</v>
      </c>
      <c r="I72" s="3020" t="s">
        <v>3229</v>
      </c>
      <c r="J72" s="3021">
        <v>10</v>
      </c>
      <c r="K72" s="3022">
        <v>40634</v>
      </c>
      <c r="L72" s="3022">
        <v>43935</v>
      </c>
      <c r="M72" s="3021">
        <v>2720</v>
      </c>
      <c r="N72" s="2971">
        <v>291.88</v>
      </c>
      <c r="O72" s="2972">
        <v>2.94</v>
      </c>
    </row>
    <row r="73" spans="6:15">
      <c r="F73" s="2969">
        <v>73</v>
      </c>
      <c r="G73" s="3019">
        <v>87</v>
      </c>
      <c r="H73" s="3023" t="s">
        <v>3231</v>
      </c>
      <c r="I73" s="3023" t="s">
        <v>3232</v>
      </c>
      <c r="J73" s="3023">
        <v>5</v>
      </c>
      <c r="K73" s="3022">
        <v>43009</v>
      </c>
      <c r="L73" s="3022">
        <v>44834</v>
      </c>
      <c r="M73" s="3023">
        <v>570</v>
      </c>
      <c r="N73" s="2969">
        <v>62.42</v>
      </c>
      <c r="O73" s="2969">
        <v>3</v>
      </c>
    </row>
    <row r="77" spans="6:15">
      <c r="F77" s="2931" t="s">
        <v>3237</v>
      </c>
    </row>
    <row r="78" spans="6:15">
      <c r="F78">
        <f>M67+M73</f>
        <v>662.2</v>
      </c>
    </row>
    <row r="79" spans="6:15">
      <c r="F79" s="2931" t="s">
        <v>3238</v>
      </c>
    </row>
    <row r="80" spans="6:15">
      <c r="F80">
        <f>M7+M8+239.6+M55</f>
        <v>1989.6</v>
      </c>
    </row>
  </sheetData>
  <mergeCells count="4">
    <mergeCell ref="L1:L2"/>
    <mergeCell ref="M1:M2"/>
    <mergeCell ref="J1:J2"/>
    <mergeCell ref="K1:K2"/>
  </mergeCells>
  <phoneticPr fontId="143" type="noConversion"/>
  <dataValidations count="1">
    <dataValidation type="list" allowBlank="1" showInputMessage="1" showErrorMessage="1" sqref="B2:B26 B46 B29:B44 B48:B49 B51:B53">
      <formula1>"钢混,混合,砖木"</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activeCell="I29" sqref="I29"/>
    </sheetView>
  </sheetViews>
  <sheetFormatPr defaultRowHeight="13.5"/>
  <cols>
    <col min="3" max="3" width="40" customWidth="1"/>
    <col min="4" max="4" width="3.5" customWidth="1"/>
    <col min="5" max="5" width="11.25" bestFit="1" customWidth="1"/>
    <col min="6" max="6" width="14.625" bestFit="1" customWidth="1"/>
    <col min="7" max="7" width="15.625" bestFit="1" customWidth="1"/>
  </cols>
  <sheetData>
    <row r="1" spans="1:10">
      <c r="A1" s="2973" t="s">
        <v>3080</v>
      </c>
      <c r="B1" s="2973" t="s">
        <v>3081</v>
      </c>
      <c r="C1" s="2977" t="s">
        <v>3082</v>
      </c>
      <c r="D1" s="2977" t="s">
        <v>3083</v>
      </c>
      <c r="E1" s="3379" t="s">
        <v>3084</v>
      </c>
      <c r="F1" s="3379" t="s">
        <v>3085</v>
      </c>
      <c r="G1" s="3379" t="s">
        <v>3086</v>
      </c>
      <c r="H1" s="3379" t="s">
        <v>3087</v>
      </c>
      <c r="I1" s="2973" t="s">
        <v>3088</v>
      </c>
      <c r="J1" s="2974" t="s">
        <v>3089</v>
      </c>
    </row>
    <row r="2" spans="1:10" ht="14.25" thickBot="1">
      <c r="A2" s="2975"/>
      <c r="B2" s="2975"/>
      <c r="C2" s="2979"/>
      <c r="D2" s="2979"/>
      <c r="E2" s="3380"/>
      <c r="F2" s="3380"/>
      <c r="G2" s="3380"/>
      <c r="H2" s="3380"/>
      <c r="I2" s="2975" t="s">
        <v>3090</v>
      </c>
      <c r="J2" s="2976" t="s">
        <v>3091</v>
      </c>
    </row>
    <row r="3" spans="1:10">
      <c r="A3" s="2970">
        <v>57</v>
      </c>
      <c r="B3" s="3019">
        <v>87</v>
      </c>
      <c r="C3" s="3020" t="s">
        <v>3200</v>
      </c>
      <c r="D3" s="3020" t="s">
        <v>3201</v>
      </c>
      <c r="E3" s="3021">
        <v>5</v>
      </c>
      <c r="F3" s="3022">
        <v>43009</v>
      </c>
      <c r="G3" s="3022">
        <v>44834</v>
      </c>
      <c r="H3" s="3021">
        <v>593</v>
      </c>
      <c r="I3" s="2971">
        <v>292.2</v>
      </c>
      <c r="J3" s="2972">
        <v>13.5</v>
      </c>
    </row>
    <row r="4" spans="1:10" s="2932" customFormat="1">
      <c r="A4" s="2970">
        <v>58</v>
      </c>
      <c r="B4" s="2970">
        <v>87</v>
      </c>
      <c r="C4" s="3033" t="s">
        <v>3202</v>
      </c>
      <c r="D4" s="3033" t="s">
        <v>3203</v>
      </c>
      <c r="E4" s="2971">
        <v>5</v>
      </c>
      <c r="F4" s="3034">
        <v>42195</v>
      </c>
      <c r="G4" s="3034">
        <v>44021</v>
      </c>
      <c r="H4" s="2971">
        <v>3484.37</v>
      </c>
      <c r="I4" s="2971">
        <v>992</v>
      </c>
      <c r="J4" s="2972">
        <v>7.8</v>
      </c>
    </row>
    <row r="5" spans="1:10">
      <c r="A5" s="2999">
        <v>59</v>
      </c>
      <c r="B5" s="2999">
        <v>87</v>
      </c>
      <c r="C5" s="3000" t="s">
        <v>3204</v>
      </c>
      <c r="D5" s="3000" t="s">
        <v>3102</v>
      </c>
      <c r="E5" s="3001">
        <v>20</v>
      </c>
      <c r="F5" s="3002">
        <v>37773</v>
      </c>
      <c r="G5" s="3002">
        <v>47999</v>
      </c>
      <c r="H5" s="3001">
        <v>464</v>
      </c>
      <c r="I5" s="3001">
        <v>110</v>
      </c>
      <c r="J5" s="3035">
        <v>6.5</v>
      </c>
    </row>
    <row r="6" spans="1:10" s="2932" customFormat="1">
      <c r="A6" s="2970">
        <v>60</v>
      </c>
      <c r="B6" s="2970">
        <v>87</v>
      </c>
      <c r="C6" s="3033" t="s">
        <v>3205</v>
      </c>
      <c r="D6" s="3033" t="s">
        <v>3206</v>
      </c>
      <c r="E6" s="2971">
        <v>5</v>
      </c>
      <c r="F6" s="3034">
        <v>42887</v>
      </c>
      <c r="G6" s="3034">
        <v>44712</v>
      </c>
      <c r="H6" s="2971">
        <v>2920</v>
      </c>
      <c r="I6" s="2971">
        <v>746.06</v>
      </c>
      <c r="J6" s="2972">
        <v>7</v>
      </c>
    </row>
    <row r="7" spans="1:10">
      <c r="A7" s="2999">
        <v>61</v>
      </c>
      <c r="B7" s="2999">
        <v>87</v>
      </c>
      <c r="C7" s="3000" t="s">
        <v>3207</v>
      </c>
      <c r="D7" s="3000" t="s">
        <v>3208</v>
      </c>
      <c r="E7" s="3001">
        <v>5</v>
      </c>
      <c r="F7" s="3002">
        <v>42385</v>
      </c>
      <c r="G7" s="3002">
        <v>43115</v>
      </c>
      <c r="H7" s="3001">
        <v>22</v>
      </c>
      <c r="I7" s="3001">
        <v>8.0299999999999994</v>
      </c>
      <c r="J7" s="3035">
        <v>10</v>
      </c>
    </row>
    <row r="8" spans="1:10" s="2932" customFormat="1">
      <c r="A8" s="2970">
        <v>62</v>
      </c>
      <c r="B8" s="2970">
        <v>87</v>
      </c>
      <c r="C8" s="3033" t="s">
        <v>3209</v>
      </c>
      <c r="D8" s="3033" t="s">
        <v>3210</v>
      </c>
      <c r="E8" s="2971">
        <v>5</v>
      </c>
      <c r="F8" s="3034">
        <v>42236</v>
      </c>
      <c r="G8" s="3034">
        <v>44093</v>
      </c>
      <c r="H8" s="2971">
        <v>70</v>
      </c>
      <c r="I8" s="2971">
        <v>25.55</v>
      </c>
      <c r="J8" s="2972">
        <v>10</v>
      </c>
    </row>
    <row r="9" spans="1:10">
      <c r="A9" s="2999">
        <v>63</v>
      </c>
      <c r="B9" s="2999">
        <v>87</v>
      </c>
      <c r="C9" s="3000" t="s">
        <v>3211</v>
      </c>
      <c r="D9" s="3000" t="s">
        <v>3212</v>
      </c>
      <c r="E9" s="3001">
        <v>50</v>
      </c>
      <c r="F9" s="3002"/>
      <c r="G9" s="3002"/>
      <c r="H9" s="3001">
        <v>6735</v>
      </c>
      <c r="I9" s="3001">
        <v>0</v>
      </c>
      <c r="J9" s="3035"/>
    </row>
    <row r="10" spans="1:10">
      <c r="A10" s="2970">
        <v>64</v>
      </c>
      <c r="B10" s="2970">
        <v>87</v>
      </c>
      <c r="C10" s="3033" t="s">
        <v>3213</v>
      </c>
      <c r="D10" s="3033" t="s">
        <v>3214</v>
      </c>
      <c r="E10" s="2971">
        <v>20</v>
      </c>
      <c r="F10" s="3034">
        <v>37257</v>
      </c>
      <c r="G10" s="3034">
        <v>44561</v>
      </c>
      <c r="H10" s="2971">
        <v>5750</v>
      </c>
      <c r="I10" s="2971">
        <v>447.03</v>
      </c>
      <c r="J10" s="2972">
        <v>2.13</v>
      </c>
    </row>
    <row r="11" spans="1:10" s="2932" customFormat="1">
      <c r="A11" s="2970">
        <v>65</v>
      </c>
      <c r="B11" s="2970">
        <v>87</v>
      </c>
      <c r="C11" s="3033" t="s">
        <v>3215</v>
      </c>
      <c r="D11" s="3033" t="s">
        <v>3214</v>
      </c>
      <c r="E11" s="2971" t="s">
        <v>3216</v>
      </c>
      <c r="F11" s="3034">
        <v>43009</v>
      </c>
      <c r="G11" s="3034">
        <v>44439</v>
      </c>
      <c r="H11" s="2971">
        <v>83</v>
      </c>
      <c r="I11" s="2971">
        <v>30.3</v>
      </c>
      <c r="J11" s="2972">
        <v>10</v>
      </c>
    </row>
    <row r="12" spans="1:10" s="2932" customFormat="1">
      <c r="A12" s="2999">
        <v>66</v>
      </c>
      <c r="B12" s="2999">
        <v>87</v>
      </c>
      <c r="C12" s="3000" t="s">
        <v>3217</v>
      </c>
      <c r="D12" s="3000" t="s">
        <v>3218</v>
      </c>
      <c r="E12" s="3001" t="s">
        <v>3219</v>
      </c>
      <c r="F12" s="3002" t="s">
        <v>3220</v>
      </c>
      <c r="G12" s="3002" t="s">
        <v>3221</v>
      </c>
      <c r="H12" s="3001">
        <v>238</v>
      </c>
      <c r="I12" s="3001">
        <v>69.5</v>
      </c>
      <c r="J12" s="3035">
        <v>8</v>
      </c>
    </row>
    <row r="13" spans="1:10" s="2932" customFormat="1">
      <c r="A13" s="2999">
        <v>67</v>
      </c>
      <c r="B13" s="2999">
        <v>87</v>
      </c>
      <c r="C13" s="3000" t="s">
        <v>3222</v>
      </c>
      <c r="D13" s="3000" t="s">
        <v>3214</v>
      </c>
      <c r="E13" s="3001">
        <v>2</v>
      </c>
      <c r="F13" s="3002">
        <v>42505</v>
      </c>
      <c r="G13" s="3002">
        <v>43234</v>
      </c>
      <c r="H13" s="3001">
        <v>92.2</v>
      </c>
      <c r="I13" s="3001">
        <v>6.73</v>
      </c>
      <c r="J13" s="3035">
        <v>2</v>
      </c>
    </row>
    <row r="14" spans="1:10" s="2932" customFormat="1">
      <c r="A14" s="2999">
        <v>68</v>
      </c>
      <c r="B14" s="2999">
        <v>87</v>
      </c>
      <c r="C14" s="3000" t="s">
        <v>3223</v>
      </c>
      <c r="D14" s="3000" t="s">
        <v>3218</v>
      </c>
      <c r="E14" s="3001">
        <v>2</v>
      </c>
      <c r="F14" s="3002">
        <v>42475</v>
      </c>
      <c r="G14" s="3002">
        <v>43204</v>
      </c>
      <c r="H14" s="3001">
        <v>1072.5</v>
      </c>
      <c r="I14" s="3001">
        <v>313.17</v>
      </c>
      <c r="J14" s="3035">
        <v>8</v>
      </c>
    </row>
    <row r="15" spans="1:10">
      <c r="A15" s="2999">
        <v>69</v>
      </c>
      <c r="B15" s="2999">
        <v>87</v>
      </c>
      <c r="C15" s="3000" t="s">
        <v>3224</v>
      </c>
      <c r="D15" s="3000" t="s">
        <v>3225</v>
      </c>
      <c r="E15" s="3001">
        <v>2</v>
      </c>
      <c r="F15" s="3002">
        <v>42475</v>
      </c>
      <c r="G15" s="3002">
        <v>43204</v>
      </c>
      <c r="H15" s="3001">
        <v>1072.5</v>
      </c>
      <c r="I15" s="3001">
        <v>313.17</v>
      </c>
      <c r="J15" s="3035">
        <v>8</v>
      </c>
    </row>
    <row r="16" spans="1:10">
      <c r="A16" s="2970">
        <v>70</v>
      </c>
      <c r="B16" s="2970">
        <v>87</v>
      </c>
      <c r="C16" s="3033" t="s">
        <v>3226</v>
      </c>
      <c r="D16" s="3033" t="s">
        <v>3227</v>
      </c>
      <c r="E16" s="2971">
        <v>5</v>
      </c>
      <c r="F16" s="3034">
        <v>42536</v>
      </c>
      <c r="G16" s="3034">
        <v>44361</v>
      </c>
      <c r="H16" s="2971">
        <v>365</v>
      </c>
      <c r="I16" s="2971">
        <v>96.59</v>
      </c>
      <c r="J16" s="2972">
        <v>7.25</v>
      </c>
    </row>
    <row r="17" spans="1:10">
      <c r="A17" s="2970">
        <v>71</v>
      </c>
      <c r="B17" s="2970">
        <v>87</v>
      </c>
      <c r="C17" s="3033" t="s">
        <v>3228</v>
      </c>
      <c r="D17" s="3033" t="s">
        <v>3229</v>
      </c>
      <c r="E17" s="2971">
        <v>10</v>
      </c>
      <c r="F17" s="3034">
        <v>40648</v>
      </c>
      <c r="G17" s="3034">
        <v>44300</v>
      </c>
      <c r="H17" s="2971">
        <v>1626</v>
      </c>
      <c r="I17" s="2971">
        <v>293.18</v>
      </c>
      <c r="J17" s="2972">
        <v>4.9400000000000004</v>
      </c>
    </row>
    <row r="18" spans="1:10">
      <c r="A18" s="2970">
        <v>72</v>
      </c>
      <c r="B18" s="2970">
        <v>87</v>
      </c>
      <c r="C18" s="3033" t="s">
        <v>3230</v>
      </c>
      <c r="D18" s="3033" t="s">
        <v>3229</v>
      </c>
      <c r="E18" s="2971">
        <v>10</v>
      </c>
      <c r="F18" s="3034">
        <v>40634</v>
      </c>
      <c r="G18" s="3034">
        <v>43935</v>
      </c>
      <c r="H18" s="2971">
        <v>2720</v>
      </c>
      <c r="I18" s="2971">
        <v>291.88</v>
      </c>
      <c r="J18" s="2972">
        <v>2.94</v>
      </c>
    </row>
    <row r="19" spans="1:10">
      <c r="A19" s="2969">
        <v>73</v>
      </c>
      <c r="B19" s="2970">
        <v>87</v>
      </c>
      <c r="C19" s="2969" t="s">
        <v>3231</v>
      </c>
      <c r="D19" s="2969" t="s">
        <v>3232</v>
      </c>
      <c r="E19" s="2969">
        <v>5</v>
      </c>
      <c r="F19" s="3034">
        <v>43009</v>
      </c>
      <c r="G19" s="3034">
        <v>44834</v>
      </c>
      <c r="H19" s="2969">
        <v>570</v>
      </c>
      <c r="I19" s="2969">
        <v>62.42</v>
      </c>
      <c r="J19" s="2969">
        <v>3</v>
      </c>
    </row>
    <row r="22" spans="1:10">
      <c r="F22" s="2931" t="s">
        <v>3244</v>
      </c>
      <c r="G22">
        <f>I3+I4+I6+I8+I10+I11+I16+I17+I18+I19</f>
        <v>3277.2100000000005</v>
      </c>
    </row>
    <row r="23" spans="1:10">
      <c r="F23" s="2931" t="s">
        <v>3240</v>
      </c>
      <c r="G23">
        <f>H3+H4+H6+H8+H10+H11+H16+H17+H18+H19</f>
        <v>18181.37</v>
      </c>
    </row>
    <row r="24" spans="1:10">
      <c r="F24" s="2931" t="s">
        <v>3241</v>
      </c>
      <c r="G24" s="3036">
        <v>44834</v>
      </c>
    </row>
    <row r="25" spans="1:10">
      <c r="F25" s="2931" t="s">
        <v>3242</v>
      </c>
      <c r="G25">
        <v>4.8899999999999997</v>
      </c>
    </row>
    <row r="26" spans="1:10">
      <c r="F26" s="2931" t="s">
        <v>3243</v>
      </c>
      <c r="G26">
        <f>ROUND(((G22*10000)/G23)/365,2)</f>
        <v>4.9400000000000004</v>
      </c>
    </row>
    <row r="28" spans="1:10">
      <c r="F28" s="2931" t="s">
        <v>3262</v>
      </c>
      <c r="G28">
        <f>H5+H7+H9+H12+H13+H14+H15</f>
        <v>9696.2000000000007</v>
      </c>
    </row>
  </sheetData>
  <mergeCells count="4">
    <mergeCell ref="E1:E2"/>
    <mergeCell ref="F1:F2"/>
    <mergeCell ref="G1:G2"/>
    <mergeCell ref="H1:H2"/>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topLeftCell="A34" workbookViewId="0">
      <selection activeCell="H61" sqref="H61"/>
    </sheetView>
  </sheetViews>
  <sheetFormatPr defaultRowHeight="13.5"/>
  <cols>
    <col min="6" max="8" width="15.625" bestFit="1" customWidth="1"/>
  </cols>
  <sheetData>
    <row r="1" spans="1:10">
      <c r="A1" s="2973" t="s">
        <v>3080</v>
      </c>
      <c r="B1" s="2973" t="s">
        <v>3081</v>
      </c>
      <c r="C1" s="2977" t="s">
        <v>3082</v>
      </c>
      <c r="D1" s="2977" t="s">
        <v>3083</v>
      </c>
      <c r="E1" s="3379" t="s">
        <v>3084</v>
      </c>
      <c r="F1" s="3379" t="s">
        <v>3085</v>
      </c>
      <c r="G1" s="3379" t="s">
        <v>3086</v>
      </c>
      <c r="H1" s="3379" t="s">
        <v>3087</v>
      </c>
      <c r="I1" s="2973" t="s">
        <v>3088</v>
      </c>
      <c r="J1" s="2974" t="s">
        <v>3089</v>
      </c>
    </row>
    <row r="2" spans="1:10" ht="14.25" thickBot="1">
      <c r="A2" s="2975"/>
      <c r="B2" s="2975"/>
      <c r="C2" s="2979"/>
      <c r="D2" s="2979"/>
      <c r="E2" s="3380"/>
      <c r="F2" s="3380"/>
      <c r="G2" s="3380"/>
      <c r="H2" s="3380"/>
      <c r="I2" s="2975" t="s">
        <v>3090</v>
      </c>
      <c r="J2" s="2976" t="s">
        <v>3091</v>
      </c>
    </row>
    <row r="3" spans="1:10" s="2932" customFormat="1">
      <c r="A3" s="2999">
        <v>1</v>
      </c>
      <c r="B3" s="2999">
        <v>24</v>
      </c>
      <c r="C3" s="3000" t="s">
        <v>3092</v>
      </c>
      <c r="D3" s="3000" t="s">
        <v>3093</v>
      </c>
      <c r="E3" s="3001">
        <v>6</v>
      </c>
      <c r="F3" s="3002">
        <v>40909</v>
      </c>
      <c r="G3" s="3002">
        <v>43100</v>
      </c>
      <c r="H3" s="3001">
        <v>154.19999999999999</v>
      </c>
      <c r="I3" s="3001">
        <v>30.96</v>
      </c>
      <c r="J3" s="3035">
        <v>5.5</v>
      </c>
    </row>
    <row r="4" spans="1:10" s="2932" customFormat="1">
      <c r="A4" s="2999">
        <v>2</v>
      </c>
      <c r="B4" s="2999">
        <v>64</v>
      </c>
      <c r="C4" s="3000" t="s">
        <v>3094</v>
      </c>
      <c r="D4" s="3000" t="s">
        <v>3095</v>
      </c>
      <c r="E4" s="3001">
        <v>5</v>
      </c>
      <c r="F4" s="3002">
        <v>41487</v>
      </c>
      <c r="G4" s="3002">
        <v>43312</v>
      </c>
      <c r="H4" s="3001">
        <v>1055.8</v>
      </c>
      <c r="I4" s="3001">
        <v>281.32</v>
      </c>
      <c r="J4" s="3035">
        <v>7.3</v>
      </c>
    </row>
    <row r="5" spans="1:10" s="2932" customFormat="1">
      <c r="A5" s="2999">
        <v>3</v>
      </c>
      <c r="B5" s="2999">
        <v>66</v>
      </c>
      <c r="C5" s="3000" t="s">
        <v>3096</v>
      </c>
      <c r="D5" s="3000" t="s">
        <v>3097</v>
      </c>
      <c r="E5" s="3001">
        <v>6</v>
      </c>
      <c r="F5" s="3002">
        <v>41091</v>
      </c>
      <c r="G5" s="3002">
        <v>43281</v>
      </c>
      <c r="H5" s="3001">
        <v>1214.4100000000001</v>
      </c>
      <c r="I5" s="3001">
        <v>203.9</v>
      </c>
      <c r="J5" s="3035">
        <v>4.5999999999999996</v>
      </c>
    </row>
    <row r="6" spans="1:10" s="2932" customFormat="1">
      <c r="A6" s="2999">
        <v>5</v>
      </c>
      <c r="B6" s="2999">
        <v>68</v>
      </c>
      <c r="C6" s="3000" t="s">
        <v>3098</v>
      </c>
      <c r="D6" s="3000" t="s">
        <v>3099</v>
      </c>
      <c r="E6" s="3001" t="s">
        <v>3100</v>
      </c>
      <c r="F6" s="3002">
        <v>39904</v>
      </c>
      <c r="G6" s="3002">
        <v>43235</v>
      </c>
      <c r="H6" s="3001">
        <v>860</v>
      </c>
      <c r="I6" s="3001">
        <v>114.89</v>
      </c>
      <c r="J6" s="3035">
        <v>3.66</v>
      </c>
    </row>
    <row r="7" spans="1:10" s="2939" customFormat="1">
      <c r="A7" s="2987">
        <v>6</v>
      </c>
      <c r="B7" s="2987">
        <v>68</v>
      </c>
      <c r="C7" s="2988" t="s">
        <v>3101</v>
      </c>
      <c r="D7" s="2988" t="s">
        <v>3102</v>
      </c>
      <c r="E7" s="2989">
        <v>20</v>
      </c>
      <c r="F7" s="2990">
        <v>39203</v>
      </c>
      <c r="G7" s="2990">
        <v>48213</v>
      </c>
      <c r="H7" s="2989">
        <v>590</v>
      </c>
      <c r="I7" s="2989">
        <v>9.48</v>
      </c>
      <c r="J7" s="3037">
        <v>0.44</v>
      </c>
    </row>
    <row r="8" spans="1:10" s="2932" customFormat="1">
      <c r="A8" s="2999">
        <v>7</v>
      </c>
      <c r="B8" s="2999">
        <v>68</v>
      </c>
      <c r="C8" s="3000" t="s">
        <v>3103</v>
      </c>
      <c r="D8" s="3000" t="s">
        <v>3104</v>
      </c>
      <c r="E8" s="3001">
        <v>6</v>
      </c>
      <c r="F8" s="3002">
        <v>40940</v>
      </c>
      <c r="G8" s="3002">
        <v>43131</v>
      </c>
      <c r="H8" s="3001">
        <v>880</v>
      </c>
      <c r="I8" s="3001">
        <v>64.239999999999995</v>
      </c>
      <c r="J8" s="3035">
        <v>2</v>
      </c>
    </row>
    <row r="9" spans="1:10" s="2932" customFormat="1">
      <c r="A9" s="2999">
        <v>8</v>
      </c>
      <c r="B9" s="2999">
        <v>69</v>
      </c>
      <c r="C9" s="3000" t="s">
        <v>3105</v>
      </c>
      <c r="D9" s="3000" t="s">
        <v>3106</v>
      </c>
      <c r="E9" s="3001">
        <v>9</v>
      </c>
      <c r="F9" s="3002">
        <v>39924</v>
      </c>
      <c r="G9" s="3002">
        <v>43210</v>
      </c>
      <c r="H9" s="3001">
        <v>800.8</v>
      </c>
      <c r="I9" s="3001">
        <v>203.59</v>
      </c>
      <c r="J9" s="3035" t="s">
        <v>3107</v>
      </c>
    </row>
    <row r="10" spans="1:10" s="2932" customFormat="1">
      <c r="A10" s="2999">
        <v>9</v>
      </c>
      <c r="B10" s="2999">
        <v>69</v>
      </c>
      <c r="C10" s="3000" t="s">
        <v>3108</v>
      </c>
      <c r="D10" s="3000" t="s">
        <v>3109</v>
      </c>
      <c r="E10" s="3001">
        <v>6</v>
      </c>
      <c r="F10" s="3002">
        <v>41183</v>
      </c>
      <c r="G10" s="3002">
        <v>43373</v>
      </c>
      <c r="H10" s="3001">
        <v>180</v>
      </c>
      <c r="I10" s="3001">
        <v>46.65</v>
      </c>
      <c r="J10" s="3035">
        <v>7.1</v>
      </c>
    </row>
    <row r="11" spans="1:10">
      <c r="A11" s="2999"/>
      <c r="B11" s="2999"/>
      <c r="C11" s="3000"/>
      <c r="D11" s="3000"/>
      <c r="E11" s="3001"/>
      <c r="F11" s="3002"/>
      <c r="G11" s="3002"/>
      <c r="H11" s="3001"/>
      <c r="I11" s="3001"/>
      <c r="J11" s="3035"/>
    </row>
    <row r="12" spans="1:10">
      <c r="A12" s="2970">
        <v>11</v>
      </c>
      <c r="B12" s="2970">
        <v>70</v>
      </c>
      <c r="C12" s="3033" t="s">
        <v>3112</v>
      </c>
      <c r="D12" s="3033" t="s">
        <v>3113</v>
      </c>
      <c r="E12" s="2971">
        <v>5</v>
      </c>
      <c r="F12" s="3034">
        <v>42005</v>
      </c>
      <c r="G12" s="3034">
        <v>43830</v>
      </c>
      <c r="H12" s="2971">
        <v>716.2</v>
      </c>
      <c r="I12" s="2971">
        <v>261.41000000000003</v>
      </c>
      <c r="J12" s="2972">
        <v>10</v>
      </c>
    </row>
    <row r="13" spans="1:10">
      <c r="A13" s="2970">
        <v>12</v>
      </c>
      <c r="B13" s="2970">
        <v>73</v>
      </c>
      <c r="C13" s="3033" t="s">
        <v>3114</v>
      </c>
      <c r="D13" s="3033" t="s">
        <v>3115</v>
      </c>
      <c r="E13" s="2971">
        <v>5</v>
      </c>
      <c r="F13" s="3034">
        <v>42111</v>
      </c>
      <c r="G13" s="3034">
        <v>43937</v>
      </c>
      <c r="H13" s="2971">
        <v>119</v>
      </c>
      <c r="I13" s="2971">
        <v>31.27</v>
      </c>
      <c r="J13" s="2972">
        <v>7.2</v>
      </c>
    </row>
    <row r="14" spans="1:10">
      <c r="A14" s="2970">
        <v>13</v>
      </c>
      <c r="B14" s="2970">
        <v>73</v>
      </c>
      <c r="C14" s="3033" t="s">
        <v>3116</v>
      </c>
      <c r="D14" s="3033" t="s">
        <v>3117</v>
      </c>
      <c r="E14" s="2971">
        <v>5</v>
      </c>
      <c r="F14" s="3034">
        <v>42111</v>
      </c>
      <c r="G14" s="3034">
        <v>43937</v>
      </c>
      <c r="H14" s="2971">
        <v>642.79999999999995</v>
      </c>
      <c r="I14" s="2971">
        <v>150.16</v>
      </c>
      <c r="J14" s="2972">
        <v>6.4</v>
      </c>
    </row>
    <row r="15" spans="1:10">
      <c r="A15" s="2970">
        <v>14</v>
      </c>
      <c r="B15" s="2970">
        <v>77</v>
      </c>
      <c r="C15" s="3033" t="s">
        <v>3118</v>
      </c>
      <c r="D15" s="3033" t="s">
        <v>3119</v>
      </c>
      <c r="E15" s="2971">
        <v>5</v>
      </c>
      <c r="F15" s="3034">
        <v>42370</v>
      </c>
      <c r="G15" s="3034">
        <v>44196</v>
      </c>
      <c r="H15" s="2971">
        <v>561.4</v>
      </c>
      <c r="I15" s="2971">
        <v>122.95</v>
      </c>
      <c r="J15" s="2972">
        <v>6</v>
      </c>
    </row>
    <row r="16" spans="1:10">
      <c r="A16" s="2970">
        <v>15</v>
      </c>
      <c r="B16" s="2970">
        <v>77</v>
      </c>
      <c r="C16" s="3033" t="s">
        <v>3120</v>
      </c>
      <c r="D16" s="3033" t="s">
        <v>3121</v>
      </c>
      <c r="E16" s="2971">
        <v>5</v>
      </c>
      <c r="F16" s="3034">
        <v>42491</v>
      </c>
      <c r="G16" s="3034">
        <v>44316</v>
      </c>
      <c r="H16" s="2971">
        <v>748.4</v>
      </c>
      <c r="I16" s="2971">
        <v>204.87</v>
      </c>
      <c r="J16" s="2972">
        <v>7.5</v>
      </c>
    </row>
    <row r="17" spans="1:10" s="2932" customFormat="1">
      <c r="A17" s="2999">
        <v>16</v>
      </c>
      <c r="B17" s="2999">
        <v>75</v>
      </c>
      <c r="C17" s="3000" t="s">
        <v>3122</v>
      </c>
      <c r="D17" s="3000" t="s">
        <v>3123</v>
      </c>
      <c r="E17" s="3001">
        <v>5</v>
      </c>
      <c r="F17" s="3002">
        <v>41214</v>
      </c>
      <c r="G17" s="3002">
        <v>43038</v>
      </c>
      <c r="H17" s="3001">
        <v>245.85</v>
      </c>
      <c r="I17" s="3001">
        <v>42.18</v>
      </c>
      <c r="J17" s="3035">
        <v>4.7</v>
      </c>
    </row>
    <row r="18" spans="1:10" s="2932" customFormat="1">
      <c r="A18" s="2999">
        <v>17</v>
      </c>
      <c r="B18" s="2999">
        <v>75</v>
      </c>
      <c r="C18" s="3000" t="s">
        <v>3124</v>
      </c>
      <c r="D18" s="3000" t="s">
        <v>3125</v>
      </c>
      <c r="E18" s="3001">
        <v>5</v>
      </c>
      <c r="F18" s="3002">
        <v>41228</v>
      </c>
      <c r="G18" s="3002">
        <v>43053</v>
      </c>
      <c r="H18" s="3001">
        <v>245.85</v>
      </c>
      <c r="I18" s="3001">
        <v>42.18</v>
      </c>
      <c r="J18" s="3035">
        <v>4.7</v>
      </c>
    </row>
    <row r="19" spans="1:10">
      <c r="A19" s="2970">
        <v>18</v>
      </c>
      <c r="B19" s="2970">
        <v>76</v>
      </c>
      <c r="C19" s="3033" t="s">
        <v>3126</v>
      </c>
      <c r="D19" s="3033" t="s">
        <v>3127</v>
      </c>
      <c r="E19" s="2971">
        <v>5</v>
      </c>
      <c r="F19" s="3034">
        <v>42917</v>
      </c>
      <c r="G19" s="3034">
        <v>44742</v>
      </c>
      <c r="H19" s="2971">
        <f>面积整理!D38</f>
        <v>516.79999999999995</v>
      </c>
      <c r="I19" s="2971">
        <v>96.96</v>
      </c>
      <c r="J19" s="2972">
        <v>5</v>
      </c>
    </row>
    <row r="20" spans="1:10">
      <c r="A20" s="2970">
        <v>19</v>
      </c>
      <c r="B20" s="2970">
        <v>75</v>
      </c>
      <c r="C20" s="3033" t="s">
        <v>3128</v>
      </c>
      <c r="D20" s="3033" t="s">
        <v>3129</v>
      </c>
      <c r="E20" s="2971">
        <v>5</v>
      </c>
      <c r="F20" s="3034">
        <v>42917</v>
      </c>
      <c r="G20" s="3034">
        <v>44742</v>
      </c>
      <c r="H20" s="3005">
        <v>516.79999999999995</v>
      </c>
      <c r="I20" s="2971">
        <v>94.32</v>
      </c>
      <c r="J20" s="2972">
        <v>5</v>
      </c>
    </row>
    <row r="21" spans="1:10" s="2939" customFormat="1">
      <c r="A21" s="2987">
        <v>20</v>
      </c>
      <c r="B21" s="2987">
        <v>74</v>
      </c>
      <c r="C21" s="2988" t="s">
        <v>3130</v>
      </c>
      <c r="D21" s="2988" t="s">
        <v>3102</v>
      </c>
      <c r="E21" s="2989">
        <v>20</v>
      </c>
      <c r="F21" s="2990">
        <v>39814</v>
      </c>
      <c r="G21" s="2990">
        <v>48213</v>
      </c>
      <c r="H21" s="2989">
        <v>1080.3</v>
      </c>
      <c r="I21" s="2989">
        <v>39.43</v>
      </c>
      <c r="J21" s="3037">
        <v>1</v>
      </c>
    </row>
    <row r="22" spans="1:10" s="2932" customFormat="1">
      <c r="A22" s="2999">
        <v>21</v>
      </c>
      <c r="B22" s="2999">
        <v>78</v>
      </c>
      <c r="C22" s="3000" t="s">
        <v>3131</v>
      </c>
      <c r="D22" s="3000" t="s">
        <v>3132</v>
      </c>
      <c r="E22" s="3001" t="s">
        <v>1330</v>
      </c>
      <c r="F22" s="3002">
        <v>43009</v>
      </c>
      <c r="G22" s="3002">
        <v>43100</v>
      </c>
      <c r="H22" s="3001">
        <v>875</v>
      </c>
      <c r="I22" s="3001">
        <v>51.9</v>
      </c>
      <c r="J22" s="3035">
        <v>6.5</v>
      </c>
    </row>
    <row r="23" spans="1:10" s="2932" customFormat="1">
      <c r="A23" s="2999">
        <v>22</v>
      </c>
      <c r="B23" s="2999">
        <v>80</v>
      </c>
      <c r="C23" s="3000" t="s">
        <v>3133</v>
      </c>
      <c r="D23" s="3000" t="s">
        <v>3134</v>
      </c>
      <c r="E23" s="3001">
        <v>6</v>
      </c>
      <c r="F23" s="3002">
        <v>40909</v>
      </c>
      <c r="G23" s="3002">
        <v>43100</v>
      </c>
      <c r="H23" s="3001">
        <v>1680</v>
      </c>
      <c r="I23" s="3001">
        <v>294.33999999999997</v>
      </c>
      <c r="J23" s="3035">
        <v>4.8</v>
      </c>
    </row>
    <row r="24" spans="1:10">
      <c r="A24" s="2970">
        <v>23</v>
      </c>
      <c r="B24" s="2970">
        <v>79</v>
      </c>
      <c r="C24" s="3033" t="s">
        <v>3135</v>
      </c>
      <c r="D24" s="3033" t="s">
        <v>3136</v>
      </c>
      <c r="E24" s="2971">
        <v>5</v>
      </c>
      <c r="F24" s="3034">
        <v>42979</v>
      </c>
      <c r="G24" s="3034">
        <v>44804</v>
      </c>
      <c r="H24" s="2971">
        <v>1125</v>
      </c>
      <c r="I24" s="2971">
        <v>615.94000000000005</v>
      </c>
      <c r="J24" s="2972">
        <v>15</v>
      </c>
    </row>
    <row r="25" spans="1:10">
      <c r="A25" s="2970">
        <v>24</v>
      </c>
      <c r="B25" s="2970">
        <v>79</v>
      </c>
      <c r="C25" s="3033" t="s">
        <v>3137</v>
      </c>
      <c r="D25" s="3033" t="s">
        <v>3138</v>
      </c>
      <c r="E25" s="2971">
        <v>5</v>
      </c>
      <c r="F25" s="3034">
        <v>41665</v>
      </c>
      <c r="G25" s="3034">
        <v>43479</v>
      </c>
      <c r="H25" s="2971">
        <v>1160.45</v>
      </c>
      <c r="I25" s="2971">
        <v>436.27</v>
      </c>
      <c r="J25" s="2972">
        <v>10.3</v>
      </c>
    </row>
    <row r="26" spans="1:10">
      <c r="A26" s="2970">
        <v>25</v>
      </c>
      <c r="B26" s="2970">
        <v>79</v>
      </c>
      <c r="C26" s="3033" t="s">
        <v>3137</v>
      </c>
      <c r="D26" s="3033" t="s">
        <v>3139</v>
      </c>
      <c r="E26" s="2971">
        <v>5</v>
      </c>
      <c r="F26" s="3034">
        <v>41665</v>
      </c>
      <c r="G26" s="3034">
        <v>43479</v>
      </c>
      <c r="H26" s="2971">
        <v>45.62</v>
      </c>
      <c r="I26" s="2971">
        <v>17.149999999999999</v>
      </c>
      <c r="J26" s="2972">
        <v>10.3</v>
      </c>
    </row>
    <row r="27" spans="1:10">
      <c r="A27" s="2970">
        <v>26</v>
      </c>
      <c r="B27" s="2970">
        <v>79</v>
      </c>
      <c r="C27" s="3033" t="s">
        <v>3137</v>
      </c>
      <c r="D27" s="3033" t="s">
        <v>3140</v>
      </c>
      <c r="E27" s="2971">
        <v>5</v>
      </c>
      <c r="F27" s="3034">
        <v>41665</v>
      </c>
      <c r="G27" s="3034">
        <v>43479</v>
      </c>
      <c r="H27" s="2971">
        <v>209.03</v>
      </c>
      <c r="I27" s="2971">
        <v>78.58</v>
      </c>
      <c r="J27" s="2972">
        <v>10.3</v>
      </c>
    </row>
    <row r="28" spans="1:10">
      <c r="A28" s="2970">
        <v>27</v>
      </c>
      <c r="B28" s="2970">
        <v>80</v>
      </c>
      <c r="C28" s="3033" t="s">
        <v>3141</v>
      </c>
      <c r="D28" s="3033" t="s">
        <v>3142</v>
      </c>
      <c r="E28" s="2971">
        <v>5</v>
      </c>
      <c r="F28" s="3034">
        <v>42962</v>
      </c>
      <c r="G28" s="3034">
        <v>44787</v>
      </c>
      <c r="H28" s="2971">
        <v>1300</v>
      </c>
      <c r="I28" s="2971">
        <v>348.76</v>
      </c>
      <c r="J28" s="2972">
        <v>7.35</v>
      </c>
    </row>
    <row r="29" spans="1:10">
      <c r="A29" s="2970">
        <v>29</v>
      </c>
      <c r="B29" s="2970">
        <v>80</v>
      </c>
      <c r="C29" s="3033" t="s">
        <v>3143</v>
      </c>
      <c r="D29" s="3033" t="s">
        <v>3144</v>
      </c>
      <c r="E29" s="2971">
        <v>2</v>
      </c>
      <c r="F29" s="3034">
        <v>42979</v>
      </c>
      <c r="G29" s="3034">
        <v>43708</v>
      </c>
      <c r="H29" s="2971">
        <v>160.80000000000001</v>
      </c>
      <c r="I29" s="2971">
        <v>44.37</v>
      </c>
      <c r="J29" s="2972">
        <v>7.56</v>
      </c>
    </row>
    <row r="30" spans="1:10" s="2932" customFormat="1">
      <c r="A30" s="2999">
        <v>30</v>
      </c>
      <c r="B30" s="2999">
        <v>80</v>
      </c>
      <c r="C30" s="3000" t="s">
        <v>3145</v>
      </c>
      <c r="D30" s="3000" t="s">
        <v>3146</v>
      </c>
      <c r="E30" s="3001">
        <v>1</v>
      </c>
      <c r="F30" s="3002">
        <v>42750</v>
      </c>
      <c r="G30" s="3002">
        <v>43114</v>
      </c>
      <c r="H30" s="3001">
        <v>150</v>
      </c>
      <c r="I30" s="3001">
        <v>39.64</v>
      </c>
      <c r="J30" s="3035">
        <v>7.24</v>
      </c>
    </row>
    <row r="31" spans="1:10">
      <c r="A31" s="2970">
        <v>31</v>
      </c>
      <c r="B31" s="2970">
        <v>80</v>
      </c>
      <c r="C31" s="3033" t="s">
        <v>3147</v>
      </c>
      <c r="D31" s="3033" t="s">
        <v>3148</v>
      </c>
      <c r="E31" s="2971">
        <v>3</v>
      </c>
      <c r="F31" s="3034">
        <v>42856</v>
      </c>
      <c r="G31" s="3034">
        <v>43951</v>
      </c>
      <c r="H31" s="2971">
        <v>266</v>
      </c>
      <c r="I31" s="2971">
        <v>71.17</v>
      </c>
      <c r="J31" s="2972">
        <v>7.33</v>
      </c>
    </row>
    <row r="32" spans="1:10">
      <c r="A32" s="2970">
        <v>32</v>
      </c>
      <c r="B32" s="2970">
        <v>80</v>
      </c>
      <c r="C32" s="3033" t="s">
        <v>3149</v>
      </c>
      <c r="D32" s="3033" t="s">
        <v>3150</v>
      </c>
      <c r="E32" s="2971">
        <v>2</v>
      </c>
      <c r="F32" s="3034">
        <v>42865</v>
      </c>
      <c r="G32" s="3034">
        <v>43594</v>
      </c>
      <c r="H32" s="2971">
        <v>407</v>
      </c>
      <c r="I32" s="2971">
        <v>106.22</v>
      </c>
      <c r="J32" s="2972">
        <v>7.15</v>
      </c>
    </row>
    <row r="33" spans="1:10" s="2932" customFormat="1">
      <c r="A33" s="2999">
        <v>33</v>
      </c>
      <c r="B33" s="2999">
        <v>80</v>
      </c>
      <c r="C33" s="3000" t="s">
        <v>3151</v>
      </c>
      <c r="D33" s="3000" t="s">
        <v>3152</v>
      </c>
      <c r="E33" s="3001">
        <v>1</v>
      </c>
      <c r="F33" s="3002">
        <v>42916</v>
      </c>
      <c r="G33" s="3002">
        <v>43280</v>
      </c>
      <c r="H33" s="3001">
        <v>335</v>
      </c>
      <c r="I33" s="3001">
        <v>89.26</v>
      </c>
      <c r="J33" s="3035">
        <v>7.3</v>
      </c>
    </row>
    <row r="34" spans="1:10">
      <c r="A34" s="2970">
        <v>34</v>
      </c>
      <c r="B34" s="2970">
        <v>80</v>
      </c>
      <c r="C34" s="3033" t="s">
        <v>3153</v>
      </c>
      <c r="D34" s="3033" t="s">
        <v>3154</v>
      </c>
      <c r="E34" s="2971">
        <v>3</v>
      </c>
      <c r="F34" s="3034">
        <v>42449</v>
      </c>
      <c r="G34" s="3034">
        <v>43543</v>
      </c>
      <c r="H34" s="2971">
        <v>266</v>
      </c>
      <c r="I34" s="2971">
        <v>71.849999999999994</v>
      </c>
      <c r="J34" s="2972">
        <v>7.4</v>
      </c>
    </row>
    <row r="35" spans="1:10">
      <c r="A35" s="2970">
        <v>35</v>
      </c>
      <c r="B35" s="2970">
        <v>80</v>
      </c>
      <c r="C35" s="3033" t="s">
        <v>3155</v>
      </c>
      <c r="D35" s="3033" t="s">
        <v>3156</v>
      </c>
      <c r="E35" s="2971">
        <v>5</v>
      </c>
      <c r="F35" s="3034">
        <v>42444</v>
      </c>
      <c r="G35" s="3034">
        <v>44269</v>
      </c>
      <c r="H35" s="2971">
        <v>1800</v>
      </c>
      <c r="I35" s="2971">
        <v>446.76</v>
      </c>
      <c r="J35" s="2972">
        <v>6.8</v>
      </c>
    </row>
    <row r="36" spans="1:10" s="2932" customFormat="1">
      <c r="A36" s="2999">
        <v>36</v>
      </c>
      <c r="B36" s="2999">
        <v>80</v>
      </c>
      <c r="C36" s="3000" t="s">
        <v>3157</v>
      </c>
      <c r="D36" s="3000" t="s">
        <v>3158</v>
      </c>
      <c r="E36" s="3001">
        <v>1</v>
      </c>
      <c r="F36" s="3002">
        <v>43028</v>
      </c>
      <c r="G36" s="3002">
        <v>43392</v>
      </c>
      <c r="H36" s="3001">
        <v>305</v>
      </c>
      <c r="I36" s="3001">
        <v>90.17</v>
      </c>
      <c r="J36" s="3035">
        <v>8.1</v>
      </c>
    </row>
    <row r="37" spans="1:10">
      <c r="A37" s="2970">
        <v>37</v>
      </c>
      <c r="B37" s="2970">
        <v>81</v>
      </c>
      <c r="C37" s="3033" t="s">
        <v>3159</v>
      </c>
      <c r="D37" s="3033" t="s">
        <v>3160</v>
      </c>
      <c r="E37" s="2971">
        <v>5</v>
      </c>
      <c r="F37" s="3034">
        <v>43076</v>
      </c>
      <c r="G37" s="3034">
        <v>44901</v>
      </c>
      <c r="H37" s="2971">
        <v>398.09</v>
      </c>
      <c r="I37" s="2971">
        <v>181.63</v>
      </c>
      <c r="J37" s="2972">
        <v>12.5</v>
      </c>
    </row>
    <row r="38" spans="1:10">
      <c r="A38" s="2970">
        <v>38</v>
      </c>
      <c r="B38" s="2970">
        <v>81</v>
      </c>
      <c r="C38" s="3033" t="s">
        <v>3161</v>
      </c>
      <c r="D38" s="3033" t="s">
        <v>3162</v>
      </c>
      <c r="E38" s="2971">
        <v>5</v>
      </c>
      <c r="F38" s="3034">
        <v>42109</v>
      </c>
      <c r="G38" s="3034">
        <v>43935</v>
      </c>
      <c r="H38" s="2971">
        <v>475</v>
      </c>
      <c r="I38" s="2971">
        <v>116.16</v>
      </c>
      <c r="J38" s="2972">
        <v>6.7</v>
      </c>
    </row>
    <row r="39" spans="1:10">
      <c r="A39" s="2970">
        <v>39</v>
      </c>
      <c r="B39" s="2970">
        <v>81</v>
      </c>
      <c r="C39" s="3033" t="s">
        <v>3163</v>
      </c>
      <c r="D39" s="3033" t="s">
        <v>3164</v>
      </c>
      <c r="E39" s="2971">
        <v>5</v>
      </c>
      <c r="F39" s="3034">
        <v>42200</v>
      </c>
      <c r="G39" s="3034">
        <v>44026</v>
      </c>
      <c r="H39" s="2971">
        <v>805</v>
      </c>
      <c r="I39" s="2971">
        <v>196.19</v>
      </c>
      <c r="J39" s="2972">
        <v>6.68</v>
      </c>
    </row>
    <row r="40" spans="1:10">
      <c r="A40" s="2970">
        <v>40</v>
      </c>
      <c r="B40" s="2970">
        <v>81</v>
      </c>
      <c r="C40" s="3033" t="s">
        <v>3165</v>
      </c>
      <c r="D40" s="3033" t="s">
        <v>3166</v>
      </c>
      <c r="E40" s="2971" t="s">
        <v>3167</v>
      </c>
      <c r="F40" s="3034">
        <v>42795</v>
      </c>
      <c r="G40" s="3034">
        <v>44026</v>
      </c>
      <c r="H40" s="2971">
        <v>146.12</v>
      </c>
      <c r="I40" s="2971">
        <v>48</v>
      </c>
      <c r="J40" s="2972">
        <v>9</v>
      </c>
    </row>
    <row r="41" spans="1:10">
      <c r="A41" s="2970">
        <v>41</v>
      </c>
      <c r="B41" s="2970">
        <v>81</v>
      </c>
      <c r="C41" s="3033" t="s">
        <v>3168</v>
      </c>
      <c r="D41" s="3033" t="s">
        <v>3169</v>
      </c>
      <c r="E41" s="2971">
        <v>5</v>
      </c>
      <c r="F41" s="3034">
        <v>42200</v>
      </c>
      <c r="G41" s="3034">
        <v>44026</v>
      </c>
      <c r="H41" s="2971">
        <v>50.96</v>
      </c>
      <c r="I41" s="2971">
        <v>12.42</v>
      </c>
      <c r="J41" s="2972">
        <v>6.68</v>
      </c>
    </row>
    <row r="42" spans="1:10">
      <c r="A42" s="2970">
        <v>42</v>
      </c>
      <c r="B42" s="2970">
        <v>81</v>
      </c>
      <c r="C42" s="3033" t="s">
        <v>3170</v>
      </c>
      <c r="D42" s="3033" t="s">
        <v>3171</v>
      </c>
      <c r="E42" s="2971">
        <v>5</v>
      </c>
      <c r="F42" s="3034">
        <v>42200</v>
      </c>
      <c r="G42" s="3034">
        <v>44026</v>
      </c>
      <c r="H42" s="2971">
        <v>68.7</v>
      </c>
      <c r="I42" s="2971">
        <v>10.96</v>
      </c>
      <c r="J42" s="2972">
        <v>4.37</v>
      </c>
    </row>
    <row r="43" spans="1:10">
      <c r="A43" s="2970">
        <v>43</v>
      </c>
      <c r="B43" s="2970">
        <v>81</v>
      </c>
      <c r="C43" s="3033" t="s">
        <v>3172</v>
      </c>
      <c r="D43" s="3033" t="s">
        <v>3173</v>
      </c>
      <c r="E43" s="2971">
        <v>5</v>
      </c>
      <c r="F43" s="3034">
        <v>42200</v>
      </c>
      <c r="G43" s="3034">
        <v>44026</v>
      </c>
      <c r="H43" s="2971">
        <v>104.59</v>
      </c>
      <c r="I43" s="2971">
        <v>25.49</v>
      </c>
      <c r="J43" s="2972">
        <v>6.68</v>
      </c>
    </row>
    <row r="44" spans="1:10">
      <c r="A44" s="2970">
        <v>44</v>
      </c>
      <c r="B44" s="2970">
        <v>81</v>
      </c>
      <c r="C44" s="3033" t="s">
        <v>3174</v>
      </c>
      <c r="D44" s="3033" t="s">
        <v>3175</v>
      </c>
      <c r="E44" s="2971">
        <v>5</v>
      </c>
      <c r="F44" s="3034">
        <v>42200</v>
      </c>
      <c r="G44" s="3034">
        <v>44026</v>
      </c>
      <c r="H44" s="2971">
        <v>49.07</v>
      </c>
      <c r="I44" s="2971">
        <v>7.83</v>
      </c>
      <c r="J44" s="2972">
        <v>4.37</v>
      </c>
    </row>
    <row r="45" spans="1:10">
      <c r="A45" s="2970">
        <v>45</v>
      </c>
      <c r="B45" s="2970">
        <v>81</v>
      </c>
      <c r="C45" s="3033" t="s">
        <v>3176</v>
      </c>
      <c r="D45" s="3033" t="s">
        <v>3177</v>
      </c>
      <c r="E45" s="2971">
        <v>5</v>
      </c>
      <c r="F45" s="3034">
        <v>42200</v>
      </c>
      <c r="G45" s="3034">
        <v>44026</v>
      </c>
      <c r="H45" s="2971">
        <v>34.89</v>
      </c>
      <c r="I45" s="2971">
        <v>5.56</v>
      </c>
      <c r="J45" s="2972">
        <v>4.37</v>
      </c>
    </row>
    <row r="46" spans="1:10">
      <c r="A46" s="2970">
        <v>46</v>
      </c>
      <c r="B46" s="2970">
        <v>81</v>
      </c>
      <c r="C46" s="3033" t="s">
        <v>3178</v>
      </c>
      <c r="D46" s="3033" t="s">
        <v>3179</v>
      </c>
      <c r="E46" s="2971" t="s">
        <v>3167</v>
      </c>
      <c r="F46" s="3034">
        <v>42795</v>
      </c>
      <c r="G46" s="3034">
        <v>44026</v>
      </c>
      <c r="H46" s="2971">
        <v>80.42</v>
      </c>
      <c r="I46" s="2971">
        <v>22.53</v>
      </c>
      <c r="J46" s="2972">
        <v>7.6769999999999996</v>
      </c>
    </row>
    <row r="47" spans="1:10">
      <c r="A47" s="2970">
        <v>47</v>
      </c>
      <c r="B47" s="2970">
        <v>81</v>
      </c>
      <c r="C47" s="3033" t="s">
        <v>3180</v>
      </c>
      <c r="D47" s="3033" t="s">
        <v>3181</v>
      </c>
      <c r="E47" s="2971" t="s">
        <v>3167</v>
      </c>
      <c r="F47" s="3034">
        <v>42795</v>
      </c>
      <c r="G47" s="3034">
        <v>44026</v>
      </c>
      <c r="H47" s="2971">
        <v>75.239999999999995</v>
      </c>
      <c r="I47" s="2971">
        <v>31.58</v>
      </c>
      <c r="J47" s="2972">
        <v>11.5</v>
      </c>
    </row>
    <row r="48" spans="1:10">
      <c r="A48" s="2970">
        <v>48</v>
      </c>
      <c r="B48" s="2970">
        <v>81</v>
      </c>
      <c r="C48" s="3033" t="s">
        <v>3182</v>
      </c>
      <c r="D48" s="3033" t="s">
        <v>3183</v>
      </c>
      <c r="E48" s="2971">
        <v>3</v>
      </c>
      <c r="F48" s="3034">
        <v>42200</v>
      </c>
      <c r="G48" s="3034">
        <v>43295</v>
      </c>
      <c r="H48" s="2971">
        <v>13.4</v>
      </c>
      <c r="I48" s="2971">
        <v>3.27</v>
      </c>
      <c r="J48" s="2972">
        <v>6.68</v>
      </c>
    </row>
    <row r="49" spans="1:10">
      <c r="A49" s="2970">
        <v>49</v>
      </c>
      <c r="B49" s="2970">
        <v>81</v>
      </c>
      <c r="C49" s="3033" t="s">
        <v>3184</v>
      </c>
      <c r="D49" s="3033" t="s">
        <v>3185</v>
      </c>
      <c r="E49" s="2971" t="s">
        <v>3167</v>
      </c>
      <c r="F49" s="3034">
        <v>42795</v>
      </c>
      <c r="G49" s="3034">
        <v>44026</v>
      </c>
      <c r="H49" s="2971">
        <v>83.1</v>
      </c>
      <c r="I49" s="2971">
        <v>21.33</v>
      </c>
      <c r="J49" s="2972">
        <v>7.6769999999999996</v>
      </c>
    </row>
    <row r="50" spans="1:10">
      <c r="A50" s="2970">
        <v>50</v>
      </c>
      <c r="B50" s="2970">
        <v>81</v>
      </c>
      <c r="C50" s="3033" t="s">
        <v>3186</v>
      </c>
      <c r="D50" s="3033" t="s">
        <v>3187</v>
      </c>
      <c r="E50" s="2971">
        <v>5</v>
      </c>
      <c r="F50" s="3034">
        <v>42200</v>
      </c>
      <c r="G50" s="3034">
        <v>44026</v>
      </c>
      <c r="H50" s="2971">
        <v>91.16</v>
      </c>
      <c r="I50" s="2971">
        <v>22.22</v>
      </c>
      <c r="J50" s="2972">
        <v>6.68</v>
      </c>
    </row>
    <row r="51" spans="1:10">
      <c r="A51" s="2970">
        <v>51</v>
      </c>
      <c r="B51" s="2970">
        <v>81</v>
      </c>
      <c r="C51" s="3033" t="s">
        <v>3188</v>
      </c>
      <c r="D51" s="3033" t="s">
        <v>3189</v>
      </c>
      <c r="E51" s="2971">
        <v>2</v>
      </c>
      <c r="F51" s="3034">
        <v>42200</v>
      </c>
      <c r="G51" s="3034">
        <v>44026</v>
      </c>
      <c r="H51" s="2971">
        <v>53.64</v>
      </c>
      <c r="I51" s="2971">
        <v>13.07</v>
      </c>
      <c r="J51" s="2972">
        <v>6.68</v>
      </c>
    </row>
    <row r="52" spans="1:10" s="2932" customFormat="1">
      <c r="A52" s="2999">
        <v>52</v>
      </c>
      <c r="B52" s="2999">
        <v>81</v>
      </c>
      <c r="C52" s="3000" t="s">
        <v>3190</v>
      </c>
      <c r="D52" s="3000" t="s">
        <v>3191</v>
      </c>
      <c r="E52" s="3001">
        <v>3</v>
      </c>
      <c r="F52" s="3002">
        <v>42200</v>
      </c>
      <c r="G52" s="3002">
        <v>43295</v>
      </c>
      <c r="H52" s="3001">
        <v>37.56</v>
      </c>
      <c r="I52" s="3001">
        <v>9.15</v>
      </c>
      <c r="J52" s="3035">
        <v>6.68</v>
      </c>
    </row>
    <row r="53" spans="1:10" s="2932" customFormat="1">
      <c r="A53" s="2999">
        <v>53</v>
      </c>
      <c r="B53" s="2999">
        <v>81</v>
      </c>
      <c r="C53" s="3000" t="s">
        <v>3192</v>
      </c>
      <c r="D53" s="3000" t="s">
        <v>3193</v>
      </c>
      <c r="E53" s="3001">
        <v>3</v>
      </c>
      <c r="F53" s="3002">
        <v>42200</v>
      </c>
      <c r="G53" s="3002">
        <v>43295</v>
      </c>
      <c r="H53" s="3001">
        <v>85.05</v>
      </c>
      <c r="I53" s="3001">
        <v>34.15</v>
      </c>
      <c r="J53" s="3035">
        <v>11</v>
      </c>
    </row>
    <row r="54" spans="1:10" s="2932" customFormat="1">
      <c r="A54" s="2999">
        <v>54</v>
      </c>
      <c r="B54" s="2999">
        <v>81</v>
      </c>
      <c r="C54" s="3000" t="s">
        <v>3194</v>
      </c>
      <c r="D54" s="3000" t="s">
        <v>3195</v>
      </c>
      <c r="E54" s="3001">
        <v>10</v>
      </c>
      <c r="F54" s="3002">
        <v>39814</v>
      </c>
      <c r="G54" s="3002">
        <v>43465</v>
      </c>
      <c r="H54" s="3001">
        <v>475</v>
      </c>
      <c r="I54" s="3001">
        <v>78.89</v>
      </c>
      <c r="J54" s="3035">
        <v>4.55</v>
      </c>
    </row>
    <row r="55" spans="1:10" s="2932" customFormat="1">
      <c r="A55" s="2999">
        <v>55</v>
      </c>
      <c r="B55" s="2999">
        <v>81</v>
      </c>
      <c r="C55" s="3000" t="s">
        <v>3196</v>
      </c>
      <c r="D55" s="3000" t="s">
        <v>3195</v>
      </c>
      <c r="E55" s="3001">
        <v>3</v>
      </c>
      <c r="F55" s="3002">
        <v>42370</v>
      </c>
      <c r="G55" s="3002">
        <v>43465</v>
      </c>
      <c r="H55" s="3001">
        <v>280</v>
      </c>
      <c r="I55" s="3001">
        <v>20.440000000000001</v>
      </c>
      <c r="J55" s="3035">
        <v>2</v>
      </c>
    </row>
    <row r="56" spans="1:10" s="2932" customFormat="1">
      <c r="A56" s="2999">
        <v>56</v>
      </c>
      <c r="B56" s="2999">
        <v>81</v>
      </c>
      <c r="C56" s="3000" t="s">
        <v>3197</v>
      </c>
      <c r="D56" s="3000" t="s">
        <v>3198</v>
      </c>
      <c r="E56" s="3001" t="s">
        <v>3199</v>
      </c>
      <c r="F56" s="3002">
        <v>39873</v>
      </c>
      <c r="G56" s="3002">
        <v>43100</v>
      </c>
      <c r="H56" s="3001">
        <v>810.21</v>
      </c>
      <c r="I56" s="3001">
        <v>100.55</v>
      </c>
      <c r="J56" s="3035">
        <v>3.4</v>
      </c>
    </row>
    <row r="57" spans="1:10">
      <c r="H57">
        <f>SUM(H3:H56)</f>
        <v>25430.709999999995</v>
      </c>
    </row>
    <row r="58" spans="1:10">
      <c r="F58" s="2931" t="s">
        <v>3246</v>
      </c>
      <c r="G58" s="2931" t="s">
        <v>3247</v>
      </c>
      <c r="H58" s="3038">
        <v>44901</v>
      </c>
    </row>
    <row r="59" spans="1:10">
      <c r="G59" s="2931" t="s">
        <v>3245</v>
      </c>
      <c r="H59">
        <f>I13+I14+I15+I16+I19+I20+I24+I25+I26+I27+I28+I29+I31+I32+I34+I35+I37+I38+I39+I40+I41+I42+I43+I44+I45+I46+I47+I48+I49+I50+I51</f>
        <v>3655.8399999999992</v>
      </c>
    </row>
    <row r="60" spans="1:10">
      <c r="G60" s="2931" t="s">
        <v>3248</v>
      </c>
      <c r="H60">
        <f>H12+H13+H14+H15+H16+H19+H20+H24+H25+H26+H27+H28+H29+H31+H32+H34+H35+H37+H38+H39+H40+H41+H42+H43+H44+H45+H46+H47+H48+H49+H50+H51</f>
        <v>13090.679999999998</v>
      </c>
    </row>
    <row r="61" spans="1:10">
      <c r="G61" s="3039" t="s">
        <v>3249</v>
      </c>
      <c r="H61">
        <f>ROUND(H59*10000/H60/365,2)</f>
        <v>7.65</v>
      </c>
    </row>
    <row r="62" spans="1:10">
      <c r="G62" s="3039" t="s">
        <v>3252</v>
      </c>
      <c r="H62">
        <v>5.07</v>
      </c>
    </row>
    <row r="64" spans="1:10">
      <c r="F64" s="2931" t="s">
        <v>3250</v>
      </c>
      <c r="G64" s="3039" t="s">
        <v>3251</v>
      </c>
      <c r="H64" s="3038">
        <v>48213</v>
      </c>
    </row>
    <row r="65" spans="6:8">
      <c r="G65" s="3039" t="s">
        <v>3253</v>
      </c>
      <c r="H65">
        <f>I7+I21</f>
        <v>48.91</v>
      </c>
    </row>
    <row r="66" spans="6:8">
      <c r="G66" s="3039" t="s">
        <v>3254</v>
      </c>
      <c r="H66">
        <f>H7+H21</f>
        <v>1670.3</v>
      </c>
    </row>
    <row r="67" spans="6:8">
      <c r="G67" s="3039" t="s">
        <v>3255</v>
      </c>
      <c r="H67">
        <f>ROUND(H65*10000/H66/365,2)</f>
        <v>0.8</v>
      </c>
    </row>
    <row r="68" spans="6:8">
      <c r="G68" s="3039" t="s">
        <v>3256</v>
      </c>
      <c r="H68">
        <v>14.15</v>
      </c>
    </row>
    <row r="70" spans="6:8">
      <c r="F70" s="2931" t="s">
        <v>3262</v>
      </c>
      <c r="G70">
        <f>H3+H4+H5+H6+H8+H9+H10+H17+H18+H22+H23+H30+H33+H36+H52+H53+H54+H55+H56</f>
        <v>10669.73</v>
      </c>
    </row>
  </sheetData>
  <mergeCells count="4">
    <mergeCell ref="E1:E2"/>
    <mergeCell ref="F1:F2"/>
    <mergeCell ref="G1:G2"/>
    <mergeCell ref="H1:H2"/>
  </mergeCells>
  <phoneticPr fontId="14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
  <sheetViews>
    <sheetView workbookViewId="0">
      <selection activeCell="A2" sqref="A2"/>
    </sheetView>
  </sheetViews>
  <sheetFormatPr defaultRowHeight="13.5"/>
  <cols>
    <col min="1" max="14" width="10.5" bestFit="1" customWidth="1"/>
    <col min="15" max="15" width="11.625" bestFit="1" customWidth="1"/>
  </cols>
  <sheetData>
    <row r="1" spans="1:15">
      <c r="A1" s="2931" t="s">
        <v>3330</v>
      </c>
      <c r="B1" s="2931" t="s">
        <v>3331</v>
      </c>
    </row>
    <row r="2" spans="1:15">
      <c r="A2">
        <f>'比较法-租金'!C50</f>
        <v>5.4</v>
      </c>
      <c r="B2" s="3048">
        <v>0.03</v>
      </c>
    </row>
    <row r="3" spans="1:15">
      <c r="A3" s="3036">
        <v>43047</v>
      </c>
      <c r="B3" s="3036">
        <v>43412</v>
      </c>
      <c r="C3" s="3036">
        <v>43777</v>
      </c>
      <c r="D3" s="3036">
        <v>44143</v>
      </c>
      <c r="E3" s="3036">
        <v>44508</v>
      </c>
      <c r="F3" s="3036">
        <v>44873</v>
      </c>
      <c r="G3" s="3036">
        <v>45238</v>
      </c>
      <c r="H3" s="3036">
        <v>45604</v>
      </c>
      <c r="I3" s="3036">
        <v>45969</v>
      </c>
      <c r="J3" s="3036">
        <v>46334</v>
      </c>
      <c r="K3" s="3036">
        <v>46699</v>
      </c>
      <c r="L3" s="3036">
        <v>47065</v>
      </c>
      <c r="M3" s="3036">
        <v>47430</v>
      </c>
      <c r="N3" s="3036">
        <v>47795</v>
      </c>
      <c r="O3" s="3036">
        <v>48213</v>
      </c>
    </row>
    <row r="4" spans="1:15">
      <c r="A4">
        <f>A2</f>
        <v>5.4</v>
      </c>
      <c r="B4">
        <f>ROUND(A4*(1+$B$2),2)</f>
        <v>5.56</v>
      </c>
      <c r="C4">
        <f>ROUND(B4*(1+$B$2),2)</f>
        <v>5.73</v>
      </c>
      <c r="D4">
        <f>ROUND(C4*(1+$B$2),2)</f>
        <v>5.9</v>
      </c>
      <c r="E4">
        <f t="shared" ref="E4:O4" si="0">ROUND(D4*(1+$B$2),2)</f>
        <v>6.08</v>
      </c>
      <c r="F4">
        <f t="shared" si="0"/>
        <v>6.26</v>
      </c>
      <c r="G4">
        <f t="shared" si="0"/>
        <v>6.45</v>
      </c>
      <c r="H4">
        <f t="shared" si="0"/>
        <v>6.64</v>
      </c>
      <c r="I4">
        <f t="shared" si="0"/>
        <v>6.84</v>
      </c>
      <c r="J4">
        <f t="shared" si="0"/>
        <v>7.05</v>
      </c>
      <c r="K4">
        <f t="shared" si="0"/>
        <v>7.26</v>
      </c>
      <c r="L4">
        <f t="shared" si="0"/>
        <v>7.48</v>
      </c>
      <c r="M4">
        <f t="shared" si="0"/>
        <v>7.7</v>
      </c>
      <c r="N4">
        <f>ROUND(M4*(1+$B$2)^1.14,2)</f>
        <v>7.96</v>
      </c>
      <c r="O4">
        <f t="shared" si="0"/>
        <v>8.1999999999999993</v>
      </c>
    </row>
    <row r="5" spans="1:15">
      <c r="A5" s="3048">
        <v>0.75</v>
      </c>
      <c r="F5">
        <f>ROUND(1-(2022-2002)/60,2)</f>
        <v>0.67</v>
      </c>
      <c r="O5">
        <f>ROUND(1-(2031-2002)/60,2)</f>
        <v>0.52</v>
      </c>
    </row>
    <row r="6" spans="1:15">
      <c r="A6">
        <v>2002</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3080" t="s">
        <v>1664</v>
      </c>
      <c r="B1" s="3080"/>
      <c r="C1" s="3080"/>
      <c r="D1" s="3080"/>
    </row>
    <row r="2" spans="1:4" ht="18">
      <c r="A2" s="3081" t="s">
        <v>1648</v>
      </c>
      <c r="B2" s="3081"/>
      <c r="C2" s="3081"/>
      <c r="D2" s="3081"/>
    </row>
    <row r="3" spans="1:4" ht="18.75">
      <c r="A3" s="1981" t="s">
        <v>1649</v>
      </c>
      <c r="B3" s="1981" t="s">
        <v>1650</v>
      </c>
      <c r="C3" s="1981" t="s">
        <v>1651</v>
      </c>
      <c r="D3" s="1981" t="s">
        <v>1652</v>
      </c>
    </row>
    <row r="4" spans="1:4" ht="56.25" customHeight="1">
      <c r="A4" s="1982" t="str">
        <f>项目基本情况!B4</f>
        <v>吴薇</v>
      </c>
      <c r="B4" s="1983">
        <f ca="1">项目基本情况!C4</f>
        <v>1419970001</v>
      </c>
      <c r="C4" s="1984"/>
      <c r="D4" s="1985" t="s">
        <v>1653</v>
      </c>
    </row>
    <row r="5" spans="1:4" ht="56.25" customHeight="1">
      <c r="A5" s="1982" t="str">
        <f>项目基本情况!D4</f>
        <v>梁津</v>
      </c>
      <c r="B5" s="1983">
        <f ca="1">项目基本情况!E4</f>
        <v>1119970066</v>
      </c>
      <c r="C5" s="1986"/>
      <c r="D5" s="1985" t="s">
        <v>1653</v>
      </c>
    </row>
    <row r="6" spans="1:4" ht="18">
      <c r="A6" s="3081" t="s">
        <v>1654</v>
      </c>
      <c r="B6" s="3081"/>
      <c r="C6" s="3081"/>
      <c r="D6" s="3081"/>
    </row>
    <row r="7" spans="1:4" ht="18.75">
      <c r="A7" s="1981" t="s">
        <v>1649</v>
      </c>
      <c r="B7" s="1983" t="s">
        <v>1655</v>
      </c>
      <c r="C7" s="1981" t="s">
        <v>1651</v>
      </c>
      <c r="D7" s="1981" t="s">
        <v>1652</v>
      </c>
    </row>
    <row r="8" spans="1:4" ht="56.25" customHeight="1">
      <c r="A8" s="1987" t="s">
        <v>869</v>
      </c>
      <c r="B8" s="1987" t="s">
        <v>1</v>
      </c>
      <c r="C8" s="1984"/>
      <c r="D8" s="1985" t="s">
        <v>1653</v>
      </c>
    </row>
    <row r="9" spans="1:4">
      <c r="A9" s="728"/>
      <c r="B9" s="728"/>
      <c r="C9" s="728"/>
      <c r="D9" s="728"/>
    </row>
    <row r="10" spans="1:4" ht="18.75">
      <c r="A10" s="1988" t="s">
        <v>1656</v>
      </c>
      <c r="B10" s="728"/>
      <c r="C10" s="728"/>
      <c r="D10" s="728"/>
    </row>
    <row r="11" spans="1:4" ht="30" customHeight="1">
      <c r="A11" s="3082" t="s">
        <v>1657</v>
      </c>
      <c r="B11" s="3074"/>
      <c r="C11" s="3074"/>
      <c r="D11" s="3074"/>
    </row>
    <row r="12" spans="1:4" ht="15.75">
      <c r="A12" s="30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79"/>
      <c r="C12" s="3079"/>
      <c r="D12" s="3079"/>
    </row>
    <row r="13" spans="1:4" ht="30" customHeight="1">
      <c r="A13" s="3074" t="str">
        <f>IF(项目基本情况!B8="抵押","3.抵押双方在办理抵押登记手续时，应使用本公司出具的正式《房地产评估报告》，特提醒报告使用者注意。","——")</f>
        <v>——</v>
      </c>
      <c r="B13" s="3079"/>
      <c r="C13" s="3079"/>
      <c r="D13" s="3079"/>
    </row>
    <row r="14" spans="1:4" ht="15.75" customHeight="1">
      <c r="A14" s="3074" t="str">
        <f>IF(项目基本情况!B8="抵押","4.本次评估估价师所知悉的法定优先受偿款情况说明如下：","——")</f>
        <v>——</v>
      </c>
      <c r="B14" s="3079"/>
      <c r="C14" s="3079"/>
      <c r="D14" s="3079"/>
    </row>
    <row r="15" spans="1:4" ht="42" customHeight="1">
      <c r="A15" s="3074" t="str">
        <f>IF(项目基本情况!B8="抵押","（1）"&amp;CONCATENATE(项目基本情况!L20,项目基本情况!L21,项目基本情况!L22),"——")</f>
        <v>——</v>
      </c>
      <c r="B15" s="3074"/>
      <c r="C15" s="3074"/>
      <c r="D15" s="3074"/>
    </row>
    <row r="16" spans="1:4" ht="30" customHeight="1">
      <c r="A16" s="3076" t="s">
        <v>1658</v>
      </c>
      <c r="B16" s="3076"/>
      <c r="C16" s="3076"/>
      <c r="D16" s="3076"/>
    </row>
    <row r="17" spans="1:4" ht="144" customHeight="1">
      <c r="A17" s="3076" t="s">
        <v>1659</v>
      </c>
      <c r="B17" s="3076"/>
      <c r="C17" s="3076"/>
      <c r="D17" s="3076"/>
    </row>
    <row r="18" spans="1:4" ht="15.75" customHeight="1">
      <c r="A18" s="3074" t="str">
        <f>IF(项目基本情况!B8="抵押",'结果表-凯富'!K120,"——")</f>
        <v>——</v>
      </c>
      <c r="B18" s="3074"/>
      <c r="C18" s="3074"/>
      <c r="D18" s="3074"/>
    </row>
    <row r="19" spans="1:4" ht="46.5" customHeight="1">
      <c r="A19" s="30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74"/>
      <c r="C19" s="3074"/>
      <c r="D19" s="3074"/>
    </row>
    <row r="20" spans="1:4" ht="57.75" customHeight="1">
      <c r="A20" s="3074" t="str">
        <f>IF('结果表-凯富'!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4"/>
      <c r="C20" s="3074"/>
      <c r="D20" s="3074"/>
    </row>
    <row r="21" spans="1:4" ht="57.75" customHeight="1">
      <c r="A21" s="3077" t="str">
        <f>IF('结果表-凯富'!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7"/>
      <c r="C21" s="3077"/>
      <c r="D21" s="3077"/>
    </row>
    <row r="22" spans="1:4" ht="18.75" customHeight="1">
      <c r="A22" s="3078" t="s">
        <v>1660</v>
      </c>
      <c r="B22" s="3078"/>
      <c r="C22" s="3078"/>
      <c r="D22" s="3078"/>
    </row>
    <row r="23" spans="1:4">
      <c r="A23" s="1989"/>
      <c r="B23" s="1961"/>
      <c r="C23" s="1961"/>
      <c r="D23" s="1961"/>
    </row>
    <row r="24" spans="1:4">
      <c r="A24" s="1989"/>
      <c r="B24" s="1961"/>
      <c r="C24" s="1961"/>
      <c r="D24" s="1961"/>
    </row>
    <row r="25" spans="1:4" ht="18.75">
      <c r="A25" s="1990" t="s">
        <v>1661</v>
      </c>
    </row>
    <row r="26" spans="1:4" ht="18">
      <c r="A26" s="1959"/>
    </row>
    <row r="27" spans="1:4" ht="18.75">
      <c r="A27" s="1959" t="s">
        <v>1662</v>
      </c>
    </row>
    <row r="30" spans="1:4" ht="18.75">
      <c r="D30" s="1990" t="s">
        <v>1663</v>
      </c>
    </row>
    <row r="31" spans="1:4" ht="13.5" customHeight="1">
      <c r="C31" s="3075">
        <v>42551</v>
      </c>
      <c r="D31" s="30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1665</v>
      </c>
    </row>
    <row r="3" spans="1:7">
      <c r="A3" s="1995" t="s">
        <v>82</v>
      </c>
      <c r="B3" s="1979" t="s">
        <v>1666</v>
      </c>
      <c r="G3" s="1996"/>
    </row>
    <row r="4" spans="1:7">
      <c r="G4" s="1996"/>
    </row>
    <row r="5" spans="1:7">
      <c r="A5" s="1998" t="s">
        <v>73</v>
      </c>
      <c r="B5" s="1979" t="s">
        <v>1667</v>
      </c>
      <c r="G5" s="1996"/>
    </row>
    <row r="6" spans="1:7">
      <c r="G6" s="1996"/>
    </row>
    <row r="7" spans="1:7">
      <c r="A7" s="1999" t="s">
        <v>135</v>
      </c>
      <c r="B7" s="1979" t="s">
        <v>1668</v>
      </c>
      <c r="G7" s="1996"/>
    </row>
    <row r="8" spans="1:7">
      <c r="G8" s="1996"/>
    </row>
    <row r="9" spans="1:7">
      <c r="A9" s="2000" t="s">
        <v>74</v>
      </c>
      <c r="B9" s="1979" t="s">
        <v>1669</v>
      </c>
    </row>
    <row r="11" spans="1:7">
      <c r="A11" s="2001" t="s">
        <v>75</v>
      </c>
      <c r="B11" s="2002" t="s">
        <v>72</v>
      </c>
    </row>
    <row r="13" spans="1:7">
      <c r="A13" s="2003" t="s">
        <v>1670</v>
      </c>
    </row>
    <row r="15" spans="1:7" ht="13.5">
      <c r="A15" s="3088" t="s">
        <v>1671</v>
      </c>
      <c r="B15" s="3083" t="s">
        <v>136</v>
      </c>
      <c r="C15" s="3084"/>
    </row>
    <row r="16" spans="1:7" ht="13.5">
      <c r="A16" s="3089"/>
      <c r="B16" s="3083" t="s">
        <v>69</v>
      </c>
      <c r="C16" s="3084"/>
    </row>
    <row r="17" spans="1:3" ht="13.5">
      <c r="A17" s="3089"/>
      <c r="B17" s="3086" t="s">
        <v>1672</v>
      </c>
      <c r="C17" s="2004" t="s">
        <v>1671</v>
      </c>
    </row>
    <row r="18" spans="1:3" ht="13.5">
      <c r="A18" s="3089"/>
      <c r="B18" s="3086"/>
      <c r="C18" s="2004" t="s">
        <v>1673</v>
      </c>
    </row>
    <row r="19" spans="1:3" ht="13.5">
      <c r="A19" s="3089"/>
      <c r="B19" s="3086"/>
      <c r="C19" s="2004" t="s">
        <v>1674</v>
      </c>
    </row>
    <row r="20" spans="1:3" ht="13.5">
      <c r="A20" s="3090"/>
      <c r="B20" s="3085" t="s">
        <v>1675</v>
      </c>
      <c r="C20" s="3084"/>
    </row>
    <row r="21" spans="1:3" ht="13.5">
      <c r="A21" s="2005" t="s">
        <v>1676</v>
      </c>
      <c r="B21" s="2006"/>
      <c r="C21" s="2007"/>
    </row>
    <row r="22" spans="1:3" ht="13.5">
      <c r="A22" s="3087" t="s">
        <v>1677</v>
      </c>
      <c r="B22" s="3085" t="s">
        <v>1678</v>
      </c>
      <c r="C22" s="3084"/>
    </row>
    <row r="23" spans="1:3" ht="13.5">
      <c r="A23" s="3087"/>
      <c r="B23" s="3085" t="s">
        <v>1679</v>
      </c>
      <c r="C23" s="3084"/>
    </row>
    <row r="24" spans="1:3" ht="13.5">
      <c r="A24" s="3087"/>
      <c r="B24" s="3085" t="s">
        <v>1680</v>
      </c>
      <c r="C24" s="3084"/>
    </row>
    <row r="25" spans="1:3" ht="13.5">
      <c r="A25" s="3087"/>
      <c r="B25" s="3086" t="s">
        <v>1681</v>
      </c>
      <c r="C25" s="2004" t="s">
        <v>1682</v>
      </c>
    </row>
    <row r="26" spans="1:3" ht="13.5">
      <c r="A26" s="3087"/>
      <c r="B26" s="3086"/>
      <c r="C26" s="2004" t="s">
        <v>1683</v>
      </c>
    </row>
    <row r="27" spans="1:3" ht="13.5">
      <c r="A27" s="3087"/>
      <c r="B27" s="3086"/>
      <c r="C27" s="2004" t="s">
        <v>1684</v>
      </c>
    </row>
    <row r="28" spans="1:3" ht="13.5">
      <c r="A28" s="3087"/>
      <c r="B28" s="3086"/>
      <c r="C28" s="2004" t="s">
        <v>1685</v>
      </c>
    </row>
    <row r="29" spans="1:3" ht="13.5">
      <c r="A29" s="3087"/>
      <c r="B29" s="3086"/>
      <c r="C29" s="2004" t="s">
        <v>1686</v>
      </c>
    </row>
    <row r="30" spans="1:3" ht="13.5">
      <c r="A30" s="3087"/>
      <c r="B30" s="3086"/>
      <c r="C30" s="2004" t="s">
        <v>1687</v>
      </c>
    </row>
    <row r="31" spans="1:3" ht="13.5">
      <c r="A31" s="3087"/>
      <c r="B31" s="3086"/>
      <c r="C31" s="2004" t="s">
        <v>1688</v>
      </c>
    </row>
    <row r="32" spans="1:3" ht="13.5">
      <c r="A32" s="3087"/>
      <c r="B32" s="3086"/>
      <c r="C32" s="2004" t="s">
        <v>1689</v>
      </c>
    </row>
    <row r="33" spans="1:3" ht="13.5">
      <c r="A33" s="3087"/>
      <c r="B33" s="3086"/>
      <c r="C33" s="2004" t="s">
        <v>1690</v>
      </c>
    </row>
    <row r="34" spans="1:3">
      <c r="A34" s="2008" t="s">
        <v>76</v>
      </c>
    </row>
    <row r="37" spans="1:3">
      <c r="A37" s="2008" t="s">
        <v>1691</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43056</v>
      </c>
      <c r="C2" s="1022" t="s">
        <v>826</v>
      </c>
      <c r="D2" s="1022"/>
    </row>
    <row r="3" spans="1:6" ht="24" customHeight="1">
      <c r="A3" s="1023" t="s">
        <v>827</v>
      </c>
      <c r="B3" s="1024" t="s">
        <v>828</v>
      </c>
      <c r="C3" s="2349" t="s">
        <v>829</v>
      </c>
      <c r="D3" s="2352" t="s">
        <v>830</v>
      </c>
      <c r="E3" s="1025" t="s">
        <v>831</v>
      </c>
      <c r="F3" s="1024" t="s">
        <v>829</v>
      </c>
    </row>
    <row r="4" spans="1:6" ht="24" customHeight="1">
      <c r="A4" s="1706" t="s">
        <v>832</v>
      </c>
      <c r="B4" s="1025">
        <f ca="1">IF(C4&lt;B2,"已过期",1119970066)</f>
        <v>1119970066</v>
      </c>
      <c r="C4" s="2350">
        <v>43849</v>
      </c>
      <c r="D4" s="2353" t="s">
        <v>832</v>
      </c>
      <c r="E4" s="1025">
        <f ca="1">IF(F4&lt;B2,"已过期",96010014)</f>
        <v>96010014</v>
      </c>
      <c r="F4" s="1033">
        <v>47118</v>
      </c>
    </row>
    <row r="5" spans="1:6" ht="24" customHeight="1">
      <c r="A5" s="1706" t="s">
        <v>833</v>
      </c>
      <c r="B5" s="1025">
        <f ca="1">IF(C5&lt;B2,"已过期",1119970074)</f>
        <v>1119970074</v>
      </c>
      <c r="C5" s="2350">
        <v>43849</v>
      </c>
      <c r="D5" s="2353" t="s">
        <v>833</v>
      </c>
      <c r="E5" s="1025">
        <f ca="1">IF(F5&lt;B2,"已过期",2002110027)</f>
        <v>2002110027</v>
      </c>
      <c r="F5" s="1033">
        <v>46752</v>
      </c>
    </row>
    <row r="6" spans="1:6" ht="24" customHeight="1">
      <c r="A6" s="1706" t="s">
        <v>834</v>
      </c>
      <c r="B6" s="1025">
        <f ca="1">IF(C6&lt;B2,"已过期",1119970111)</f>
        <v>1119970111</v>
      </c>
      <c r="C6" s="2350">
        <v>43849</v>
      </c>
      <c r="D6" s="2353" t="s">
        <v>834</v>
      </c>
      <c r="E6" s="1025">
        <f ca="1">IF(F6&lt;B2,"已过期",94010078)</f>
        <v>94010078</v>
      </c>
      <c r="F6" s="1033">
        <v>46387</v>
      </c>
    </row>
    <row r="7" spans="1:6" ht="24" customHeight="1">
      <c r="A7" s="1706" t="s">
        <v>835</v>
      </c>
      <c r="B7" s="1025">
        <f ca="1">IF(C7&lt;B2,"已过期",1120050019)</f>
        <v>1120050019</v>
      </c>
      <c r="C7" s="2350">
        <v>43359</v>
      </c>
      <c r="D7" s="2353" t="s">
        <v>835</v>
      </c>
      <c r="E7" s="1025">
        <f ca="1">IF(F7&lt;B2,"已过期",2002110030)</f>
        <v>2002110030</v>
      </c>
      <c r="F7" s="1033">
        <v>46387</v>
      </c>
    </row>
    <row r="8" spans="1:6" ht="24" customHeight="1">
      <c r="A8" s="1706" t="s">
        <v>836</v>
      </c>
      <c r="B8" s="1025">
        <f ca="1">IF(C8&lt;B2,"已过期",1120000080)</f>
        <v>1120000080</v>
      </c>
      <c r="C8" s="2350">
        <v>43849</v>
      </c>
      <c r="D8" s="2353" t="s">
        <v>836</v>
      </c>
      <c r="E8" s="1025">
        <f ca="1">IF(F8&lt;B2,"已过期",2000110082)</f>
        <v>2000110082</v>
      </c>
      <c r="F8" s="1033">
        <v>46387</v>
      </c>
    </row>
    <row r="9" spans="1:6" ht="24" customHeight="1">
      <c r="A9" s="1706" t="s">
        <v>837</v>
      </c>
      <c r="B9" s="1025">
        <f ca="1">IF(C9&lt;B2,"已过期",1419970001)</f>
        <v>1419970001</v>
      </c>
      <c r="C9" s="2350">
        <v>43867</v>
      </c>
      <c r="D9" s="2353" t="s">
        <v>837</v>
      </c>
      <c r="E9" s="1025">
        <f ca="1">IF(F9&lt;B2,"已过期",2002110125)</f>
        <v>2002110125</v>
      </c>
      <c r="F9" s="1033">
        <v>47118</v>
      </c>
    </row>
    <row r="10" spans="1:6" ht="24" customHeight="1">
      <c r="A10" s="1706" t="s">
        <v>838</v>
      </c>
      <c r="B10" s="1025">
        <f ca="1">IF(C10&lt;B2,"已过期",1120060040)</f>
        <v>1120060040</v>
      </c>
      <c r="C10" s="2350">
        <v>43483</v>
      </c>
      <c r="D10" s="2353" t="s">
        <v>838</v>
      </c>
      <c r="E10" s="1025">
        <f ca="1">IF(F10&lt;B2,"已过期",2004110096)</f>
        <v>2004110096</v>
      </c>
      <c r="F10" s="1033">
        <v>47118</v>
      </c>
    </row>
    <row r="11" spans="1:6" ht="24" customHeight="1">
      <c r="A11" s="1706" t="s">
        <v>839</v>
      </c>
      <c r="B11" s="1025">
        <f ca="1">IF(C11&lt;B2,"已过期",1120100036)</f>
        <v>1120100036</v>
      </c>
      <c r="C11" s="2350">
        <v>43622</v>
      </c>
      <c r="D11" s="2353" t="s">
        <v>839</v>
      </c>
      <c r="E11" s="1025">
        <f ca="1">IF(F11&lt;B2,"已过期",2010110070)</f>
        <v>2010110070</v>
      </c>
      <c r="F11" s="1033">
        <v>47907</v>
      </c>
    </row>
    <row r="12" spans="1:6" ht="24" customHeight="1">
      <c r="A12" s="1706"/>
      <c r="B12" s="1025"/>
      <c r="C12" s="2350"/>
      <c r="D12" s="2353"/>
      <c r="E12" s="1025"/>
      <c r="F12" s="1025"/>
    </row>
    <row r="13" spans="1:6" ht="24" customHeight="1">
      <c r="A13" s="1706" t="s">
        <v>840</v>
      </c>
      <c r="B13" s="1025">
        <f ca="1">IF(C13&lt;B2,"已过期",1120070131)</f>
        <v>1120070131</v>
      </c>
      <c r="C13" s="2350">
        <v>43814</v>
      </c>
      <c r="D13" s="2353" t="s">
        <v>840</v>
      </c>
      <c r="E13" s="1025">
        <v>2014110011</v>
      </c>
      <c r="F13" s="1033">
        <v>49302</v>
      </c>
    </row>
    <row r="14" spans="1:6" ht="24" customHeight="1">
      <c r="A14" s="1706" t="s">
        <v>841</v>
      </c>
      <c r="B14" s="1025">
        <f ca="1">IF(C14&lt;B2,"已过期",1120130020)</f>
        <v>1120130020</v>
      </c>
      <c r="C14" s="2350">
        <v>43622</v>
      </c>
      <c r="D14" s="2353"/>
      <c r="E14" s="1025"/>
      <c r="F14" s="1025"/>
    </row>
    <row r="15" spans="1:6" ht="24" customHeight="1">
      <c r="A15" s="1707" t="s">
        <v>1149</v>
      </c>
      <c r="B15" s="1025">
        <v>1120070085</v>
      </c>
      <c r="C15" s="2350">
        <v>43814</v>
      </c>
      <c r="D15" s="2354" t="s">
        <v>1149</v>
      </c>
      <c r="E15" s="1025">
        <v>2004110128</v>
      </c>
      <c r="F15" s="1026">
        <v>47118</v>
      </c>
    </row>
    <row r="16" spans="1:6" ht="24" customHeight="1">
      <c r="A16" s="1706" t="s">
        <v>842</v>
      </c>
      <c r="B16" s="1025">
        <f ca="1">IF(C16&lt;B2,"已过期",1120140022)</f>
        <v>1120140022</v>
      </c>
      <c r="C16" s="2350">
        <v>44029</v>
      </c>
      <c r="D16" s="2353" t="s">
        <v>842</v>
      </c>
      <c r="E16" s="1025">
        <f ca="1">IF(F16&lt;B2,"已过期",2008110059)</f>
        <v>2008110059</v>
      </c>
      <c r="F16" s="1033">
        <v>47177</v>
      </c>
    </row>
    <row r="17" spans="1:7" ht="24" customHeight="1">
      <c r="A17" s="1706"/>
      <c r="B17" s="1025"/>
      <c r="C17" s="2350"/>
      <c r="D17" s="2353"/>
      <c r="E17" s="1025"/>
      <c r="F17" s="1033"/>
    </row>
    <row r="18" spans="1:7" ht="24" customHeight="1">
      <c r="A18" s="1706"/>
      <c r="B18" s="1025"/>
      <c r="C18" s="2350"/>
      <c r="D18" s="2353"/>
      <c r="E18" s="1025"/>
      <c r="F18" s="1033"/>
    </row>
    <row r="19" spans="1:7" ht="24" customHeight="1">
      <c r="A19" s="1706"/>
      <c r="B19" s="1025"/>
      <c r="C19" s="2350"/>
      <c r="D19" s="2353"/>
      <c r="E19" s="1025"/>
      <c r="F19" s="1025"/>
    </row>
    <row r="20" spans="1:7" ht="24" customHeight="1">
      <c r="A20" s="1706"/>
      <c r="B20" s="1025"/>
      <c r="C20" s="2350"/>
      <c r="D20" s="2353"/>
      <c r="E20" s="1025"/>
      <c r="F20" s="1025"/>
    </row>
    <row r="21" spans="1:7" ht="24" customHeight="1">
      <c r="A21" s="1706"/>
      <c r="B21" s="1025"/>
      <c r="C21" s="2350"/>
      <c r="D21" s="2353" t="s">
        <v>843</v>
      </c>
      <c r="E21" s="1025">
        <f ca="1">IF(F21&lt;B2,"已过期",2011110090)</f>
        <v>2011110090</v>
      </c>
      <c r="F21" s="1033">
        <v>48302</v>
      </c>
    </row>
    <row r="22" spans="1:7" ht="24" customHeight="1">
      <c r="A22" s="1706" t="s">
        <v>844</v>
      </c>
      <c r="B22" s="1025">
        <f ca="1">IF(C22&lt;B2,"已过期",1120020033)</f>
        <v>1120020033</v>
      </c>
      <c r="C22" s="2350">
        <v>43304</v>
      </c>
      <c r="D22" s="2353" t="s">
        <v>844</v>
      </c>
      <c r="E22" s="1025">
        <f ca="1">IF(F22&lt;B2,"已过期",2000110137)</f>
        <v>2000110137</v>
      </c>
      <c r="F22" s="1033">
        <v>46387</v>
      </c>
    </row>
    <row r="23" spans="1:7" ht="24" customHeight="1">
      <c r="A23" s="1706" t="s">
        <v>845</v>
      </c>
      <c r="B23" s="1025">
        <f ca="1">IF(C23&lt;B2,"已过期",1120130048)</f>
        <v>1120130048</v>
      </c>
      <c r="C23" s="2350">
        <v>43686</v>
      </c>
      <c r="D23" s="2353"/>
      <c r="E23" s="1025"/>
      <c r="F23" s="1025"/>
    </row>
    <row r="24" spans="1:7" s="1027" customFormat="1" ht="24" customHeight="1">
      <c r="A24" s="1707" t="s">
        <v>1334</v>
      </c>
      <c r="B24" s="1707" t="s">
        <v>1334</v>
      </c>
      <c r="C24" s="2351" t="s">
        <v>1334</v>
      </c>
      <c r="D24" s="2354" t="s">
        <v>1334</v>
      </c>
      <c r="E24" s="1707" t="s">
        <v>1334</v>
      </c>
      <c r="F24" s="1707" t="s">
        <v>1334</v>
      </c>
    </row>
    <row r="25" spans="1:7" ht="24" customHeight="1">
      <c r="A25" s="3091" t="s">
        <v>846</v>
      </c>
      <c r="B25" s="3091"/>
      <c r="C25" s="3091"/>
      <c r="D25" s="3091"/>
      <c r="E25" s="3091"/>
      <c r="F25" s="3091"/>
      <c r="G25" s="3091"/>
    </row>
    <row r="26" spans="1:7" s="1028" customFormat="1" ht="24" customHeight="1">
      <c r="A26" s="3092" t="s">
        <v>847</v>
      </c>
      <c r="B26" s="3092"/>
      <c r="C26" s="3093"/>
      <c r="D26" s="3094" t="s">
        <v>848</v>
      </c>
      <c r="E26" s="3092"/>
      <c r="F26" s="3092"/>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32" priority="55">
      <formula>AND($C28-TODAY()&lt;30,TODAY()&lt;$C28)</formula>
    </cfRule>
  </conditionalFormatting>
  <conditionalFormatting sqref="C28 F4">
    <cfRule type="cellIs" dxfId="231" priority="57" stopIfTrue="1" operator="lessThan">
      <formula>$B$2</formula>
    </cfRule>
  </conditionalFormatting>
  <conditionalFormatting sqref="C5">
    <cfRule type="expression" dxfId="230" priority="52">
      <formula>AND($C5-TODAY()&lt;30,TODAY()&lt;$C5)</formula>
    </cfRule>
  </conditionalFormatting>
  <conditionalFormatting sqref="C5 F5">
    <cfRule type="cellIs" dxfId="229" priority="53" stopIfTrue="1" operator="lessThan">
      <formula>$B$2</formula>
    </cfRule>
  </conditionalFormatting>
  <conditionalFormatting sqref="F6 F8 F10">
    <cfRule type="cellIs" dxfId="228" priority="51" stopIfTrue="1" operator="lessThan">
      <formula>$B$2</formula>
    </cfRule>
  </conditionalFormatting>
  <conditionalFormatting sqref="C4:C23">
    <cfRule type="expression" dxfId="227" priority="49">
      <formula>AND($C4-TODAY()&lt;30,TODAY()&lt;$C4)</formula>
    </cfRule>
  </conditionalFormatting>
  <conditionalFormatting sqref="F7 F9 F11 C4:C23">
    <cfRule type="cellIs" dxfId="226" priority="50" stopIfTrue="1" operator="lessThan">
      <formula>$B$2</formula>
    </cfRule>
  </conditionalFormatting>
  <conditionalFormatting sqref="C12">
    <cfRule type="expression" dxfId="225" priority="47">
      <formula>AND($C12-TODAY()&lt;30,TODAY()&lt;$C12)</formula>
    </cfRule>
  </conditionalFormatting>
  <conditionalFormatting sqref="C12">
    <cfRule type="cellIs" dxfId="224" priority="48" stopIfTrue="1" operator="lessThan">
      <formula>$B$2</formula>
    </cfRule>
  </conditionalFormatting>
  <conditionalFormatting sqref="C14">
    <cfRule type="expression" dxfId="223" priority="43">
      <formula>AND($C14-TODAY()&lt;30,TODAY()&lt;$C14)</formula>
    </cfRule>
  </conditionalFormatting>
  <conditionalFormatting sqref="C14">
    <cfRule type="cellIs" dxfId="222" priority="44" stopIfTrue="1" operator="lessThan">
      <formula>$B$2</formula>
    </cfRule>
  </conditionalFormatting>
  <conditionalFormatting sqref="C16">
    <cfRule type="expression" dxfId="221" priority="41">
      <formula>AND($C16-TODAY()&lt;30,TODAY()&lt;$C16)</formula>
    </cfRule>
  </conditionalFormatting>
  <conditionalFormatting sqref="C16">
    <cfRule type="cellIs" dxfId="220" priority="42" stopIfTrue="1" operator="lessThan">
      <formula>$B$2</formula>
    </cfRule>
  </conditionalFormatting>
  <conditionalFormatting sqref="C18">
    <cfRule type="expression" dxfId="219" priority="39">
      <formula>AND($C18-TODAY()&lt;30,TODAY()&lt;$C18)</formula>
    </cfRule>
  </conditionalFormatting>
  <conditionalFormatting sqref="C18">
    <cfRule type="cellIs" dxfId="218" priority="40" stopIfTrue="1" operator="lessThan">
      <formula>$B$2</formula>
    </cfRule>
  </conditionalFormatting>
  <conditionalFormatting sqref="C20">
    <cfRule type="expression" dxfId="217" priority="37">
      <formula>AND($C20-TODAY()&lt;30,TODAY()&lt;$C20)</formula>
    </cfRule>
  </conditionalFormatting>
  <conditionalFormatting sqref="C20">
    <cfRule type="cellIs" dxfId="216" priority="38" stopIfTrue="1" operator="lessThan">
      <formula>$B$2</formula>
    </cfRule>
  </conditionalFormatting>
  <conditionalFormatting sqref="C22">
    <cfRule type="expression" dxfId="215" priority="35">
      <formula>AND($C22-TODAY()&lt;30,TODAY()&lt;$C22)</formula>
    </cfRule>
  </conditionalFormatting>
  <conditionalFormatting sqref="C22">
    <cfRule type="cellIs" dxfId="214" priority="36" stopIfTrue="1" operator="lessThan">
      <formula>$B$2</formula>
    </cfRule>
  </conditionalFormatting>
  <conditionalFormatting sqref="C15">
    <cfRule type="expression" dxfId="213" priority="33">
      <formula>AND($C15-TODAY()&lt;30,TODAY()&lt;$C15)</formula>
    </cfRule>
  </conditionalFormatting>
  <conditionalFormatting sqref="C15">
    <cfRule type="cellIs" dxfId="212" priority="34" stopIfTrue="1" operator="lessThan">
      <formula>$B$2</formula>
    </cfRule>
  </conditionalFormatting>
  <conditionalFormatting sqref="C17">
    <cfRule type="expression" dxfId="211" priority="31">
      <formula>AND($C17-TODAY()&lt;30,TODAY()&lt;$C17)</formula>
    </cfRule>
  </conditionalFormatting>
  <conditionalFormatting sqref="C17">
    <cfRule type="cellIs" dxfId="210" priority="32" stopIfTrue="1" operator="lessThan">
      <formula>$B$2</formula>
    </cfRule>
  </conditionalFormatting>
  <conditionalFormatting sqref="C19">
    <cfRule type="expression" dxfId="209" priority="29">
      <formula>AND($C19-TODAY()&lt;30,TODAY()&lt;$C19)</formula>
    </cfRule>
  </conditionalFormatting>
  <conditionalFormatting sqref="C19">
    <cfRule type="cellIs" dxfId="208" priority="30" stopIfTrue="1" operator="lessThan">
      <formula>$B$2</formula>
    </cfRule>
  </conditionalFormatting>
  <conditionalFormatting sqref="C21">
    <cfRule type="expression" dxfId="207" priority="27">
      <formula>AND($C21-TODAY()&lt;30,TODAY()&lt;$C21)</formula>
    </cfRule>
  </conditionalFormatting>
  <conditionalFormatting sqref="C21">
    <cfRule type="cellIs" dxfId="206" priority="28" stopIfTrue="1" operator="lessThan">
      <formula>$B$2</formula>
    </cfRule>
  </conditionalFormatting>
  <conditionalFormatting sqref="C23">
    <cfRule type="expression" dxfId="205" priority="25">
      <formula>AND($C23-TODAY()&lt;30,TODAY()&lt;$C23)</formula>
    </cfRule>
  </conditionalFormatting>
  <conditionalFormatting sqref="C23">
    <cfRule type="cellIs" dxfId="204" priority="26" stopIfTrue="1" operator="lessThan">
      <formula>$B$2</formula>
    </cfRule>
  </conditionalFormatting>
  <conditionalFormatting sqref="F16">
    <cfRule type="cellIs" dxfId="203" priority="23" stopIfTrue="1" operator="lessThan">
      <formula>$B$2</formula>
    </cfRule>
  </conditionalFormatting>
  <conditionalFormatting sqref="F18">
    <cfRule type="cellIs" dxfId="202" priority="22" stopIfTrue="1" operator="lessThan">
      <formula>$B$2</formula>
    </cfRule>
  </conditionalFormatting>
  <conditionalFormatting sqref="F22">
    <cfRule type="cellIs" dxfId="201" priority="21" stopIfTrue="1" operator="lessThan">
      <formula>$B$2</formula>
    </cfRule>
  </conditionalFormatting>
  <conditionalFormatting sqref="F21">
    <cfRule type="cellIs" dxfId="200" priority="20" stopIfTrue="1" operator="lessThan">
      <formula>$B$2</formula>
    </cfRule>
  </conditionalFormatting>
  <conditionalFormatting sqref="F17">
    <cfRule type="cellIs" dxfId="199" priority="19" stopIfTrue="1" operator="lessThan">
      <formula>$B$2</formula>
    </cfRule>
  </conditionalFormatting>
  <conditionalFormatting sqref="B4:B14 E4:E14 B16:B23 E16:E23">
    <cfRule type="cellIs" dxfId="198" priority="18" stopIfTrue="1" operator="equal">
      <formula>"已过期"</formula>
    </cfRule>
  </conditionalFormatting>
  <conditionalFormatting sqref="A24:F24">
    <cfRule type="cellIs" dxfId="197" priority="14" stopIfTrue="1" operator="equal">
      <formula>"已过期"</formula>
    </cfRule>
  </conditionalFormatting>
  <conditionalFormatting sqref="F28">
    <cfRule type="expression" dxfId="196" priority="12">
      <formula>AND($E28-TODAY()&lt;30,TODAY()&lt;$E28)</formula>
    </cfRule>
  </conditionalFormatting>
  <conditionalFormatting sqref="F28">
    <cfRule type="cellIs" dxfId="195" priority="13" stopIfTrue="1" operator="lessThan">
      <formula>$B$2</formula>
    </cfRule>
  </conditionalFormatting>
  <conditionalFormatting sqref="F29">
    <cfRule type="expression" dxfId="194" priority="8" stopIfTrue="1">
      <formula>AND($E29-TODAY()&lt;30,TODAY()&lt;$E29)</formula>
    </cfRule>
  </conditionalFormatting>
  <conditionalFormatting sqref="F29">
    <cfRule type="cellIs" dxfId="193" priority="9" stopIfTrue="1" operator="lessThan">
      <formula>$B$2</formula>
    </cfRule>
  </conditionalFormatting>
  <conditionalFormatting sqref="B15">
    <cfRule type="cellIs" dxfId="192" priority="6" stopIfTrue="1" operator="equal">
      <formula>"已过期"</formula>
    </cfRule>
  </conditionalFormatting>
  <conditionalFormatting sqref="A15">
    <cfRule type="cellIs" dxfId="191" priority="5" stopIfTrue="1" operator="equal">
      <formula>"已过期"</formula>
    </cfRule>
  </conditionalFormatting>
  <conditionalFormatting sqref="C15">
    <cfRule type="expression" dxfId="190" priority="4">
      <formula>AND($C15-TODAY()&lt;30,TODAY()&lt;$C15)</formula>
    </cfRule>
  </conditionalFormatting>
  <conditionalFormatting sqref="E15">
    <cfRule type="cellIs" dxfId="189" priority="3" stopIfTrue="1" operator="equal">
      <formula>"已过期"</formula>
    </cfRule>
  </conditionalFormatting>
  <conditionalFormatting sqref="D15">
    <cfRule type="cellIs" dxfId="188" priority="2" stopIfTrue="1" operator="equal">
      <formula>"已过期"</formula>
    </cfRule>
  </conditionalFormatting>
  <conditionalFormatting sqref="F13">
    <cfRule type="cellIs" dxfId="18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150</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结果表-凯富</vt:lpstr>
      <vt:lpstr>比较法-凯富</vt:lpstr>
      <vt:lpstr>收益法-凯富</vt:lpstr>
      <vt:lpstr>结果表-办公</vt:lpstr>
      <vt:lpstr>成本法-办公</vt:lpstr>
      <vt:lpstr>成本法 (元)</vt:lpstr>
      <vt:lpstr>假设开发法</vt:lpstr>
      <vt:lpstr>收益法 (元)</vt:lpstr>
      <vt:lpstr>基准地价修正</vt:lpstr>
      <vt:lpstr>收益法（办公汇总）</vt:lpstr>
      <vt:lpstr>酒店收入计算</vt:lpstr>
      <vt:lpstr>比较法-住宅</vt:lpstr>
      <vt:lpstr>比较法-商业</vt:lpstr>
      <vt:lpstr>收益法-办公短租</vt:lpstr>
      <vt:lpstr>收益法-办公长租</vt:lpstr>
      <vt:lpstr>收益法-办公未租</vt:lpstr>
      <vt:lpstr>比较法-工业</vt:lpstr>
      <vt:lpstr>比较法-车位</vt:lpstr>
      <vt:lpstr>比较法-仓储</vt:lpstr>
      <vt:lpstr>土地比较法-住宅、综合</vt:lpstr>
      <vt:lpstr>土地比较法-工业</vt:lpstr>
      <vt:lpstr>比较法-租金</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面积整理</vt:lpstr>
      <vt:lpstr>凯富大厦租约整理</vt:lpstr>
      <vt:lpstr>办公区域租金整理</vt:lpstr>
      <vt:lpstr>市场租金整理</vt:lpstr>
      <vt:lpstr>估价师及机构信息!Print_Area</vt:lpstr>
      <vt:lpstr>'收益法 (元)'!Print_Area</vt:lpstr>
      <vt:lpstr>'收益法-办公短租'!Print_Area</vt:lpstr>
      <vt:lpstr>'收益法-办公未租'!Print_Area</vt:lpstr>
      <vt:lpstr>'收益法-办公长租'!Print_Area</vt:lpstr>
      <vt:lpstr>'收益法-凯富'!Print_Area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2017-11-17T05:32:04Z</dcterms:modified>
</cp:coreProperties>
</file>