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800" windowHeight="933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81" i="35" l="1"/>
  <c r="C81" i="35"/>
  <c r="I27" i="35"/>
  <c r="I5" i="35"/>
  <c r="C29" i="35"/>
  <c r="E37" i="35"/>
  <c r="E7" i="35"/>
  <c r="E5" i="35"/>
  <c r="E17" i="1"/>
  <c r="I44" i="21" l="1"/>
  <c r="E5" i="21"/>
  <c r="I28" i="21"/>
  <c r="E28" i="21"/>
  <c r="D90" i="21"/>
  <c r="C33" i="21" l="1"/>
  <c r="G28" i="21"/>
  <c r="C28" i="21"/>
  <c r="C90" i="21"/>
  <c r="C27" i="21" s="1"/>
  <c r="E11" i="21"/>
  <c r="I11" i="21"/>
  <c r="G11" i="21"/>
  <c r="G5" i="21"/>
  <c r="K21" i="1"/>
  <c r="K22" i="1"/>
  <c r="L22" i="1"/>
  <c r="K23" i="1"/>
  <c r="I23" i="1"/>
  <c r="I16" i="1"/>
  <c r="D2" i="4"/>
  <c r="B2" i="1"/>
  <c r="G19" i="43"/>
  <c r="M20" i="43"/>
  <c r="C19" i="43"/>
  <c r="B23" i="1"/>
  <c r="B13" i="1"/>
  <c r="I20" i="43" s="1"/>
  <c r="C20" i="43" s="1"/>
  <c r="G2" i="43"/>
  <c r="I2" i="43"/>
  <c r="M7" i="43"/>
  <c r="G17" i="43"/>
  <c r="H17" i="43"/>
  <c r="I17" i="43"/>
  <c r="J17" i="43"/>
  <c r="C17" i="43"/>
  <c r="C16" i="43" s="1"/>
  <c r="F39" i="43"/>
  <c r="C24" i="43"/>
  <c r="F38" i="43"/>
  <c r="F37" i="43"/>
  <c r="D5" i="43"/>
  <c r="F36" i="43"/>
  <c r="F35" i="43"/>
  <c r="F34" i="43"/>
  <c r="M48" i="15"/>
  <c r="J50" i="15"/>
  <c r="J51" i="15"/>
  <c r="J52" i="15"/>
  <c r="B25" i="1"/>
  <c r="AH5" i="59"/>
  <c r="AG5" i="59"/>
  <c r="AE5" i="59"/>
  <c r="AF5" i="59"/>
  <c r="AD5" i="59"/>
  <c r="Q5" i="59"/>
  <c r="P5" i="59"/>
  <c r="O5" i="59"/>
  <c r="N5" i="59"/>
  <c r="B5" i="1"/>
  <c r="F7" i="15"/>
  <c r="F6" i="15"/>
  <c r="F9" i="15"/>
  <c r="F8" i="15"/>
  <c r="I113" i="57"/>
  <c r="M50" i="57"/>
  <c r="M49" i="9"/>
  <c r="L3" i="59"/>
  <c r="K3" i="59"/>
  <c r="J3" i="59"/>
  <c r="I3" i="59"/>
  <c r="AH6" i="59"/>
  <c r="AG6" i="59"/>
  <c r="AE6" i="59"/>
  <c r="AF6" i="59"/>
  <c r="AD6" i="59"/>
  <c r="Q6" i="59"/>
  <c r="AB5" i="59"/>
  <c r="P6" i="59"/>
  <c r="O6" i="59"/>
  <c r="Y5" i="59"/>
  <c r="Z5" i="59"/>
  <c r="N6" i="59"/>
  <c r="X5" i="59"/>
  <c r="Q7" i="59"/>
  <c r="P7" i="59"/>
  <c r="O7" i="59"/>
  <c r="N7" i="59"/>
  <c r="D7" i="59"/>
  <c r="AA5" i="59"/>
  <c r="E6" i="59"/>
  <c r="U6" i="59"/>
  <c r="F6" i="59"/>
  <c r="AB6" i="59"/>
  <c r="E5" i="59"/>
  <c r="AA6" i="59"/>
  <c r="C6" i="59"/>
  <c r="T6" i="59"/>
  <c r="Y6" i="59"/>
  <c r="Z6" i="59"/>
  <c r="B6" i="59"/>
  <c r="S6" i="59"/>
  <c r="X6" i="59"/>
  <c r="A2" i="50"/>
  <c r="F5" i="59"/>
  <c r="V6" i="59"/>
  <c r="B5" i="59"/>
  <c r="D6" i="59"/>
  <c r="C5" i="59"/>
  <c r="D5" i="59"/>
  <c r="K60" i="15"/>
  <c r="P59" i="15"/>
  <c r="P72" i="15"/>
  <c r="A132" i="57"/>
  <c r="A130" i="57"/>
  <c r="A128" i="57"/>
  <c r="A126" i="57"/>
  <c r="A129" i="9"/>
  <c r="A127" i="9"/>
  <c r="A125" i="9"/>
  <c r="A123" i="9"/>
  <c r="A16" i="54"/>
  <c r="A14" i="54"/>
  <c r="A19" i="55"/>
  <c r="A13" i="55"/>
  <c r="A1" i="52"/>
  <c r="A4" i="50"/>
  <c r="P8" i="59"/>
  <c r="O8" i="59"/>
  <c r="N8" i="59"/>
  <c r="Q8" i="59"/>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s="1"/>
  <c r="C7" i="62" s="1"/>
  <c r="B3" i="62"/>
  <c r="M19" i="43"/>
  <c r="O9" i="59"/>
  <c r="P9" i="59"/>
  <c r="Q9" i="59"/>
  <c r="N9"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B18" i="60" s="1"/>
  <c r="A13" i="54"/>
  <c r="B51" i="60"/>
  <c r="B50" i="60"/>
  <c r="B47"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1" i="59"/>
  <c r="F70" i="59"/>
  <c r="E70" i="59"/>
  <c r="E69" i="59"/>
  <c r="E68" i="59"/>
  <c r="C70" i="59"/>
  <c r="D70" i="59"/>
  <c r="B70" i="59"/>
  <c r="F69" i="59"/>
  <c r="F68" i="59"/>
  <c r="B69" i="59"/>
  <c r="B68" i="59"/>
  <c r="D67" i="59"/>
  <c r="F66" i="59"/>
  <c r="E66" i="59"/>
  <c r="E65" i="59"/>
  <c r="E64" i="59"/>
  <c r="C66" i="59"/>
  <c r="D66" i="59"/>
  <c r="B66" i="59"/>
  <c r="F65" i="59"/>
  <c r="F64" i="59"/>
  <c r="B65" i="59"/>
  <c r="B64"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U58" i="59"/>
  <c r="C58" i="59"/>
  <c r="T58" i="59"/>
  <c r="B58" i="59"/>
  <c r="Q57" i="59"/>
  <c r="P57" i="59"/>
  <c r="O57" i="59"/>
  <c r="N57" i="59"/>
  <c r="F57" i="59"/>
  <c r="F56" i="59"/>
  <c r="B57" i="59"/>
  <c r="B56"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c r="B53" i="59"/>
  <c r="B52" i="59"/>
  <c r="Q52" i="59"/>
  <c r="P52" i="59"/>
  <c r="O52" i="59"/>
  <c r="N52" i="59"/>
  <c r="Q51" i="59"/>
  <c r="P51" i="59"/>
  <c r="O51" i="59"/>
  <c r="N51" i="59"/>
  <c r="D51" i="59"/>
  <c r="U50" i="59"/>
  <c r="S50" i="59"/>
  <c r="P50" i="59"/>
  <c r="N50" i="59"/>
  <c r="F50" i="59"/>
  <c r="V50" i="59"/>
  <c r="E50" i="59"/>
  <c r="E49" i="59"/>
  <c r="P49" i="59"/>
  <c r="C50" i="59"/>
  <c r="B50" i="59"/>
  <c r="F49" i="59"/>
  <c r="F48" i="59"/>
  <c r="Q48" i="59"/>
  <c r="B49" i="59"/>
  <c r="E48" i="59"/>
  <c r="P47"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F37" i="59"/>
  <c r="F38" i="59"/>
  <c r="V38" i="59"/>
  <c r="Q36" i="59"/>
  <c r="P36" i="59"/>
  <c r="O36" i="59"/>
  <c r="N36" i="59"/>
  <c r="E36" i="59"/>
  <c r="C36" i="59"/>
  <c r="Q35" i="59"/>
  <c r="F36" i="59"/>
  <c r="P35" i="59"/>
  <c r="O35" i="59"/>
  <c r="N35" i="59"/>
  <c r="B36" i="59"/>
  <c r="B37" i="59"/>
  <c r="B38" i="59"/>
  <c r="S38" i="59"/>
  <c r="D35" i="59"/>
  <c r="Q34" i="59"/>
  <c r="P34" i="59"/>
  <c r="O34" i="59"/>
  <c r="N34" i="59"/>
  <c r="Q33" i="59"/>
  <c r="P33" i="59"/>
  <c r="O33" i="59"/>
  <c r="N33" i="59"/>
  <c r="Q32" i="59"/>
  <c r="P32" i="59"/>
  <c r="O32" i="59"/>
  <c r="N32" i="59"/>
  <c r="E32" i="59"/>
  <c r="E33" i="59"/>
  <c r="E34" i="59"/>
  <c r="U34" i="59"/>
  <c r="Q31" i="59"/>
  <c r="F32" i="59"/>
  <c r="F33" i="59"/>
  <c r="F34" i="59"/>
  <c r="V34" i="59"/>
  <c r="P31" i="59"/>
  <c r="O31" i="59"/>
  <c r="C32" i="59"/>
  <c r="N31" i="59"/>
  <c r="B32" i="59"/>
  <c r="B33" i="59"/>
  <c r="B34" i="59"/>
  <c r="S34" i="59"/>
  <c r="D31" i="59"/>
  <c r="T30" i="59"/>
  <c r="Q30" i="59"/>
  <c r="P30" i="59"/>
  <c r="O30" i="59"/>
  <c r="N30" i="59"/>
  <c r="D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AB21" i="59"/>
  <c r="Q21" i="59"/>
  <c r="P21" i="59"/>
  <c r="AA21" i="59"/>
  <c r="O21" i="59"/>
  <c r="Y21" i="59"/>
  <c r="Z21" i="59"/>
  <c r="N21" i="59"/>
  <c r="X21" i="59"/>
  <c r="Z20"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Q14" i="59"/>
  <c r="P14" i="59"/>
  <c r="O14" i="59"/>
  <c r="N14" i="59"/>
  <c r="Q13" i="59"/>
  <c r="P13" i="59"/>
  <c r="O13" i="59"/>
  <c r="N13" i="59"/>
  <c r="Q12" i="59"/>
  <c r="P12" i="59"/>
  <c r="O12" i="59"/>
  <c r="N12" i="59"/>
  <c r="F12" i="59"/>
  <c r="F13" i="59"/>
  <c r="F14" i="59"/>
  <c r="V14" i="59"/>
  <c r="Q11" i="59"/>
  <c r="P11" i="59"/>
  <c r="E12" i="59"/>
  <c r="E13" i="59"/>
  <c r="E14" i="59"/>
  <c r="U14" i="59"/>
  <c r="O11" i="59"/>
  <c r="C12" i="59"/>
  <c r="N11" i="59"/>
  <c r="B12" i="59"/>
  <c r="B13" i="59"/>
  <c r="B14" i="59"/>
  <c r="S14" i="59"/>
  <c r="D11" i="59"/>
  <c r="O10" i="59"/>
  <c r="N10" i="59"/>
  <c r="C10" i="59"/>
  <c r="T10" i="59"/>
  <c r="Y3" i="59"/>
  <c r="Z3" i="59"/>
  <c r="Y7" i="59"/>
  <c r="Z7" i="59"/>
  <c r="Y8" i="59"/>
  <c r="Z8" i="59"/>
  <c r="Y10" i="59"/>
  <c r="Z10" i="59"/>
  <c r="Y9" i="59"/>
  <c r="Z9" i="59"/>
  <c r="B10" i="59"/>
  <c r="X10" i="59"/>
  <c r="X9" i="59"/>
  <c r="X3" i="59"/>
  <c r="X7" i="59"/>
  <c r="X8" i="59"/>
  <c r="C13" i="59"/>
  <c r="D12" i="59"/>
  <c r="C17" i="59"/>
  <c r="D16" i="59"/>
  <c r="C21" i="59"/>
  <c r="D20" i="59"/>
  <c r="C25" i="59"/>
  <c r="D24" i="59"/>
  <c r="C29" i="59"/>
  <c r="D29" i="59"/>
  <c r="D28" i="59"/>
  <c r="C33" i="59"/>
  <c r="D32" i="59"/>
  <c r="P10" i="59"/>
  <c r="E37" i="59"/>
  <c r="E38" i="59"/>
  <c r="U38" i="59"/>
  <c r="E41" i="59"/>
  <c r="E42" i="59"/>
  <c r="U42" i="59"/>
  <c r="E45" i="59"/>
  <c r="E46" i="59"/>
  <c r="U46" i="59"/>
  <c r="Q47" i="59"/>
  <c r="P48" i="59"/>
  <c r="U54" i="59"/>
  <c r="E53" i="59"/>
  <c r="E52" i="59"/>
  <c r="Q10" i="59"/>
  <c r="C37" i="59"/>
  <c r="D36" i="59"/>
  <c r="C41" i="59"/>
  <c r="D40" i="59"/>
  <c r="C45" i="59"/>
  <c r="D44" i="59"/>
  <c r="N49" i="59"/>
  <c r="B48" i="59"/>
  <c r="Q49" i="59"/>
  <c r="T50" i="59"/>
  <c r="O50" i="59"/>
  <c r="D50" i="59"/>
  <c r="C49" i="59"/>
  <c r="T54" i="59"/>
  <c r="D54" i="59"/>
  <c r="C53" i="59"/>
  <c r="Q50" i="59"/>
  <c r="C57" i="59"/>
  <c r="E57" i="59"/>
  <c r="E56" i="59"/>
  <c r="D58" i="59"/>
  <c r="C61" i="59"/>
  <c r="E61" i="59"/>
  <c r="E60" i="59"/>
  <c r="D62" i="59"/>
  <c r="C65" i="59"/>
  <c r="C69" i="59"/>
  <c r="B9" i="59"/>
  <c r="B8" i="59"/>
  <c r="S10" i="59"/>
  <c r="F10" i="59"/>
  <c r="AB3" i="59"/>
  <c r="AB7" i="59"/>
  <c r="AB8" i="59"/>
  <c r="AB9" i="59"/>
  <c r="AB10" i="59"/>
  <c r="E10" i="59"/>
  <c r="AA8" i="59"/>
  <c r="AA9" i="59"/>
  <c r="AA10" i="59"/>
  <c r="AA3" i="59"/>
  <c r="AA7" i="59"/>
  <c r="C9" i="59"/>
  <c r="D10" i="59"/>
  <c r="D65" i="59"/>
  <c r="C64" i="59"/>
  <c r="D64" i="59"/>
  <c r="D57" i="59"/>
  <c r="C56" i="59"/>
  <c r="D56" i="59"/>
  <c r="C52" i="59"/>
  <c r="D52" i="59"/>
  <c r="D53" i="59"/>
  <c r="C34" i="59"/>
  <c r="D33" i="59"/>
  <c r="D69" i="59"/>
  <c r="C68" i="59"/>
  <c r="D68" i="59"/>
  <c r="D61" i="59"/>
  <c r="C60" i="59"/>
  <c r="D60" i="59"/>
  <c r="C48" i="59"/>
  <c r="O49" i="59"/>
  <c r="D49" i="59"/>
  <c r="C46" i="59"/>
  <c r="D45" i="59"/>
  <c r="C42" i="59"/>
  <c r="D41" i="59"/>
  <c r="C38" i="59"/>
  <c r="D37" i="59"/>
  <c r="N47" i="59"/>
  <c r="N48" i="59"/>
  <c r="C26" i="59"/>
  <c r="D25" i="59"/>
  <c r="C22" i="59"/>
  <c r="D21" i="59"/>
  <c r="C18" i="59"/>
  <c r="D17" i="59"/>
  <c r="C14" i="59"/>
  <c r="D13" i="59"/>
  <c r="D9" i="59"/>
  <c r="C8" i="59"/>
  <c r="D8" i="59"/>
  <c r="E9" i="59"/>
  <c r="E8" i="59"/>
  <c r="U10" i="59"/>
  <c r="F9" i="59"/>
  <c r="F8" i="59"/>
  <c r="V10" i="59"/>
  <c r="O48" i="59"/>
  <c r="D48" i="59"/>
  <c r="O47" i="59"/>
  <c r="T34" i="59"/>
  <c r="D34" i="59"/>
  <c r="T14" i="59"/>
  <c r="D14" i="59"/>
  <c r="T18" i="59"/>
  <c r="D18" i="59"/>
  <c r="T22" i="59"/>
  <c r="D22" i="59"/>
  <c r="T26" i="59"/>
  <c r="D26" i="59"/>
  <c r="T38" i="59"/>
  <c r="D38" i="59"/>
  <c r="T42" i="59"/>
  <c r="D42" i="59"/>
  <c r="T46" i="59"/>
  <c r="D46" i="59"/>
  <c r="B86" i="43"/>
  <c r="C22" i="20"/>
  <c r="B75" i="43"/>
  <c r="B66" i="43"/>
  <c r="B55" i="43"/>
  <c r="Z25" i="40"/>
  <c r="Q25" i="40"/>
  <c r="E94" i="40"/>
  <c r="F94" i="40"/>
  <c r="D94" i="40"/>
  <c r="H25" i="40"/>
  <c r="U25" i="40"/>
  <c r="F25" i="40"/>
  <c r="AA25" i="40"/>
  <c r="C25" i="40"/>
  <c r="Z27" i="39"/>
  <c r="Q27" i="39"/>
  <c r="D101" i="39"/>
  <c r="E101" i="39"/>
  <c r="F101" i="39"/>
  <c r="C29" i="39"/>
  <c r="C21" i="20"/>
  <c r="C27" i="39" s="1"/>
  <c r="Z18" i="36"/>
  <c r="Q18" i="36"/>
  <c r="F18" i="36"/>
  <c r="AA18" i="36"/>
  <c r="C18" i="36"/>
  <c r="E66" i="36"/>
  <c r="F66" i="36"/>
  <c r="G66" i="36"/>
  <c r="D66" i="36"/>
  <c r="Z18" i="35"/>
  <c r="Q18" i="35"/>
  <c r="D68" i="35"/>
  <c r="E68" i="35"/>
  <c r="F68" i="35"/>
  <c r="G68" i="35"/>
  <c r="J18" i="35"/>
  <c r="AC18" i="35" s="1"/>
  <c r="H18" i="35"/>
  <c r="AB18" i="35" s="1"/>
  <c r="F18" i="35"/>
  <c r="AA18" i="35" s="1"/>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AB25" i="40"/>
  <c r="S25" i="40"/>
  <c r="S18" i="36"/>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s="1"/>
  <c r="F33" i="15"/>
  <c r="F62" i="15"/>
  <c r="F36" i="15"/>
  <c r="F65" i="15"/>
  <c r="F13" i="15"/>
  <c r="F37" i="15"/>
  <c r="F66" i="15" s="1"/>
  <c r="F38" i="15"/>
  <c r="F67" i="15"/>
  <c r="M6" i="15"/>
  <c r="M8" i="15"/>
  <c r="M9" i="15"/>
  <c r="G58" i="40"/>
  <c r="C58" i="40" s="1"/>
  <c r="M19" i="15"/>
  <c r="M24" i="15"/>
  <c r="M22" i="15"/>
  <c r="J15" i="15"/>
  <c r="M23" i="15"/>
  <c r="C2" i="11"/>
  <c r="F2" i="11"/>
  <c r="C7" i="12"/>
  <c r="C8" i="12" s="1"/>
  <c r="C4" i="12" s="1"/>
  <c r="D20" i="12"/>
  <c r="D19" i="12"/>
  <c r="D17" i="12"/>
  <c r="D14" i="12"/>
  <c r="C2" i="12"/>
  <c r="B24" i="1"/>
  <c r="F11" i="12"/>
  <c r="F28" i="12"/>
  <c r="I1" i="4"/>
  <c r="B6" i="50" s="1"/>
  <c r="B17" i="60" s="1"/>
  <c r="B1" i="4"/>
  <c r="B9" i="49"/>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c r="B12" i="49"/>
  <c r="B3" i="60"/>
  <c r="B2" i="48"/>
  <c r="B23" i="48" s="1"/>
  <c r="D23" i="48" s="1"/>
  <c r="H6" i="44"/>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c r="C9" i="43"/>
  <c r="A7" i="43"/>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c r="G54" i="33"/>
  <c r="H54" i="33"/>
  <c r="E54" i="33"/>
  <c r="G111" i="21"/>
  <c r="H111" i="21"/>
  <c r="B110" i="39"/>
  <c r="F35" i="39"/>
  <c r="S35" i="39"/>
  <c r="B112" i="39"/>
  <c r="J30" i="36"/>
  <c r="H30" i="36"/>
  <c r="F30" i="36"/>
  <c r="AA30" i="36"/>
  <c r="C79" i="35"/>
  <c r="J31" i="35"/>
  <c r="H31" i="35"/>
  <c r="AB31" i="35" s="1"/>
  <c r="F31" i="35"/>
  <c r="D87" i="35"/>
  <c r="E87" i="35" s="1"/>
  <c r="F87" i="35" s="1"/>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s="1"/>
  <c r="D64" i="35"/>
  <c r="E64" i="35"/>
  <c r="F64" i="35"/>
  <c r="G64" i="35"/>
  <c r="J14" i="35"/>
  <c r="AC14" i="35" s="1"/>
  <c r="F56" i="35"/>
  <c r="G56" i="35"/>
  <c r="H56" i="35"/>
  <c r="I56" i="35"/>
  <c r="C53" i="35"/>
  <c r="P39" i="35"/>
  <c r="P38" i="35"/>
  <c r="V37" i="35"/>
  <c r="T37" i="35"/>
  <c r="R37" i="35"/>
  <c r="P37" i="35"/>
  <c r="Q36" i="35"/>
  <c r="Z36" i="35" s="1"/>
  <c r="J36" i="35"/>
  <c r="AC36" i="35" s="1"/>
  <c r="Q35" i="35"/>
  <c r="Z35" i="35"/>
  <c r="Q34" i="35"/>
  <c r="Z34" i="35" s="1"/>
  <c r="J34" i="35"/>
  <c r="AC34" i="35" s="1"/>
  <c r="Q33" i="35"/>
  <c r="Z33" i="35" s="1"/>
  <c r="Q32" i="35"/>
  <c r="Z32" i="35"/>
  <c r="H32" i="35"/>
  <c r="AB32" i="35" s="1"/>
  <c r="F32" i="35"/>
  <c r="AA32" i="35" s="1"/>
  <c r="Q31" i="35"/>
  <c r="Z31" i="35"/>
  <c r="AC31" i="35"/>
  <c r="AA31" i="35"/>
  <c r="Q30" i="35"/>
  <c r="Z30" i="35" s="1"/>
  <c r="Q29" i="35"/>
  <c r="Z29" i="35" s="1"/>
  <c r="Q28" i="35"/>
  <c r="Z28" i="35"/>
  <c r="J28" i="35"/>
  <c r="AC28" i="35" s="1"/>
  <c r="H28" i="35"/>
  <c r="AB28" i="35" s="1"/>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c r="Q12" i="35"/>
  <c r="Z12" i="35"/>
  <c r="J12" i="35"/>
  <c r="W12" i="35" s="1"/>
  <c r="H12" i="35"/>
  <c r="U12" i="35" s="1"/>
  <c r="F12" i="35"/>
  <c r="S12" i="35" s="1"/>
  <c r="Q11" i="35"/>
  <c r="Z11" i="35" s="1"/>
  <c r="Q10" i="35"/>
  <c r="Z10" i="35"/>
  <c r="Q9" i="35"/>
  <c r="Z9" i="35"/>
  <c r="J9" i="35"/>
  <c r="AC9" i="35" s="1"/>
  <c r="H9" i="35"/>
  <c r="AB9" i="35" s="1"/>
  <c r="F9" i="35"/>
  <c r="AA9" i="35" s="1"/>
  <c r="J8" i="35"/>
  <c r="AC8" i="35" s="1"/>
  <c r="H8" i="35"/>
  <c r="AB8" i="35" s="1"/>
  <c r="F8" i="35"/>
  <c r="AA8" i="35" s="1"/>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0" i="20"/>
  <c r="B77" i="43" s="1"/>
  <c r="C18" i="20"/>
  <c r="B71" i="43" s="1"/>
  <c r="C17" i="20"/>
  <c r="B59" i="43"/>
  <c r="C16" i="20"/>
  <c r="B48" i="43"/>
  <c r="C15" i="20"/>
  <c r="B70" i="43" s="1"/>
  <c r="E54" i="21"/>
  <c r="F54" i="21" s="1"/>
  <c r="I54" i="21"/>
  <c r="J54" i="21" s="1"/>
  <c r="G54" i="21"/>
  <c r="H54" i="21" s="1"/>
  <c r="D125" i="21"/>
  <c r="E125" i="21" s="1"/>
  <c r="D123" i="21"/>
  <c r="E123" i="21"/>
  <c r="F123" i="21"/>
  <c r="G123" i="21"/>
  <c r="H123" i="21"/>
  <c r="I123" i="21"/>
  <c r="J123" i="21"/>
  <c r="K123" i="21"/>
  <c r="L123" i="21"/>
  <c r="M123" i="21"/>
  <c r="F42" i="21"/>
  <c r="AA42" i="21" s="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s="1"/>
  <c r="Q45" i="21"/>
  <c r="Z45" i="21" s="1"/>
  <c r="Q46" i="21"/>
  <c r="Z46" i="21" s="1"/>
  <c r="P47" i="21"/>
  <c r="R47" i="21"/>
  <c r="T47" i="21"/>
  <c r="V47" i="21"/>
  <c r="P48" i="21"/>
  <c r="P49" i="21"/>
  <c r="F8" i="21"/>
  <c r="AA8" i="21"/>
  <c r="E10" i="11"/>
  <c r="E9" i="11"/>
  <c r="H38" i="21"/>
  <c r="U38" i="21"/>
  <c r="F38" i="21"/>
  <c r="F36" i="21"/>
  <c r="S36" i="21"/>
  <c r="F39" i="21"/>
  <c r="S39" i="21"/>
  <c r="H35" i="21"/>
  <c r="AB35" i="21"/>
  <c r="J8" i="21"/>
  <c r="AC8" i="21"/>
  <c r="J9" i="21"/>
  <c r="W9" i="21"/>
  <c r="H8" i="21"/>
  <c r="U8" i="21"/>
  <c r="H9" i="21"/>
  <c r="AB9" i="21"/>
  <c r="H10" i="21"/>
  <c r="AB10" i="21"/>
  <c r="H36" i="21"/>
  <c r="U36" i="21"/>
  <c r="F35" i="21"/>
  <c r="AA35" i="21"/>
  <c r="J33" i="21"/>
  <c r="W33" i="21" s="1"/>
  <c r="H33" i="21"/>
  <c r="AB33" i="21" s="1"/>
  <c r="F33" i="21"/>
  <c r="AA33" i="21" s="1"/>
  <c r="J10" i="21"/>
  <c r="AC10" i="21"/>
  <c r="H26" i="21"/>
  <c r="AB26" i="21" s="1"/>
  <c r="F19" i="21"/>
  <c r="AA19" i="21"/>
  <c r="H19" i="21"/>
  <c r="AB19" i="21"/>
  <c r="J19" i="21"/>
  <c r="W19" i="2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s="1"/>
  <c r="U31" i="35"/>
  <c r="S32" i="35"/>
  <c r="S31" i="35"/>
  <c r="W31" i="35"/>
  <c r="F36" i="34"/>
  <c r="AA36" i="34"/>
  <c r="U39" i="34"/>
  <c r="H39" i="33"/>
  <c r="AB39" i="33"/>
  <c r="F26" i="33"/>
  <c r="AA26" i="33"/>
  <c r="S40" i="33"/>
  <c r="W8" i="21"/>
  <c r="AC38" i="21"/>
  <c r="H39" i="37"/>
  <c r="AB39" i="37"/>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s="1"/>
  <c r="H30" i="35"/>
  <c r="AB30" i="35" s="1"/>
  <c r="F22" i="35"/>
  <c r="AA22" i="35" s="1"/>
  <c r="H10" i="35"/>
  <c r="U10" i="35" s="1"/>
  <c r="U33" i="36"/>
  <c r="AB29" i="36"/>
  <c r="F33" i="36"/>
  <c r="S33" i="36"/>
  <c r="E85" i="36"/>
  <c r="F85" i="36"/>
  <c r="G85" i="36"/>
  <c r="H85" i="36"/>
  <c r="I85" i="36"/>
  <c r="J85" i="36"/>
  <c r="K85" i="36"/>
  <c r="L85" i="36"/>
  <c r="M85" i="36"/>
  <c r="J29" i="36"/>
  <c r="AC29" i="36"/>
  <c r="F12" i="36"/>
  <c r="AA12" i="36"/>
  <c r="F34" i="36"/>
  <c r="AA34" i="36"/>
  <c r="H20" i="36"/>
  <c r="J20" i="36"/>
  <c r="W20" i="36"/>
  <c r="AB8" i="36"/>
  <c r="F14" i="35"/>
  <c r="S14" i="35" s="1"/>
  <c r="F23" i="35"/>
  <c r="AA23" i="35" s="1"/>
  <c r="J32" i="35"/>
  <c r="AC32" i="35" s="1"/>
  <c r="J16" i="35"/>
  <c r="W16" i="35" s="1"/>
  <c r="H14" i="35"/>
  <c r="AB14" i="35" s="1"/>
  <c r="H33" i="35"/>
  <c r="AB33" i="35" s="1"/>
  <c r="W8" i="35"/>
  <c r="J20" i="35"/>
  <c r="W20" i="35" s="1"/>
  <c r="H20" i="35"/>
  <c r="U20" i="35" s="1"/>
  <c r="F20" i="35"/>
  <c r="AA20" i="35" s="1"/>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s="1"/>
  <c r="J14" i="21"/>
  <c r="W14" i="21"/>
  <c r="F14" i="21"/>
  <c r="S14" i="21"/>
  <c r="H14" i="21"/>
  <c r="AB14" i="2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S28" i="33"/>
  <c r="J28" i="33"/>
  <c r="AC28" i="33"/>
  <c r="F33" i="35"/>
  <c r="S33" i="35" s="1"/>
  <c r="J33" i="35"/>
  <c r="AC33" i="35" s="1"/>
  <c r="F30" i="35"/>
  <c r="S30" i="35" s="1"/>
  <c r="E89" i="35"/>
  <c r="F89" i="35"/>
  <c r="G89" i="35" s="1"/>
  <c r="H89" i="35" s="1"/>
  <c r="I89" i="35" s="1"/>
  <c r="J89" i="35" s="1"/>
  <c r="K89" i="35" s="1"/>
  <c r="L89" i="35" s="1"/>
  <c r="M89" i="35" s="1"/>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s="1"/>
  <c r="J11" i="35"/>
  <c r="AC11" i="35" s="1"/>
  <c r="F11" i="35"/>
  <c r="S11" i="35" s="1"/>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s="1"/>
  <c r="J13" i="35"/>
  <c r="AC13" i="35" s="1"/>
  <c r="H13" i="35"/>
  <c r="U13" i="35" s="1"/>
  <c r="J25" i="35"/>
  <c r="W25" i="35" s="1"/>
  <c r="F25" i="35"/>
  <c r="S25" i="35" s="1"/>
  <c r="H25" i="35"/>
  <c r="AB25" i="35" s="1"/>
  <c r="J35" i="35"/>
  <c r="AC35" i="35" s="1"/>
  <c r="F35" i="35"/>
  <c r="AA35" i="35" s="1"/>
  <c r="H35" i="35"/>
  <c r="AB35" i="35" s="1"/>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s="1"/>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s="1"/>
  <c r="J118" i="43" s="1"/>
  <c r="K118" i="43" s="1"/>
  <c r="L118" i="43" s="1"/>
  <c r="M118" i="43" s="1"/>
  <c r="M101" i="43"/>
  <c r="M103" i="43" s="1"/>
  <c r="K101" i="43"/>
  <c r="K109" i="43" s="1"/>
  <c r="I101" i="43"/>
  <c r="I102" i="43" s="1"/>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A35" i="39"/>
  <c r="AB21" i="39"/>
  <c r="U25" i="35"/>
  <c r="W44" i="33"/>
  <c r="U36" i="37"/>
  <c r="AB46" i="34"/>
  <c r="S14" i="34"/>
  <c r="AA14" i="34"/>
  <c r="AB38" i="34"/>
  <c r="U38" i="34"/>
  <c r="F40" i="34"/>
  <c r="AA40" i="34"/>
  <c r="G118" i="34"/>
  <c r="U20" i="36"/>
  <c r="AB20" i="36"/>
  <c r="AA16" i="36"/>
  <c r="AC44" i="39"/>
  <c r="W44" i="39"/>
  <c r="H13" i="21"/>
  <c r="U13" i="21"/>
  <c r="J13" i="21"/>
  <c r="F13" i="21"/>
  <c r="AA13" i="21"/>
  <c r="J45" i="21"/>
  <c r="W45" i="21" s="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U32" i="34"/>
  <c r="AB32" i="34"/>
  <c r="AA30" i="34"/>
  <c r="H45" i="21"/>
  <c r="AB45" i="21" s="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W11" i="21"/>
  <c r="S45" i="39"/>
  <c r="AA45" i="39"/>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s="1"/>
  <c r="J24" i="35"/>
  <c r="AC24" i="35" s="1"/>
  <c r="F24" i="35"/>
  <c r="AA24" i="35" s="1"/>
  <c r="H24" i="35"/>
  <c r="U24" i="35" s="1"/>
  <c r="H34" i="35"/>
  <c r="U34" i="35" s="1"/>
  <c r="F34" i="35"/>
  <c r="AA34" i="35" s="1"/>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AB34" i="21"/>
  <c r="H11" i="34"/>
  <c r="U11" i="34"/>
  <c r="S17" i="37"/>
  <c r="J11" i="37"/>
  <c r="AC11" i="37"/>
  <c r="AC36" i="34"/>
  <c r="W12" i="39"/>
  <c r="AC12" i="39"/>
  <c r="W9" i="34"/>
  <c r="AB13" i="21"/>
  <c r="AC37" i="37"/>
  <c r="U38" i="40"/>
  <c r="F23" i="39"/>
  <c r="AA23" i="39"/>
  <c r="F97" i="39"/>
  <c r="G97" i="39"/>
  <c r="S26" i="37"/>
  <c r="S24" i="36"/>
  <c r="F44" i="34"/>
  <c r="F126" i="34"/>
  <c r="G126" i="34"/>
  <c r="J44" i="34"/>
  <c r="AC44" i="34"/>
  <c r="S40" i="21"/>
  <c r="U31" i="37"/>
  <c r="W27" i="37"/>
  <c r="AB27" i="37"/>
  <c r="H60" i="37"/>
  <c r="H10" i="37"/>
  <c r="U10" i="37"/>
  <c r="AA27" i="33"/>
  <c r="AB43" i="33"/>
  <c r="S31" i="21"/>
  <c r="AB29" i="21"/>
  <c r="AC27" i="36"/>
  <c r="W27" i="36"/>
  <c r="U9" i="34"/>
  <c r="F101" i="33"/>
  <c r="G101" i="33"/>
  <c r="H101" i="33"/>
  <c r="I101" i="33"/>
  <c r="J101" i="33"/>
  <c r="K101" i="33"/>
  <c r="L101" i="33"/>
  <c r="M101" i="33"/>
  <c r="J32" i="33"/>
  <c r="W32" i="33"/>
  <c r="H32" i="33"/>
  <c r="AB32" i="33"/>
  <c r="W40" i="34"/>
  <c r="U12" i="36"/>
  <c r="AC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s="1"/>
  <c r="D93" i="9"/>
  <c r="D37" i="11"/>
  <c r="C37" i="11" s="1"/>
  <c r="M29" i="15"/>
  <c r="P51" i="15"/>
  <c r="H56" i="43"/>
  <c r="D10" i="11"/>
  <c r="C10" i="11" s="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W14" i="35"/>
  <c r="W34" i="35"/>
  <c r="U35" i="35"/>
  <c r="U8" i="35"/>
  <c r="AB12" i="35"/>
  <c r="AA13" i="35"/>
  <c r="AB13"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26" i="21"/>
  <c r="AB39" i="21"/>
  <c r="W40" i="21"/>
  <c r="AC37" i="21"/>
  <c r="W34" i="21"/>
  <c r="AB23" i="21"/>
  <c r="U19" i="21"/>
  <c r="U26" i="21"/>
  <c r="U30" i="21"/>
  <c r="AB36" i="21"/>
  <c r="S17" i="21"/>
  <c r="AA36"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s="1"/>
  <c r="C47" i="11"/>
  <c r="D45" i="11" s="1"/>
  <c r="C36" i="57"/>
  <c r="F124" i="57"/>
  <c r="G124" i="57"/>
  <c r="Y25" i="31"/>
  <c r="C35" i="57"/>
  <c r="D124" i="57"/>
  <c r="D125" i="57"/>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c r="F2" i="21"/>
  <c r="F2" i="34"/>
  <c r="F2" i="35"/>
  <c r="F2" i="33"/>
  <c r="S29" i="31"/>
  <c r="C109" i="9"/>
  <c r="H106" i="9"/>
  <c r="C111" i="9"/>
  <c r="H108" i="9"/>
  <c r="H105" i="9"/>
  <c r="C110" i="9"/>
  <c r="H107" i="9"/>
  <c r="D35" i="57"/>
  <c r="C117" i="57"/>
  <c r="H113" i="57"/>
  <c r="C114" i="9"/>
  <c r="H112" i="9"/>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20" i="11" s="1"/>
  <c r="C28" i="11" s="1"/>
  <c r="C27" i="11" s="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AB7" i="35" s="1"/>
  <c r="F7" i="35"/>
  <c r="AA7" i="35" s="1"/>
  <c r="J7" i="35"/>
  <c r="AC7" i="35" s="1"/>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B117" i="43"/>
  <c r="C117" i="43" s="1"/>
  <c r="M109" i="43"/>
  <c r="I107" i="43"/>
  <c r="N106" i="43"/>
  <c r="J105" i="43"/>
  <c r="F104" i="43"/>
  <c r="G37" i="47"/>
  <c r="C23" i="43"/>
  <c r="C7" i="34"/>
  <c r="C59" i="34"/>
  <c r="D59" i="34"/>
  <c r="C7" i="36"/>
  <c r="C46" i="36"/>
  <c r="A10" i="52"/>
  <c r="B66" i="60"/>
  <c r="J20" i="15"/>
  <c r="H86" i="43"/>
  <c r="K86" i="43"/>
  <c r="J86" i="43"/>
  <c r="D86" i="43"/>
  <c r="H87" i="43"/>
  <c r="M87" i="43"/>
  <c r="N87" i="43"/>
  <c r="K82" i="43"/>
  <c r="J82" i="43"/>
  <c r="D82"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11" i="43"/>
  <c r="N4" i="43"/>
  <c r="N8" i="43"/>
  <c r="N12" i="43"/>
  <c r="H8" i="44"/>
  <c r="H10" i="44"/>
  <c r="D22" i="43"/>
  <c r="H7" i="44"/>
  <c r="H12" i="44"/>
  <c r="H9" i="44"/>
  <c r="C63" i="39"/>
  <c r="G64" i="39"/>
  <c r="C64" i="39" s="1"/>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J6" i="15" s="1"/>
  <c r="M17" i="15"/>
  <c r="F35" i="15"/>
  <c r="F64" i="15"/>
  <c r="C63" i="15"/>
  <c r="E18" i="1"/>
  <c r="C14" i="15" s="1"/>
  <c r="C15"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U33" i="35"/>
  <c r="S36" i="35"/>
  <c r="U22" i="35"/>
  <c r="AA33" i="35"/>
  <c r="S22" i="35"/>
  <c r="AB27" i="35"/>
  <c r="W36" i="35"/>
  <c r="AA25" i="35"/>
  <c r="U30"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31" i="21"/>
  <c r="AA32" i="21"/>
  <c r="W23" i="21"/>
  <c r="AB25" i="21"/>
  <c r="AA25" i="21"/>
  <c r="U40" i="21"/>
  <c r="S46" i="21"/>
  <c r="AC46" i="21"/>
  <c r="W10" i="21"/>
  <c r="W12" i="21"/>
  <c r="S35" i="21"/>
  <c r="C17" i="39"/>
  <c r="C19" i="39"/>
  <c r="C15" i="40"/>
  <c r="C17" i="40"/>
  <c r="B65" i="43"/>
  <c r="U30" i="40"/>
  <c r="B49" i="43"/>
  <c r="C32"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C18" i="12"/>
  <c r="F34" i="11"/>
  <c r="E19" i="1"/>
  <c r="D20" i="1"/>
  <c r="D18" i="1"/>
  <c r="F50" i="11"/>
  <c r="F19" i="1"/>
  <c r="F18" i="1"/>
  <c r="D19" i="1"/>
  <c r="K87" i="43"/>
  <c r="J87" i="43"/>
  <c r="D87" i="43"/>
  <c r="C7" i="43"/>
  <c r="C3" i="4"/>
  <c r="B4" i="55" s="1"/>
  <c r="B53" i="60" s="1"/>
  <c r="P25" i="43"/>
  <c r="P23" i="43"/>
  <c r="P21" i="43"/>
  <c r="B71" i="39"/>
  <c r="P24" i="43"/>
  <c r="B66" i="40"/>
  <c r="P22" i="43"/>
  <c r="D46" i="36"/>
  <c r="E46" i="36"/>
  <c r="F46" i="36"/>
  <c r="G46" i="36"/>
  <c r="H46" i="36"/>
  <c r="I46" i="36"/>
  <c r="J46" i="36"/>
  <c r="K46" i="36"/>
  <c r="L46" i="36"/>
  <c r="M46" i="36"/>
  <c r="N46" i="36"/>
  <c r="O46" i="36"/>
  <c r="J7" i="36"/>
  <c r="F7" i="36"/>
  <c r="K106" i="9"/>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B14" i="1"/>
  <c r="H10" i="39" s="1"/>
  <c r="C50" i="15"/>
  <c r="C115" i="43"/>
  <c r="J22" i="43"/>
  <c r="C21" i="43"/>
  <c r="M84" i="43"/>
  <c r="N84" i="43"/>
  <c r="K84" i="43"/>
  <c r="J84" i="43"/>
  <c r="D84" i="43"/>
  <c r="J18" i="15"/>
  <c r="M81" i="43"/>
  <c r="N81" i="43"/>
  <c r="K81" i="43"/>
  <c r="J81" i="43"/>
  <c r="D81" i="43"/>
  <c r="M88" i="43"/>
  <c r="N88" i="43"/>
  <c r="K88" i="43"/>
  <c r="J88" i="43"/>
  <c r="D88" i="43"/>
  <c r="I55" i="15"/>
  <c r="B2" i="31"/>
  <c r="C33" i="57"/>
  <c r="H124" i="57"/>
  <c r="I103" i="57"/>
  <c r="I104" i="57"/>
  <c r="C107" i="57"/>
  <c r="Q59" i="15"/>
  <c r="C106" i="57"/>
  <c r="F7" i="33"/>
  <c r="AA7" i="33"/>
  <c r="R48" i="33"/>
  <c r="D110" i="57"/>
  <c r="H125" i="57"/>
  <c r="H7" i="36"/>
  <c r="U7" i="36"/>
  <c r="B40" i="1"/>
  <c r="M27" i="15" s="1"/>
  <c r="J7" i="33"/>
  <c r="W7" i="33"/>
  <c r="C11" i="12"/>
  <c r="C12" i="12" s="1"/>
  <c r="C34" i="11"/>
  <c r="C36" i="11" s="1"/>
  <c r="E81" i="43"/>
  <c r="F7" i="21"/>
  <c r="AA7" i="21" s="1"/>
  <c r="S7" i="36"/>
  <c r="AA7" i="36"/>
  <c r="R36" i="36"/>
  <c r="H7" i="33"/>
  <c r="U7" i="33"/>
  <c r="W7" i="36"/>
  <c r="AC7" i="36"/>
  <c r="V36" i="36"/>
  <c r="I36" i="36"/>
  <c r="I40" i="36"/>
  <c r="J40" i="36"/>
  <c r="F7" i="34"/>
  <c r="S7" i="34"/>
  <c r="J7" i="34"/>
  <c r="AC7" i="34"/>
  <c r="V49" i="34"/>
  <c r="I49" i="34"/>
  <c r="I53" i="34"/>
  <c r="J53" i="34"/>
  <c r="H7" i="34"/>
  <c r="AB7" i="34"/>
  <c r="T49" i="34"/>
  <c r="G49" i="34"/>
  <c r="H7" i="21"/>
  <c r="AB7" i="21" s="1"/>
  <c r="J7" i="21"/>
  <c r="W7" i="21" s="1"/>
  <c r="S7" i="37"/>
  <c r="AA7" i="37"/>
  <c r="R42" i="37"/>
  <c r="U7" i="37"/>
  <c r="AB7" i="37"/>
  <c r="T42" i="37"/>
  <c r="G42" i="37"/>
  <c r="F63" i="40"/>
  <c r="E65" i="40"/>
  <c r="F68" i="39"/>
  <c r="E70" i="39"/>
  <c r="AC7" i="37"/>
  <c r="V42" i="37"/>
  <c r="I42" i="37"/>
  <c r="I46" i="37"/>
  <c r="J46" i="37"/>
  <c r="W7" i="37"/>
  <c r="B79" i="43"/>
  <c r="C61" i="15"/>
  <c r="S7" i="33"/>
  <c r="D109" i="57"/>
  <c r="I111" i="57"/>
  <c r="D128" i="57"/>
  <c r="D46" i="57"/>
  <c r="AB7" i="36"/>
  <c r="T36" i="36"/>
  <c r="G36" i="36"/>
  <c r="G41" i="36"/>
  <c r="H41" i="36"/>
  <c r="AC7" i="33"/>
  <c r="V48" i="33"/>
  <c r="I48" i="33"/>
  <c r="I52" i="33"/>
  <c r="J52" i="33"/>
  <c r="M49" i="57"/>
  <c r="C15" i="12"/>
  <c r="D130" i="57"/>
  <c r="H14" i="62"/>
  <c r="C13" i="12"/>
  <c r="W7" i="34"/>
  <c r="AA7" i="34"/>
  <c r="R49" i="34"/>
  <c r="E49" i="34"/>
  <c r="AB7" i="33"/>
  <c r="T48" i="33"/>
  <c r="G48" i="33"/>
  <c r="G52" i="33"/>
  <c r="H52" i="33"/>
  <c r="E36" i="36"/>
  <c r="G53" i="34"/>
  <c r="H53" i="34"/>
  <c r="G54" i="34"/>
  <c r="H54" i="34"/>
  <c r="U7" i="34"/>
  <c r="E48" i="33"/>
  <c r="G46" i="37"/>
  <c r="H46" i="37"/>
  <c r="G47" i="37"/>
  <c r="H47" i="37"/>
  <c r="R43" i="37"/>
  <c r="E42" i="37"/>
  <c r="F70" i="39"/>
  <c r="G68" i="39"/>
  <c r="G63" i="40"/>
  <c r="F65" i="40"/>
  <c r="D53" i="57"/>
  <c r="C79" i="57"/>
  <c r="C74" i="57" s="1"/>
  <c r="C80" i="57" s="1"/>
  <c r="D54" i="57"/>
  <c r="D49" i="57" s="1"/>
  <c r="M53" i="57" s="1"/>
  <c r="C86" i="57"/>
  <c r="C73" i="57"/>
  <c r="C94" i="57"/>
  <c r="C87" i="57" s="1"/>
  <c r="C96" i="57" s="1"/>
  <c r="D115" i="57"/>
  <c r="D116" i="57"/>
  <c r="I112" i="57"/>
  <c r="D129" i="57"/>
  <c r="D117" i="57"/>
  <c r="D118" i="57"/>
  <c r="I114" i="57"/>
  <c r="D131" i="57"/>
  <c r="D56" i="57"/>
  <c r="M54" i="57"/>
  <c r="C65" i="57"/>
  <c r="G40" i="36"/>
  <c r="H40" i="36"/>
  <c r="R37" i="36"/>
  <c r="C37" i="36"/>
  <c r="L69" i="57"/>
  <c r="M69" i="57"/>
  <c r="L68" i="57"/>
  <c r="M68" i="57"/>
  <c r="L67" i="57"/>
  <c r="M67" i="57"/>
  <c r="L66" i="57"/>
  <c r="M66" i="57"/>
  <c r="L65" i="57"/>
  <c r="M65" i="57"/>
  <c r="L64" i="57"/>
  <c r="M64" i="57"/>
  <c r="G53" i="33"/>
  <c r="H53" i="33"/>
  <c r="R50" i="34"/>
  <c r="C50" i="34"/>
  <c r="R49" i="33"/>
  <c r="C48" i="33"/>
  <c r="E40" i="36"/>
  <c r="F40" i="36"/>
  <c r="E41" i="36"/>
  <c r="F41" i="36"/>
  <c r="I41" i="36"/>
  <c r="J41" i="36"/>
  <c r="H68" i="39"/>
  <c r="G70" i="39"/>
  <c r="C42" i="37"/>
  <c r="C43" i="37"/>
  <c r="H63" i="40"/>
  <c r="G65" i="40"/>
  <c r="E46" i="37"/>
  <c r="F46" i="37"/>
  <c r="I47" i="37"/>
  <c r="J47" i="37"/>
  <c r="E47" i="37"/>
  <c r="F47" i="37"/>
  <c r="E52" i="33"/>
  <c r="F52" i="33"/>
  <c r="E53" i="33"/>
  <c r="F53" i="33"/>
  <c r="I53" i="33"/>
  <c r="J53" i="33"/>
  <c r="I54" i="34"/>
  <c r="J54" i="34"/>
  <c r="E53" i="34"/>
  <c r="F53" i="34"/>
  <c r="E54" i="34"/>
  <c r="F54" i="34"/>
  <c r="D133" i="57"/>
  <c r="C64" i="57"/>
  <c r="C68" i="57"/>
  <c r="C69" i="57"/>
  <c r="D55" i="57" s="1"/>
  <c r="C36" i="36"/>
  <c r="C49" i="34"/>
  <c r="C49" i="33"/>
  <c r="M70" i="57"/>
  <c r="I63" i="40"/>
  <c r="H65" i="40"/>
  <c r="I68" i="39"/>
  <c r="H70" i="39"/>
  <c r="N70" i="57"/>
  <c r="M57" i="57"/>
  <c r="J68" i="39"/>
  <c r="I70" i="39"/>
  <c r="J63" i="40"/>
  <c r="I65" i="40"/>
  <c r="J19" i="15"/>
  <c r="C33" i="15"/>
  <c r="K68" i="39"/>
  <c r="J70" i="39"/>
  <c r="K63" i="40"/>
  <c r="J65" i="40"/>
  <c r="D119" i="57"/>
  <c r="D120" i="57" s="1"/>
  <c r="I116" i="57" s="1"/>
  <c r="I115" i="57"/>
  <c r="D132" i="57" s="1"/>
  <c r="I14" i="62"/>
  <c r="B8" i="62" s="1"/>
  <c r="C62" i="15"/>
  <c r="L63" i="40"/>
  <c r="K65" i="40"/>
  <c r="L68" i="39"/>
  <c r="K70" i="39"/>
  <c r="M68" i="39"/>
  <c r="L70" i="39"/>
  <c r="M63" i="40"/>
  <c r="L65" i="40"/>
  <c r="N63" i="40"/>
  <c r="M65" i="40"/>
  <c r="N68" i="39"/>
  <c r="M70" i="39"/>
  <c r="L47" i="15"/>
  <c r="O68" i="39"/>
  <c r="O70" i="39"/>
  <c r="N70" i="39"/>
  <c r="O63" i="40"/>
  <c r="O65" i="40"/>
  <c r="N65" i="40"/>
  <c r="H7" i="40"/>
  <c r="F7" i="40"/>
  <c r="J7" i="40"/>
  <c r="H7" i="39"/>
  <c r="F7" i="39"/>
  <c r="J7" i="39"/>
  <c r="W7" i="39"/>
  <c r="AC7" i="39"/>
  <c r="V47" i="39"/>
  <c r="I47" i="39" s="1"/>
  <c r="I51" i="39" s="1"/>
  <c r="J51" i="39" s="1"/>
  <c r="AB7" i="39"/>
  <c r="T47" i="39"/>
  <c r="G47" i="39" s="1"/>
  <c r="U7" i="39"/>
  <c r="AA7" i="40"/>
  <c r="R42" i="40"/>
  <c r="R43" i="40" s="1"/>
  <c r="S7" i="40"/>
  <c r="AA7" i="39"/>
  <c r="R47" i="39"/>
  <c r="E47" i="39" s="1"/>
  <c r="E51" i="39" s="1"/>
  <c r="F51" i="39" s="1"/>
  <c r="S7" i="39"/>
  <c r="AC7" i="40"/>
  <c r="V42" i="40"/>
  <c r="I42" i="40" s="1"/>
  <c r="W7" i="40"/>
  <c r="AB7" i="40"/>
  <c r="T42" i="40"/>
  <c r="G42" i="40" s="1"/>
  <c r="U7" i="40"/>
  <c r="R48" i="39"/>
  <c r="C48" i="39" s="1"/>
  <c r="B7" i="62"/>
  <c r="D7" i="62"/>
  <c r="M56" i="9"/>
  <c r="D130" i="9"/>
  <c r="D13" i="52"/>
  <c r="I112" i="9"/>
  <c r="D114" i="9"/>
  <c r="D115" i="9"/>
  <c r="I113" i="9" s="1"/>
  <c r="D39" i="50"/>
  <c r="D40" i="50"/>
  <c r="D18" i="50"/>
  <c r="D127" i="9"/>
  <c r="D10" i="52"/>
  <c r="D19" i="50"/>
  <c r="B32" i="60"/>
  <c r="B31" i="60"/>
  <c r="L67" i="9"/>
  <c r="M67" i="9"/>
  <c r="L65" i="9"/>
  <c r="M65" i="9"/>
  <c r="L66" i="9"/>
  <c r="M66" i="9"/>
  <c r="L68" i="9"/>
  <c r="M68" i="9"/>
  <c r="L63" i="9"/>
  <c r="M63" i="9"/>
  <c r="L64" i="9"/>
  <c r="M64" i="9"/>
  <c r="M69" i="9"/>
  <c r="N69" i="9"/>
  <c r="I114" i="9"/>
  <c r="D116" i="9"/>
  <c r="D129" i="9"/>
  <c r="D12" i="52"/>
  <c r="D21" i="50"/>
  <c r="B33" i="60" s="1"/>
  <c r="D42" i="50"/>
  <c r="D43" i="50" s="1"/>
  <c r="F7" i="61"/>
  <c r="F4" i="61"/>
  <c r="D5" i="61"/>
  <c r="D7" i="61"/>
  <c r="D6" i="61"/>
  <c r="D3" i="61"/>
  <c r="E2" i="37"/>
  <c r="C19" i="57"/>
  <c r="D20" i="57"/>
  <c r="E2" i="34"/>
  <c r="E2" i="35"/>
  <c r="C20" i="57"/>
  <c r="F3" i="61"/>
  <c r="D4" i="61"/>
  <c r="H23" i="31"/>
  <c r="F6" i="61"/>
  <c r="F5" i="61"/>
  <c r="G1" i="61"/>
  <c r="E2" i="36"/>
  <c r="E2" i="33"/>
  <c r="E2" i="21"/>
  <c r="D19" i="57"/>
  <c r="E2" i="11"/>
  <c r="AB34" i="35" l="1"/>
  <c r="W28" i="35"/>
  <c r="AC27" i="35"/>
  <c r="S27" i="35"/>
  <c r="S24" i="35"/>
  <c r="AC16" i="35"/>
  <c r="AB10" i="35"/>
  <c r="T38" i="35"/>
  <c r="G38" i="35" s="1"/>
  <c r="W7" i="35"/>
  <c r="U7" i="35"/>
  <c r="S26" i="35"/>
  <c r="S34" i="35"/>
  <c r="H29" i="35"/>
  <c r="F29" i="35"/>
  <c r="S29" i="35" s="1"/>
  <c r="J29" i="35"/>
  <c r="G87" i="35"/>
  <c r="H87" i="35" s="1"/>
  <c r="I87" i="35" s="1"/>
  <c r="J87" i="35" s="1"/>
  <c r="K87" i="35" s="1"/>
  <c r="L87" i="35" s="1"/>
  <c r="M87" i="35" s="1"/>
  <c r="R38" i="35"/>
  <c r="E38" i="35" s="1"/>
  <c r="S28" i="35"/>
  <c r="AB26" i="35"/>
  <c r="S35" i="35"/>
  <c r="U36" i="35"/>
  <c r="U28" i="35"/>
  <c r="AA29" i="35"/>
  <c r="W33" i="35"/>
  <c r="AC26" i="35"/>
  <c r="AA30" i="35"/>
  <c r="W32" i="35"/>
  <c r="U32" i="35"/>
  <c r="S7" i="35"/>
  <c r="S8" i="35"/>
  <c r="S10" i="35"/>
  <c r="W13" i="35"/>
  <c r="S9" i="35"/>
  <c r="W9" i="35"/>
  <c r="U9" i="35"/>
  <c r="U18" i="35"/>
  <c r="S20" i="35"/>
  <c r="AC20" i="35"/>
  <c r="V38" i="35" s="1"/>
  <c r="I38" i="35" s="1"/>
  <c r="I42" i="35" s="1"/>
  <c r="J42" i="35" s="1"/>
  <c r="AB20" i="35"/>
  <c r="S18" i="35"/>
  <c r="W18" i="35"/>
  <c r="AB16" i="35"/>
  <c r="U14" i="35"/>
  <c r="D128" i="9"/>
  <c r="D11" i="52" s="1"/>
  <c r="D20" i="50"/>
  <c r="C8" i="62"/>
  <c r="D22" i="50"/>
  <c r="B35" i="60" s="1"/>
  <c r="D41" i="50"/>
  <c r="B63" i="60" s="1"/>
  <c r="B10" i="48"/>
  <c r="D10" i="48" s="1"/>
  <c r="C38" i="11"/>
  <c r="J43" i="21"/>
  <c r="F43" i="21"/>
  <c r="H43" i="21"/>
  <c r="F125" i="21"/>
  <c r="G125" i="21" s="1"/>
  <c r="U33" i="21"/>
  <c r="AB32" i="21"/>
  <c r="AC32" i="21"/>
  <c r="AC28" i="21"/>
  <c r="S28" i="21"/>
  <c r="AA26" i="21"/>
  <c r="B63" i="43"/>
  <c r="B5" i="48"/>
  <c r="D5" i="48" s="1"/>
  <c r="S45" i="21"/>
  <c r="U45" i="21"/>
  <c r="W42" i="21"/>
  <c r="U42" i="21"/>
  <c r="S44" i="21"/>
  <c r="AB44" i="21"/>
  <c r="W44" i="21"/>
  <c r="AC7" i="21"/>
  <c r="U7" i="21"/>
  <c r="B14" i="48"/>
  <c r="D14" i="48" s="1"/>
  <c r="B7" i="48"/>
  <c r="D7" i="48" s="1"/>
  <c r="F8" i="48"/>
  <c r="H8" i="48" s="1"/>
  <c r="G27" i="21"/>
  <c r="H27" i="21" s="1"/>
  <c r="J27" i="21"/>
  <c r="E27" i="21"/>
  <c r="F27" i="21" s="1"/>
  <c r="B52" i="43"/>
  <c r="B6" i="48"/>
  <c r="D6" i="48" s="1"/>
  <c r="F4" i="48"/>
  <c r="H4" i="48" s="1"/>
  <c r="F6" i="48"/>
  <c r="H6" i="48" s="1"/>
  <c r="F5" i="48"/>
  <c r="H5" i="48" s="1"/>
  <c r="B11" i="48"/>
  <c r="D11" i="48" s="1"/>
  <c r="F11" i="48"/>
  <c r="H11" i="48" s="1"/>
  <c r="B22" i="48"/>
  <c r="D22" i="48" s="1"/>
  <c r="B67" i="43"/>
  <c r="B56" i="43"/>
  <c r="F7" i="48"/>
  <c r="H7" i="48" s="1"/>
  <c r="F21" i="48"/>
  <c r="H21" i="48" s="1"/>
  <c r="B16" i="48"/>
  <c r="D16" i="48" s="1"/>
  <c r="B13" i="48"/>
  <c r="D13" i="48" s="1"/>
  <c r="B8" i="48"/>
  <c r="D8" i="48" s="1"/>
  <c r="B9" i="48"/>
  <c r="D9" i="48" s="1"/>
  <c r="B4" i="48"/>
  <c r="D4" i="48" s="1"/>
  <c r="F22" i="48"/>
  <c r="H22" i="48" s="1"/>
  <c r="F16" i="48"/>
  <c r="H16" i="48" s="1"/>
  <c r="F10" i="48"/>
  <c r="H10" i="48" s="1"/>
  <c r="F9" i="48"/>
  <c r="H9" i="48" s="1"/>
  <c r="C25" i="39"/>
  <c r="B54" i="43"/>
  <c r="B74" i="43"/>
  <c r="B60" i="43"/>
  <c r="C21" i="39"/>
  <c r="C15" i="39"/>
  <c r="D8" i="62"/>
  <c r="C18" i="15"/>
  <c r="C16" i="12"/>
  <c r="C21" i="12" s="1"/>
  <c r="C16" i="15"/>
  <c r="C19" i="15" s="1"/>
  <c r="C6" i="15"/>
  <c r="S7" i="21"/>
  <c r="B59" i="39"/>
  <c r="F59" i="39" s="1"/>
  <c r="B61" i="39"/>
  <c r="F61" i="39" s="1"/>
  <c r="B63" i="39"/>
  <c r="F63" i="39" s="1"/>
  <c r="B60" i="39"/>
  <c r="F60" i="39" s="1"/>
  <c r="B62" i="39"/>
  <c r="F62" i="39" s="1"/>
  <c r="B56" i="39"/>
  <c r="F56" i="39" s="1"/>
  <c r="F66" i="39" s="1"/>
  <c r="B2" i="39" s="1"/>
  <c r="B3" i="39" s="1"/>
  <c r="B58" i="39"/>
  <c r="F58" i="39" s="1"/>
  <c r="C47" i="39"/>
  <c r="J10" i="40"/>
  <c r="J10" i="39"/>
  <c r="E42" i="40"/>
  <c r="E46" i="40" s="1"/>
  <c r="F46" i="40" s="1"/>
  <c r="F10" i="40"/>
  <c r="I46" i="40"/>
  <c r="J46" i="40" s="1"/>
  <c r="I47" i="40"/>
  <c r="J47" i="40" s="1"/>
  <c r="C42" i="40"/>
  <c r="C43" i="40"/>
  <c r="U10" i="39"/>
  <c r="AB10" i="39"/>
  <c r="G47" i="40"/>
  <c r="H47" i="40" s="1"/>
  <c r="G46" i="40"/>
  <c r="H46" i="40" s="1"/>
  <c r="G51" i="39"/>
  <c r="H51" i="39" s="1"/>
  <c r="G52" i="39"/>
  <c r="H52" i="39" s="1"/>
  <c r="C33" i="43"/>
  <c r="E33" i="43" s="1"/>
  <c r="C36" i="43"/>
  <c r="E52" i="39"/>
  <c r="F52" i="39" s="1"/>
  <c r="I52" i="39"/>
  <c r="J52" i="39" s="1"/>
  <c r="E47" i="40"/>
  <c r="F47" i="40" s="1"/>
  <c r="F10" i="39"/>
  <c r="H10" i="40"/>
  <c r="B64" i="39"/>
  <c r="F64" i="39" s="1"/>
  <c r="B65" i="39"/>
  <c r="F65" i="39" s="1"/>
  <c r="B52" i="40"/>
  <c r="F52" i="40" s="1"/>
  <c r="B54" i="40"/>
  <c r="F54" i="40" s="1"/>
  <c r="L49" i="15"/>
  <c r="C35" i="43"/>
  <c r="G35" i="43" s="1"/>
  <c r="I35" i="43" s="1"/>
  <c r="B57" i="39"/>
  <c r="F57" i="39" s="1"/>
  <c r="B53" i="40"/>
  <c r="F53" i="40" s="1"/>
  <c r="B55" i="40"/>
  <c r="F55" i="40" s="1"/>
  <c r="B56" i="40"/>
  <c r="F56" i="40" s="1"/>
  <c r="B58" i="40"/>
  <c r="F58" i="40" s="1"/>
  <c r="G115" i="43"/>
  <c r="H115" i="43" s="1"/>
  <c r="D113" i="43"/>
  <c r="C22" i="12"/>
  <c r="C23" i="12"/>
  <c r="C31" i="12"/>
  <c r="S33" i="21"/>
  <c r="C35" i="11"/>
  <c r="C33" i="11" s="1"/>
  <c r="H83" i="43"/>
  <c r="H82" i="43"/>
  <c r="C6" i="43"/>
  <c r="C5" i="43" s="1"/>
  <c r="C37" i="43" s="1"/>
  <c r="C34" i="43"/>
  <c r="C39" i="43"/>
  <c r="C38" i="43"/>
  <c r="T16" i="43"/>
  <c r="V16" i="43" s="1"/>
  <c r="T3" i="43"/>
  <c r="V3" i="43" s="1"/>
  <c r="T2" i="43"/>
  <c r="V2" i="43" s="1"/>
  <c r="T10" i="43"/>
  <c r="V10" i="43" s="1"/>
  <c r="T7" i="43"/>
  <c r="V7" i="43" s="1"/>
  <c r="T6" i="43"/>
  <c r="V6" i="43" s="1"/>
  <c r="T9" i="43"/>
  <c r="V9" i="43" s="1"/>
  <c r="T14" i="43"/>
  <c r="V14" i="43" s="1"/>
  <c r="C97" i="57"/>
  <c r="E97" i="57" s="1"/>
  <c r="E98" i="57" s="1"/>
  <c r="C98" i="57"/>
  <c r="D59" i="57" s="1"/>
  <c r="D57" i="57" s="1"/>
  <c r="M55" i="57" s="1"/>
  <c r="N58" i="57" s="1"/>
  <c r="C81" i="57"/>
  <c r="E81" i="57" s="1"/>
  <c r="E82" i="57" s="1"/>
  <c r="C82" i="57"/>
  <c r="G20" i="57"/>
  <c r="C103" i="57"/>
  <c r="D102" i="57"/>
  <c r="B2" i="34"/>
  <c r="B3" i="34" s="1"/>
  <c r="D103" i="57"/>
  <c r="B2" i="33"/>
  <c r="B3" i="33" s="1"/>
  <c r="D22" i="57"/>
  <c r="G19" i="57"/>
  <c r="C102" i="57"/>
  <c r="B2" i="36"/>
  <c r="B3" i="36" s="1"/>
  <c r="B2" i="37"/>
  <c r="B3" i="37" s="1"/>
  <c r="E27" i="1"/>
  <c r="E20" i="43"/>
  <c r="I1" i="61"/>
  <c r="B30" i="1" s="1"/>
  <c r="R39" i="35" l="1"/>
  <c r="C38" i="35" s="1"/>
  <c r="G43" i="35"/>
  <c r="H43" i="35" s="1"/>
  <c r="I43" i="35"/>
  <c r="J43" i="35" s="1"/>
  <c r="G42" i="35"/>
  <c r="H42" i="35" s="1"/>
  <c r="AC29" i="35"/>
  <c r="W29" i="35"/>
  <c r="U29" i="35"/>
  <c r="AB29" i="35"/>
  <c r="E43" i="35"/>
  <c r="F43" i="35" s="1"/>
  <c r="E42" i="35"/>
  <c r="F42" i="35" s="1"/>
  <c r="C39" i="35"/>
  <c r="S43" i="21"/>
  <c r="AA43" i="21"/>
  <c r="AB43" i="21"/>
  <c r="U43" i="21"/>
  <c r="AC43" i="21"/>
  <c r="W43" i="21"/>
  <c r="G33" i="43"/>
  <c r="I33" i="43" s="1"/>
  <c r="E3" i="4"/>
  <c r="B5" i="55" s="1"/>
  <c r="B55" i="60" s="1"/>
  <c r="AC27" i="21"/>
  <c r="V48" i="21" s="1"/>
  <c r="W27" i="21"/>
  <c r="S27" i="21"/>
  <c r="AA27" i="21"/>
  <c r="R48" i="21" s="1"/>
  <c r="E48" i="21" s="1"/>
  <c r="E53" i="21" s="1"/>
  <c r="F53" i="21" s="1"/>
  <c r="AB27" i="21"/>
  <c r="T48" i="21" s="1"/>
  <c r="G48" i="21" s="1"/>
  <c r="G52" i="21" s="1"/>
  <c r="H52" i="21" s="1"/>
  <c r="U27" i="21"/>
  <c r="E35" i="43"/>
  <c r="C30" i="12"/>
  <c r="C28" i="12" s="1"/>
  <c r="C20" i="15"/>
  <c r="C26" i="15" s="1"/>
  <c r="AA10" i="40"/>
  <c r="S10" i="40"/>
  <c r="AC10" i="39"/>
  <c r="W10" i="39"/>
  <c r="AC10" i="40"/>
  <c r="W10" i="40"/>
  <c r="J54" i="15"/>
  <c r="L57" i="15"/>
  <c r="L59" i="15"/>
  <c r="J58" i="15"/>
  <c r="J56" i="15" s="1"/>
  <c r="J59" i="15" s="1"/>
  <c r="Q48" i="15" s="1"/>
  <c r="J60" i="15"/>
  <c r="L61" i="15"/>
  <c r="J61" i="15"/>
  <c r="Q46" i="15" s="1"/>
  <c r="AA10" i="39"/>
  <c r="S10" i="39"/>
  <c r="G36" i="43"/>
  <c r="I36" i="43" s="1"/>
  <c r="E36" i="43"/>
  <c r="B60" i="40"/>
  <c r="F60" i="40" s="1"/>
  <c r="B57" i="40"/>
  <c r="F57" i="40" s="1"/>
  <c r="B51" i="40"/>
  <c r="F51" i="40" s="1"/>
  <c r="F61" i="40" s="1"/>
  <c r="B2" i="40" s="1"/>
  <c r="B3" i="40" s="1"/>
  <c r="B59" i="40"/>
  <c r="F59" i="40" s="1"/>
  <c r="U10" i="40"/>
  <c r="AB10" i="40"/>
  <c r="C39" i="11"/>
  <c r="C46" i="11" s="1"/>
  <c r="C45" i="11" s="1"/>
  <c r="T12" i="43"/>
  <c r="V12" i="43" s="1"/>
  <c r="T11" i="43"/>
  <c r="V11" i="43" s="1"/>
  <c r="T4" i="43"/>
  <c r="V4" i="43" s="1"/>
  <c r="T15" i="43"/>
  <c r="V15" i="43" s="1"/>
  <c r="T8" i="43"/>
  <c r="V8" i="43" s="1"/>
  <c r="T13" i="43"/>
  <c r="V13" i="43" s="1"/>
  <c r="T5" i="43"/>
  <c r="V5" i="43" s="1"/>
  <c r="C29" i="43"/>
  <c r="C30" i="43" s="1"/>
  <c r="E30" i="43" s="1"/>
  <c r="C27" i="43" s="1"/>
  <c r="G34" i="43"/>
  <c r="I34" i="43" s="1"/>
  <c r="E34" i="43"/>
  <c r="G37" i="43"/>
  <c r="I37" i="43" s="1"/>
  <c r="E37" i="43"/>
  <c r="G38" i="43"/>
  <c r="I38" i="43" s="1"/>
  <c r="E38" i="43"/>
  <c r="G39" i="43"/>
  <c r="I39" i="43" s="1"/>
  <c r="E39" i="43"/>
  <c r="P58" i="57"/>
  <c r="N60" i="57"/>
  <c r="N59" i="57"/>
  <c r="M11" i="15"/>
  <c r="J10" i="15" s="1"/>
  <c r="J5" i="15" s="1"/>
  <c r="F11" i="15"/>
  <c r="F22" i="11"/>
  <c r="F24" i="15"/>
  <c r="F25" i="12"/>
  <c r="O17" i="43"/>
  <c r="M17" i="43"/>
  <c r="P17" i="43"/>
  <c r="N17" i="43"/>
  <c r="C105" i="57"/>
  <c r="C104" i="57"/>
  <c r="B3" i="35" l="1"/>
  <c r="B2" i="35"/>
  <c r="E52" i="21"/>
  <c r="F52" i="21" s="1"/>
  <c r="I48" i="21"/>
  <c r="I52" i="21" s="1"/>
  <c r="J52" i="21" s="1"/>
  <c r="R49" i="21"/>
  <c r="B18" i="49"/>
  <c r="B4" i="60" s="1"/>
  <c r="G53" i="21"/>
  <c r="H53" i="21" s="1"/>
  <c r="E29" i="43"/>
  <c r="C26" i="43" s="1"/>
  <c r="B2" i="43" s="1"/>
  <c r="B3" i="43" s="1"/>
  <c r="Q64" i="15"/>
  <c r="Q55" i="15"/>
  <c r="Q58" i="15"/>
  <c r="Q71" i="15"/>
  <c r="B33" i="1"/>
  <c r="F41" i="15" s="1"/>
  <c r="F70" i="15" s="1"/>
  <c r="Q50" i="15"/>
  <c r="N62" i="57"/>
  <c r="N61" i="57"/>
  <c r="C24" i="15"/>
  <c r="C23" i="15"/>
  <c r="C10" i="15"/>
  <c r="C5" i="15" s="1"/>
  <c r="C54" i="15"/>
  <c r="C49" i="15" s="1"/>
  <c r="C26" i="12"/>
  <c r="D25" i="12" s="1"/>
  <c r="C27" i="12"/>
  <c r="C25" i="12" s="1"/>
  <c r="C44" i="11"/>
  <c r="D41" i="11" s="1"/>
  <c r="C25" i="11"/>
  <c r="C24" i="11"/>
  <c r="C23" i="11"/>
  <c r="C43" i="11"/>
  <c r="C26" i="11"/>
  <c r="D22" i="11" s="1"/>
  <c r="C42" i="11"/>
  <c r="C41" i="11" s="1"/>
  <c r="C49" i="11" s="1"/>
  <c r="C51" i="11" s="1"/>
  <c r="J24" i="15"/>
  <c r="J26" i="15"/>
  <c r="J29" i="15" s="1"/>
  <c r="J17" i="15"/>
  <c r="I53" i="21" l="1"/>
  <c r="J53" i="21" s="1"/>
  <c r="C49" i="21"/>
  <c r="C48" i="21"/>
  <c r="C22" i="11"/>
  <c r="C31" i="11" s="1"/>
  <c r="C52" i="11" s="1"/>
  <c r="C56" i="11" s="1"/>
  <c r="C57" i="11" s="1"/>
  <c r="C32" i="12"/>
  <c r="B3" i="12" s="1"/>
  <c r="C29" i="15"/>
  <c r="C36" i="15" s="1"/>
  <c r="B2" i="12"/>
  <c r="C67" i="15"/>
  <c r="C60" i="15"/>
  <c r="C31" i="15"/>
  <c r="C38" i="15"/>
  <c r="J14" i="15" l="1"/>
  <c r="J22" i="15" s="1"/>
  <c r="Q47" i="15"/>
  <c r="C58" i="15"/>
  <c r="C65" i="15" s="1"/>
  <c r="B2" i="21"/>
  <c r="B3" i="21"/>
  <c r="C13" i="15"/>
  <c r="C37" i="15" s="1"/>
  <c r="C30" i="15" s="1"/>
  <c r="C39" i="15" s="1"/>
  <c r="B3" i="11"/>
  <c r="B2" i="11"/>
  <c r="J13" i="15"/>
  <c r="J23" i="15" s="1"/>
  <c r="C20" i="9"/>
  <c r="C19" i="9"/>
  <c r="C57" i="15" l="1"/>
  <c r="C66" i="15" s="1"/>
  <c r="C59" i="15" s="1"/>
  <c r="C68" i="15" s="1"/>
  <c r="C69" i="15" s="1"/>
  <c r="C72" i="15" s="1"/>
  <c r="C102" i="9"/>
  <c r="C101" i="9"/>
  <c r="Q68" i="15"/>
  <c r="J34" i="15"/>
  <c r="J38" i="15" s="1"/>
  <c r="J39" i="15" s="1"/>
  <c r="J16" i="15"/>
  <c r="J25" i="15" s="1"/>
  <c r="Q67" i="15"/>
  <c r="Q66" i="15" s="1"/>
  <c r="C40" i="15"/>
  <c r="C47" i="15" l="1"/>
  <c r="B3" i="15"/>
  <c r="L52" i="15"/>
  <c r="Q45" i="15"/>
  <c r="Q51" i="15" s="1"/>
  <c r="Q54" i="15"/>
  <c r="Q60" i="15" s="1"/>
  <c r="C43" i="15"/>
  <c r="B2" i="15"/>
  <c r="Q63" i="15"/>
  <c r="Q73" i="15" s="1"/>
  <c r="J41" i="15"/>
  <c r="D19" i="9"/>
  <c r="D20" i="9"/>
  <c r="D101" i="9" l="1"/>
  <c r="D22" i="9"/>
  <c r="G19" i="9"/>
  <c r="D102" i="9"/>
  <c r="G20" i="9"/>
  <c r="C32" i="9" s="1"/>
  <c r="J42" i="15"/>
  <c r="D35" i="9"/>
  <c r="D34" i="9" s="1"/>
  <c r="Q65" i="15"/>
  <c r="L58" i="15"/>
  <c r="I121" i="9" l="1"/>
  <c r="C35" i="9"/>
  <c r="G121" i="9" s="1"/>
  <c r="C34" i="9" l="1"/>
  <c r="E121" i="9" s="1"/>
  <c r="F121" i="9"/>
  <c r="G4" i="52"/>
  <c r="B41" i="60" s="1"/>
  <c r="I4" i="52"/>
  <c r="H121" i="9"/>
  <c r="D107" i="9"/>
  <c r="I103" i="9"/>
  <c r="C104" i="9"/>
  <c r="F122" i="9" l="1"/>
  <c r="F5" i="52" s="1"/>
  <c r="B42" i="60" s="1"/>
  <c r="F4" i="52"/>
  <c r="B40" i="60" s="1"/>
  <c r="D30" i="50"/>
  <c r="D9" i="50"/>
  <c r="B21" i="60" s="1"/>
  <c r="D14" i="62"/>
  <c r="I102" i="9"/>
  <c r="C103" i="9"/>
  <c r="D106" i="9"/>
  <c r="D112" i="9" s="1"/>
  <c r="H4" i="52"/>
  <c r="H122" i="9"/>
  <c r="H5" i="52" s="1"/>
  <c r="E4" i="52"/>
  <c r="B38" i="60" s="1"/>
  <c r="D121" i="9"/>
  <c r="D113" i="9" l="1"/>
  <c r="D117" i="9"/>
  <c r="I110" i="9"/>
  <c r="D28" i="50"/>
  <c r="D29" i="50" s="1"/>
  <c r="D7" i="50"/>
  <c r="D45" i="9"/>
  <c r="M48" i="9"/>
  <c r="D122" i="9"/>
  <c r="D5" i="52" s="1"/>
  <c r="B39" i="60" s="1"/>
  <c r="D4" i="52"/>
  <c r="B37" i="60" s="1"/>
  <c r="B5" i="62"/>
  <c r="E14" i="62"/>
  <c r="F14" i="62"/>
  <c r="C5" i="62" l="1"/>
  <c r="D5" i="62"/>
  <c r="D44" i="50"/>
  <c r="I115" i="9"/>
  <c r="D23" i="50" s="1"/>
  <c r="B34" i="60" s="1"/>
  <c r="C85" i="9"/>
  <c r="C72" i="9"/>
  <c r="D55" i="9"/>
  <c r="M53" i="9" s="1"/>
  <c r="D53" i="9"/>
  <c r="D48" i="9" s="1"/>
  <c r="M52" i="9" s="1"/>
  <c r="C64" i="9"/>
  <c r="C63" i="9" s="1"/>
  <c r="C67" i="9" s="1"/>
  <c r="C68" i="9" s="1"/>
  <c r="D54" i="9" s="1"/>
  <c r="D59" i="9"/>
  <c r="M55" i="9" s="1"/>
  <c r="C93" i="9"/>
  <c r="C86" i="9" s="1"/>
  <c r="C78" i="9"/>
  <c r="C73" i="9" s="1"/>
  <c r="D52" i="9"/>
  <c r="B19" i="60"/>
  <c r="D8" i="50"/>
  <c r="B22" i="60" s="1"/>
  <c r="D15" i="50"/>
  <c r="D125" i="9"/>
  <c r="D36" i="50"/>
  <c r="D37" i="50" s="1"/>
  <c r="D38" i="50"/>
  <c r="B62" i="60" s="1"/>
  <c r="I111" i="9"/>
  <c r="B29" i="60" l="1"/>
  <c r="D16" i="50"/>
  <c r="B30" i="60" s="1"/>
  <c r="C79" i="9"/>
  <c r="D126" i="9"/>
  <c r="D9" i="52" s="1"/>
  <c r="D17" i="50"/>
  <c r="G14" i="62"/>
  <c r="B6" i="62" s="1"/>
  <c r="D8" i="52"/>
  <c r="C95" i="9"/>
  <c r="C80" i="9" l="1"/>
  <c r="E80" i="9" s="1"/>
  <c r="E81" i="9" s="1"/>
  <c r="C96" i="9"/>
  <c r="E96" i="9" s="1"/>
  <c r="E97" i="9" s="1"/>
  <c r="C6" i="62"/>
  <c r="D6" i="62"/>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<sst xmlns="http://schemas.openxmlformats.org/spreadsheetml/2006/main" count="6922" uniqueCount="2916">
  <si>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</si>
  <si>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</si>
  <si>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</si>
  <si>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</si>
  <si>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</si>
  <si>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</si>
  <si>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</si>
  <si>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</si>
  <si>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</si>
  <si>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</si>
  <si>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</si>
  <si>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</si>
  <si>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</si>
  <si>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</si>
  <si>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</si>
  <si>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</si>
  <si>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</si>
  <si>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</si>
  <si>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</si>
  <si>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</si>
  <si>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</si>
  <si>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</si>
  <si>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</si>
  <si>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</si>
  <si>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</si>
  <si>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</si>
  <si>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</si>
  <si>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</si>
  <si>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</si>
  <si>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</si>
  <si>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</si>
  <si>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</si>
  <si>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</si>
  <si>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</si>
  <si>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</si>
  <si>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</si>
  <si>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</si>
  <si>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</si>
  <si>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</si>
  <si>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</si>
  <si>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</si>
  <si>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</si>
  <si>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</si>
  <si>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</si>
  <si>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</si>
  <si>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</si>
  <si>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</si>
  <si>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</si>
  <si>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</si>
  <si>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</si>
  <si>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</si>
  <si>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</si>
  <si>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</si>
  <si>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</si>
  <si>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</si>
  <si>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</si>
  <si>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</si>
  <si>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</si>
  <si>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</si>
  <si>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</si>
  <si>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</si>
  <si>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</si>
  <si>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</si>
  <si>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</si>
  <si>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</si>
  <si>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</si>
  <si>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</si>
  <si>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</si>
  <si>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</si>
  <si>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</si>
  <si>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</si>
  <si>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</si>
  <si>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</si>
  <si>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</si>
  <si>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</si>
  <si>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</si>
  <si>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</si>
  <si>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</si>
  <si>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</si>
  <si>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</si>
  <si>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</si>
  <si>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</si>
  <si>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</si>
  <si>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</si>
  <si>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</si>
  <si>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</si>
  <si>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</si>
  <si>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</si>
  <si>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</si>
  <si>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</si>
  <si>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</si>
  <si>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</si>
  <si>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</si>
  <si>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</si>
  <si>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</si>
  <si>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</si>
  <si>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</si>
  <si>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</si>
  <si>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</si>
  <si>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</si>
  <si>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</si>
  <si>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</si>
  <si>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</si>
  <si>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</si>
  <si>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</si>
  <si>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</si>
  <si>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</si>
  <si>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</si>
  <si>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</si>
  <si>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</si>
  <si>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</si>
  <si>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</si>
  <si>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</si>
  <si>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</si>
  <si>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</si>
  <si>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</si>
  <si>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</si>
  <si>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</si>
  <si>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</si>
  <si>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</si>
  <si>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</si>
  <si>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</si>
  <si>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</si>
  <si>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</si>
  <si>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</si>
  <si>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</si>
  <si>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</si>
  <si>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</si>
  <si>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</si>
  <si>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</si>
  <si>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</si>
  <si>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</si>
  <si>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</si>
  <si>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</si>
  <si>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</si>
  <si>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</si>
  <si>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</si>
  <si>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</si>
  <si>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</si>
  <si>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</si>
  <si>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</si>
  <si>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</si>
  <si>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</si>
  <si>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</si>
  <si>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</si>
  <si>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</si>
  <si>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</si>
  <si>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</si>
  <si>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</si>
  <si>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</si>
  <si>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</si>
  <si>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</si>
  <si>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</si>
  <si>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</si>
  <si>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</si>
  <si>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</si>
  <si>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</si>
  <si>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</si>
  <si>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</si>
  <si>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</si>
  <si>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</si>
  <si>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</si>
  <si>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</si>
  <si>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</si>
  <si>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</si>
  <si>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</si>
  <si>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</si>
  <si>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</si>
  <si>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</si>
  <si>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</si>
  <si>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</si>
  <si>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</si>
  <si>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</si>
  <si>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</si>
  <si>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</si>
  <si>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</si>
  <si>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</si>
  <si>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</si>
  <si>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</si>
  <si>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</si>
  <si>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</si>
  <si>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</si>
  <si>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</si>
  <si>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</si>
  <si>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</si>
  <si>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</si>
  <si>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</si>
  <si>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</si>
  <si>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</si>
  <si>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</si>
  <si>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</si>
  <si>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</si>
  <si>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</si>
  <si>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</si>
  <si>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</si>
  <si>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</si>
  <si>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</si>
  <si>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</si>
  <si>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</si>
  <si>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</si>
  <si>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</si>
  <si>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</si>
  <si>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</si>
  <si>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</si>
  <si>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</si>
  <si>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</si>
  <si>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</si>
  <si>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</si>
  <si>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</si>
  <si>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</si>
  <si>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</si>
  <si>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</si>
  <si>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</si>
  <si>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</si>
  <si>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</si>
  <si>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</si>
  <si>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</si>
  <si>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</si>
  <si>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</si>
  <si>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</si>
  <si>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</si>
  <si>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</si>
  <si>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</si>
  <si>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</si>
  <si>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</si>
  <si>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</si>
  <si>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</si>
  <si>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</si>
  <si>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</si>
  <si>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</si>
  <si>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</si>
  <si>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</si>
  <si>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</si>
  <si>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</si>
  <si>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</si>
  <si>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</si>
  <si>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</si>
  <si>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</si>
  <si>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</si>
  <si>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</si>
  <si>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</si>
  <si>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</si>
  <si>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</si>
  <si>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</si>
  <si>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</si>
  <si>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</si>
  <si>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</si>
  <si>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</si>
  <si>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</si>
  <si>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</si>
  <si>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</si>
  <si>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</si>
  <si>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</si>
  <si>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</si>
  <si>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</si>
  <si>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</si>
  <si>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</si>
  <si>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</si>
  <si>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</si>
  <si>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</si>
  <si>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</si>
  <si>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</si>
  <si>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</si>
  <si>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</si>
  <si>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</si>
  <si>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</si>
  <si>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</si>
  <si>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</si>
  <si>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</si>
  <si>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</si>
  <si>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</si>
  <si>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</si>
  <si>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</si>
  <si>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</si>
  <si>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</si>
  <si>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</si>
  <si>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</si>
  <si>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</si>
  <si>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</si>
  <si>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</si>
  <si>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</si>
  <si>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</si>
  <si>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</si>
  <si>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</si>
  <si>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</si>
  <si>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</si>
  <si>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</si>
  <si>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</si>
  <si>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</si>
  <si>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</si>
  <si>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</si>
  <si>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</si>
  <si>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</si>
  <si>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</si>
  <si>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</si>
  <si>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</si>
  <si>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</si>
  <si>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</si>
  <si>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</si>
  <si>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</si>
  <si>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</si>
  <si>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</si>
  <si>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</si>
  <si>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</si>
  <si>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</si>
  <si>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</si>
  <si>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</si>
  <si>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</si>
  <si>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</si>
  <si>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</si>
  <si>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</si>
  <si>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</si>
  <si>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</si>
  <si>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</si>
  <si>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</si>
  <si>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</si>
  <si>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</si>
  <si>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</si>
  <si>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</si>
  <si>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</si>
  <si>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</si>
  <si>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</si>
  <si>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</si>
  <si>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</si>
  <si>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</si>
  <si>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</si>
  <si>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</si>
  <si>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</si>
  <si>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</si>
  <si>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</si>
  <si>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</si>
  <si>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</si>
  <si>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</si>
  <si>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</si>
  <si>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</si>
  <si>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</si>
  <si>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</si>
  <si>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</si>
  <si>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</si>
  <si>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</si>
  <si>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</si>
  <si>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</si>
  <si>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</si>
  <si>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</si>
  <si>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</si>
  <si>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</si>
  <si>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</si>
  <si>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</si>
  <si>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</si>
  <si>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</si>
  <si>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</si>
  <si>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</si>
  <si>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</si>
  <si>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</si>
  <si>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</si>
  <si>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</si>
  <si>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</si>
  <si>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</si>
  <si>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</si>
  <si>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</si>
  <si>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</si>
  <si>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</si>
  <si>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</si>
  <si>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</si>
  <si>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</si>
  <si>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</si>
  <si>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</si>
  <si>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</si>
  <si>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</si>
  <si>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</si>
  <si>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</si>
  <si>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</si>
  <si>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</si>
  <si>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</si>
  <si>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</si>
  <si>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</si>
  <si>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</si>
  <si>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</si>
  <si>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</si>
  <si>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</si>
  <si>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</si>
  <si>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</si>
  <si>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</si>
  <si>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</si>
  <si>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</si>
  <si>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</si>
  <si>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</si>
  <si>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</si>
  <si>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</si>
  <si>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</si>
  <si>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</si>
  <si>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</si>
  <si>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</si>
  <si>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</si>
  <si>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</si>
  <si>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</si>
  <si>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</si>
  <si>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</si>
  <si>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</si>
  <si>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</si>
  <si>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</si>
  <si>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</si>
  <si>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</si>
  <si>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</si>
  <si>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</si>
  <si>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</si>
  <si>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</si>
  <si>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</si>
  <si>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</si>
  <si>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</si>
  <si>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</si>
  <si>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</si>
  <si>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</si>
  <si>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</si>
  <si>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</si>
  <si>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</si>
  <si>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</si>
  <si>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</si>
  <si>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</si>
  <si>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</si>
  <si>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</si>
  <si>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</si>
  <si>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</si>
  <si>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</si>
  <si>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</si>
  <si>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</si>
  <si>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</si>
  <si>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</si>
  <si>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</si>
  <si>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</si>
  <si>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</si>
  <si>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</si>
  <si>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</si>
  <si>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</si>
  <si>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</si>
  <si>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</si>
  <si>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</si>
  <si>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</si>
  <si>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</si>
  <si>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</si>
  <si>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</si>
  <si>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</si>
  <si>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</si>
  <si>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</si>
  <si>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</si>
  <si>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</si>
  <si>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</si>
  <si>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</si>
  <si>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</si>
  <si>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</si>
  <si>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</si>
  <si>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</si>
  <si>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</si>
  <si>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</si>
  <si>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</si>
  <si>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</si>
  <si>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</si>
  <si>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</si>
  <si>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</si>
  <si>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</si>
  <si>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</si>
  <si>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</si>
  <si>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</si>
  <si>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</si>
  <si>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</si>
  <si>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</si>
  <si>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</si>
  <si>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</si>
  <si>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</si>
  <si>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</si>
  <si>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</si>
  <si>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</si>
  <si>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</si>
  <si>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</si>
  <si>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</si>
  <si>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</si>
  <si>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</si>
  <si>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</si>
  <si>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</si>
  <si>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</si>
  <si>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</si>
  <si>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</si>
  <si>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</si>
  <si>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</si>
  <si>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</si>
  <si>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</si>
  <si>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</si>
  <si>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</si>
  <si>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</si>
  <si>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</si>
  <si>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</si>
  <si>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</si>
  <si>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</si>
  <si>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</si>
  <si>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</si>
  <si>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</si>
  <si>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</si>
  <si>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</si>
  <si>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</si>
  <si>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</si>
  <si>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</si>
  <si>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</si>
  <si>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</si>
  <si>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</si>
  <si>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</si>
  <si>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</si>
  <si>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</si>
  <si>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</si>
  <si>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</si>
  <si>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</si>
  <si>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</si>
  <si>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</si>
  <si>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</si>
  <si>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</si>
  <si>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</si>
  <si>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</si>
  <si>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</si>
  <si>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</si>
  <si>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</si>
  <si>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</si>
  <si>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</si>
  <si>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</si>
  <si>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</si>
  <si>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</si>
  <si>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</si>
  <si>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</si>
  <si>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</si>
  <si>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</si>
  <si>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</si>
  <si>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</si>
  <si>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</si>
  <si>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</si>
  <si>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</si>
  <si>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</si>
  <si>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</si>
  <si>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</si>
  <si>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</si>
  <si>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</si>
  <si>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</si>
  <si>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</si>
  <si>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</si>
  <si>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</si>
  <si>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</si>
  <si>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</si>
  <si>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</si>
  <si>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</si>
  <si>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</si>
  <si>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</si>
  <si>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</si>
  <si>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</si>
  <si>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</si>
  <si>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</si>
  <si>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</si>
  <si>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</si>
  <si>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</si>
  <si>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</si>
  <si>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</si>
  <si>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</si>
  <si>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</si>
  <si>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</si>
  <si>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</si>
  <si>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</si>
  <si>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</si>
  <si>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</si>
  <si>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</si>
  <si>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</si>
  <si>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</si>
  <si>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</si>
  <si>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</si>
  <si>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</si>
  <si>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</si>
  <si>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</si>
  <si>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</si>
  <si>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</si>
  <si>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</si>
  <si>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</si>
  <si>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</si>
  <si>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</si>
  <si>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</si>
  <si>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</si>
  <si>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</si>
  <si>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</si>
  <si>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</si>
  <si>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</si>
  <si>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</si>
  <si>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</si>
  <si>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</si>
  <si>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</si>
  <si>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</si>
  <si>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</si>
  <si>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</si>
  <si>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</si>
  <si>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</si>
  <si>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</si>
  <si>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</si>
  <si>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</si>
  <si>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</si>
  <si>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</si>
  <si>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</si>
  <si>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</si>
  <si>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</si>
  <si>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</si>
  <si>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</si>
  <si>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</si>
  <si>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</si>
  <si>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</si>
  <si>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</si>
  <si>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</si>
  <si>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</si>
  <si>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</si>
  <si>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</si>
  <si>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</si>
  <si>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</si>
  <si>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</si>
  <si>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</si>
  <si>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</si>
  <si>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</si>
  <si>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</si>
  <si>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</si>
  <si>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</si>
  <si>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</si>
  <si>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</si>
  <si>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</si>
  <si>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</si>
  <si>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</si>
  <si>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</si>
  <si>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</si>
  <si>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</si>
  <si>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</si>
  <si>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</si>
  <si>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</si>
  <si>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</si>
  <si>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</si>
  <si>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</si>
  <si>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</si>
  <si>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</si>
  <si>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</si>
  <si>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</si>
  <si>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</si>
  <si>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</si>
  <si>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</si>
  <si>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</si>
  <si>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</si>
  <si>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</si>
  <si>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</si>
  <si>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</si>
  <si>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</si>
  <si>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</si>
  <si>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</si>
  <si>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</si>
  <si>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</si>
  <si>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</si>
  <si>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</si>
  <si>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</si>
  <si>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</si>
  <si>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</si>
  <si>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</si>
  <si>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</si>
  <si>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</si>
  <si>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</si>
  <si>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</si>
  <si>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</si>
  <si>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</si>
  <si>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</si>
  <si>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</si>
  <si>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</si>
  <si>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</si>
  <si>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</si>
  <si>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</si>
  <si>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</si>
  <si>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</si>
  <si>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</si>
  <si>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</si>
  <si>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</si>
  <si>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</si>
  <si>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</si>
  <si>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</si>
  <si>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</si>
  <si>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</si>
  <si>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</si>
  <si>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</si>
  <si>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</si>
  <si>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</si>
  <si>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</si>
  <si>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</si>
  <si>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</si>
  <si>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</si>
  <si>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</si>
  <si>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</si>
  <si>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</si>
  <si>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</si>
  <si>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</si>
  <si>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</si>
  <si>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</si>
  <si>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</si>
  <si>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</si>
  <si>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</si>
  <si>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</si>
  <si>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</si>
  <si>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</si>
  <si>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</si>
  <si>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</si>
  <si>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</si>
  <si>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</si>
  <si>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</si>
  <si>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</si>
  <si>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</si>
  <si>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</si>
  <si>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</si>
  <si>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</si>
  <si>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</si>
  <si>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</si>
  <si>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</si>
  <si>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</si>
  <si>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</si>
  <si>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</si>
  <si>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</si>
  <si>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</si>
  <si>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</si>
  <si>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</si>
  <si>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</si>
  <si>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</si>
  <si>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</si>
  <si>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</si>
  <si>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</si>
  <si>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</si>
  <si>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</si>
  <si>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</si>
  <si>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</si>
  <si>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</si>
  <si>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</si>
  <si>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</si>
  <si>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</si>
  <si>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</si>
  <si>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</si>
  <si>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</si>
  <si>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</si>
  <si>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</si>
  <si>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</si>
  <si>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</si>
  <si>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</si>
  <si>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</si>
  <si>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</si>
  <si>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</si>
  <si>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</si>
  <si>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</si>
  <si>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</si>
  <si>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</si>
  <si>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</si>
  <si>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</si>
  <si>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</si>
  <si>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</si>
  <si>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</si>
  <si>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</si>
  <si>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</si>
  <si>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</si>
  <si>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</si>
  <si>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</si>
  <si>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</si>
  <si>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</si>
  <si>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</si>
  <si>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</si>
  <si>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</si>
  <si>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</si>
  <si>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</si>
  <si>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</si>
  <si>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</si>
  <si>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</si>
  <si>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</si>
  <si>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</si>
  <si>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</si>
  <si>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</si>
  <si>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</si>
  <si>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</si>
  <si>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</si>
  <si>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</si>
  <si>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</si>
  <si>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</si>
  <si>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</si>
  <si>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</si>
  <si>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</si>
  <si>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</si>
  <si>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</si>
  <si>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</si>
  <si>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</si>
  <si>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</si>
  <si>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</si>
  <si>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</si>
  <si>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</si>
  <si>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</si>
  <si>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</si>
  <si>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</si>
  <si>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</si>
  <si>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</si>
  <si>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</si>
  <si>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</si>
  <si>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</si>
  <si>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</si>
  <si>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</si>
  <si>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</si>
  <si>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</si>
  <si>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</si>
  <si>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</si>
  <si>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</si>
  <si>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</si>
  <si>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</si>
  <si>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</si>
  <si>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</si>
  <si>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</si>
  <si>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</si>
  <si>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</si>
  <si>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</si>
  <si>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</si>
  <si>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</si>
  <si>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</si>
  <si>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</si>
  <si>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</si>
  <si>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</si>
  <si>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</si>
  <si>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</si>
  <si>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</si>
  <si>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</si>
  <si>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</si>
  <si>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</si>
  <si>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</si>
  <si>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</si>
  <si>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</si>
  <si>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</si>
  <si>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</si>
  <si>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</si>
  <si>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</si>
  <si>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</si>
  <si>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</si>
  <si>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</si>
  <si>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</si>
  <si>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</si>
  <si>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</si>
  <si>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</si>
  <si>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</si>
  <si>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</si>
  <si>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</si>
  <si>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</si>
  <si>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</si>
  <si>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</si>
  <si>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</si>
  <si>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</si>
  <si>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</si>
  <si>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</si>
  <si>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</si>
  <si>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</si>
  <si>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</si>
  <si>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</si>
  <si>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</si>
  <si>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</si>
  <si>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</si>
  <si>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</si>
  <si>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</si>
  <si>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</si>
  <si>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</si>
  <si>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</si>
  <si>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</si>
  <si>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</si>
  <si>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</si>
  <si>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</si>
  <si>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</si>
  <si>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</si>
  <si>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</si>
  <si>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</si>
  <si>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</si>
  <si>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</si>
  <si>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</si>
  <si>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</si>
  <si>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</si>
  <si>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</si>
  <si>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</si>
  <si>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</si>
  <si>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</si>
  <si>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</si>
  <si>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</si>
  <si>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</si>
  <si>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</si>
  <si>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</si>
  <si>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</si>
  <si>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</si>
  <si>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</si>
  <si>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</si>
  <si>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</si>
  <si>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</si>
  <si>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</si>
  <si>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</si>
  <si>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</si>
  <si>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</si>
  <si>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</si>
  <si>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</si>
  <si>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</si>
  <si>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</si>
  <si>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</si>
  <si>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</si>
  <si>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</si>
  <si>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</si>
  <si>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</si>
  <si>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</si>
  <si>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</si>
  <si>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</si>
  <si>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</si>
  <si>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</si>
  <si>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</si>
  <si>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</si>
  <si>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</si>
  <si>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</si>
  <si>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</si>
  <si>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</si>
  <si>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</si>
  <si>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</si>
  <si>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</si>
  <si>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</si>
  <si>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</si>
  <si>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</si>
  <si>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</si>
  <si>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</si>
  <si>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</si>
  <si>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</si>
  <si>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</si>
  <si>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</si>
  <si>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</si>
  <si>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</si>
  <si>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</si>
  <si>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</si>
  <si>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</si>
  <si>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</si>
  <si>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</si>
  <si>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</si>
  <si>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</si>
  <si>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</si>
  <si>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</si>
  <si>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</si>
  <si>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</si>
  <si>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</si>
  <si>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</si>
  <si>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</si>
  <si>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</si>
  <si>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</si>
  <si>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</si>
  <si>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</si>
  <si>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</si>
  <si>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</si>
  <si>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</si>
  <si>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</si>
  <si>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</si>
  <si>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</si>
  <si>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</si>
  <si>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</si>
  <si>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</si>
  <si>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</si>
  <si>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</si>
  <si>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</si>
  <si>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</si>
  <si>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</si>
  <si>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</si>
  <si>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</si>
  <si>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</si>
  <si>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</si>
  <si>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</si>
  <si>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</si>
  <si>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</si>
  <si>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</si>
  <si>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</si>
  <si>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</si>
  <si>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</si>
  <si>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</si>
  <si>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</si>
  <si>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</si>
  <si>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</si>
  <si>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</si>
  <si>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</si>
  <si>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</si>
  <si>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</si>
  <si>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</si>
  <si>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</si>
  <si>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</si>
  <si>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</si>
  <si>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</si>
  <si>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</si>
  <si>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</si>
  <si>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</si>
  <si>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</si>
  <si>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</si>
  <si>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</si>
  <si>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</si>
  <si>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</si>
  <si>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</si>
  <si>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</si>
  <si>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</si>
  <si>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</si>
  <si>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</si>
  <si>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</si>
  <si>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</si>
  <si>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</si>
  <si>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</si>
  <si>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</si>
  <si>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</si>
  <si>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</si>
  <si>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</si>
  <si>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</si>
  <si>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</si>
  <si>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</si>
  <si>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</si>
  <si>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</si>
  <si>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</si>
  <si>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</si>
  <si>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</si>
  <si>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</si>
  <si>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</si>
  <si>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</si>
  <si>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</si>
  <si>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</si>
  <si>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</si>
  <si>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</si>
  <si>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</si>
  <si>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</si>
  <si>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</si>
  <si>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</si>
  <si>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</si>
  <si>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</si>
  <si>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</si>
  <si>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</si>
  <si>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</si>
  <si>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</si>
  <si>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</si>
  <si>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</si>
  <si>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</si>
  <si>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</si>
  <si>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</si>
  <si>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</si>
  <si>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</si>
  <si>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</si>
  <si>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</si>
  <si>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</si>
  <si>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</si>
  <si>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</si>
  <si>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</si>
  <si>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</si>
  <si>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</si>
  <si>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</si>
  <si>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</si>
  <si>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</si>
  <si>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</si>
  <si>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</si>
  <si>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</si>
  <si>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</si>
  <si>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</si>
  <si>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</si>
  <si>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</si>
  <si>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</si>
  <si>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</si>
  <si>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</si>
  <si>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</si>
  <si>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</si>
  <si>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</si>
  <si>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</si>
  <si>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</si>
  <si>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</si>
  <si>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</si>
  <si>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</si>
  <si>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</si>
  <si>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</si>
  <si>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</si>
  <si>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</si>
  <si>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</si>
  <si>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</si>
  <si>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</si>
  <si>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</si>
  <si>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</si>
  <si>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</si>
  <si>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</si>
  <si>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</si>
  <si>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</si>
  <si>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</si>
  <si>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</si>
  <si>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</si>
  <si>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</si>
  <si>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</si>
  <si>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</si>
  <si>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</si>
  <si>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</si>
  <si>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</si>
  <si>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</si>
  <si>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</si>
  <si>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</si>
  <si>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</si>
  <si>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</si>
  <si>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</si>
  <si>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</si>
  <si>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</si>
  <si>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</si>
  <si>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</si>
  <si>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</si>
  <si>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</si>
  <si>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</si>
  <si>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</si>
  <si>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</si>
  <si>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</si>
  <si>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</si>
  <si>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</si>
  <si>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</si>
  <si>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</si>
  <si>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</si>
  <si>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</si>
  <si>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</si>
  <si>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</si>
  <si>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</si>
  <si>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</si>
  <si>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</si>
  <si>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</si>
  <si>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</si>
  <si>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</si>
  <si>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</si>
  <si>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</si>
  <si>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</si>
  <si>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</si>
  <si>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</si>
  <si>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</si>
  <si>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</si>
  <si>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</si>
  <si>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</si>
  <si>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</si>
  <si>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</si>
  <si>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</si>
  <si>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</si>
  <si>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</si>
  <si>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</si>
  <si>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</si>
  <si>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</si>
  <si>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</si>
  <si>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</si>
  <si>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</si>
  <si>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</si>
  <si>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</si>
  <si>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</si>
  <si>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</si>
  <si>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</si>
  <si>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</si>
  <si>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</si>
  <si>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</si>
  <si>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</si>
  <si>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</si>
  <si>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</si>
  <si>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</si>
  <si>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</si>
  <si>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</si>
  <si>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</si>
  <si>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</si>
  <si>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</si>
  <si>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</si>
  <si>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</si>
  <si>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</si>
  <si>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</si>
  <si>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</si>
  <si>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</si>
  <si>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</si>
  <si>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</si>
  <si>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</si>
  <si>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</si>
  <si>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</si>
  <si>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</si>
  <si>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</si>
  <si>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</si>
  <si>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</si>
  <si>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</si>
  <si>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</si>
  <si>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</si>
  <si>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</si>
  <si>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</si>
  <si>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</si>
  <si>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</si>
  <si>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</si>
  <si>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</si>
  <si>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</si>
  <si>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</si>
  <si>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</si>
  <si>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</si>
  <si>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</si>
  <si>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</si>
  <si>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</si>
  <si>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</si>
  <si>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</si>
  <si>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</si>
  <si>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</si>
  <si>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</si>
  <si>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</si>
  <si>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</si>
  <si>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</si>
  <si>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</si>
  <si>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</si>
  <si>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</si>
  <si>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</si>
  <si>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</si>
  <si>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</si>
  <si>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</si>
  <si>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</si>
  <si>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</si>
  <si>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</si>
  <si>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</si>
  <si>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</si>
  <si>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</si>
  <si>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</si>
  <si>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</si>
  <si>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</si>
  <si>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</si>
  <si>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</si>
  <si>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</si>
  <si>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</si>
  <si>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</si>
  <si>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</si>
  <si>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</si>
  <si>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</si>
  <si>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</si>
  <si>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</si>
  <si>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</si>
  <si>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</si>
  <si>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</si>
  <si>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</si>
  <si>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</si>
  <si>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</si>
  <si>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</si>
  <si>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</si>
  <si>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</si>
  <si>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</si>
  <si>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</si>
  <si>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</si>
  <si>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</si>
  <si>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</si>
  <si>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</si>
  <si>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</si>
  <si>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</si>
  <si>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</si>
  <si>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</si>
  <si>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</si>
  <si>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</si>
  <si>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</si>
  <si>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</si>
  <si>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</si>
  <si>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</si>
  <si>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</si>
  <si>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</si>
  <si>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</si>
  <si>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</si>
  <si>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</si>
  <si>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</si>
  <si>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</si>
  <si>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</si>
  <si>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</si>
  <si>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</si>
  <si>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</si>
  <si>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</si>
  <si>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</si>
  <si>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</si>
  <si>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</si>
  <si>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</si>
  <si>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</si>
  <si>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</si>
  <si>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</si>
  <si>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</si>
  <si>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</si>
  <si>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</si>
  <si>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</si>
  <si>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</si>
  <si>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</si>
  <si>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</si>
  <si>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</si>
  <si>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</si>
  <si>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</si>
  <si>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</si>
  <si>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</si>
  <si>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</si>
  <si>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</si>
  <si>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</si>
  <si>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</si>
  <si>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</si>
  <si>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</si>
  <si>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</si>
  <si>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</si>
  <si>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</si>
  <si>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</si>
  <si>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</si>
  <si>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</si>
  <si>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</si>
  <si>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</si>
  <si>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</si>
  <si>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</si>
  <si>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</si>
  <si>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</si>
  <si>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</si>
  <si>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</si>
  <si>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</si>
  <si>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</si>
  <si>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</si>
  <si>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</si>
  <si>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</si>
  <si>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</si>
  <si>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</si>
  <si>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</si>
  <si>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</si>
  <si>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</si>
  <si>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</si>
  <si>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</si>
  <si>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</si>
  <si>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</si>
  <si>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</si>
  <si>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</si>
  <si>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</si>
  <si>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</si>
  <si>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</si>
  <si>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</si>
  <si>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</si>
  <si>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</si>
  <si>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</si>
  <si>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</si>
  <si>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</si>
  <si>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</si>
  <si>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</si>
  <si>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</si>
  <si>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</si>
  <si>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</si>
  <si>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</si>
  <si>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</si>
  <si>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</si>
  <si>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</si>
  <si>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</si>
  <si>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</si>
  <si>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</si>
  <si>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</si>
  <si>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</si>
  <si>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</si>
  <si>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</si>
  <si>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</si>
  <si>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</si>
  <si>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</si>
  <si>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</si>
  <si>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</si>
  <si>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</si>
  <si>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</si>
  <si>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</si>
  <si>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</si>
  <si>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</si>
  <si>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</si>
  <si>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</si>
  <si>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</si>
  <si>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</si>
  <si>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</si>
  <si>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</si>
  <si>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</si>
  <si>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</si>
  <si>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</si>
  <si>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</si>
  <si>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</si>
  <si>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</si>
  <si>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</si>
  <si>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</si>
  <si>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</si>
  <si>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</si>
  <si>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</si>
  <si>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</si>
  <si>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</si>
  <si>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</si>
  <si>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</si>
  <si>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</si>
  <si>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</si>
  <si>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</si>
  <si>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</si>
  <si>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</si>
  <si>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</si>
  <si>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</si>
  <si>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</si>
  <si>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</si>
  <si>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</si>
  <si>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</si>
  <si>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</si>
  <si>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</si>
  <si>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</si>
  <si>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</si>
  <si>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</si>
  <si>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</si>
  <si>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</si>
  <si>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</si>
  <si>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</si>
  <si>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</si>
  <si>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</si>
  <si>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</si>
  <si>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</si>
  <si>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</si>
  <si>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</si>
  <si>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</si>
  <si>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</si>
  <si>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</si>
  <si>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</si>
  <si>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</si>
  <si>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</si>
  <si>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</si>
  <si>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</si>
  <si>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</si>
  <si>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</si>
  <si>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</si>
  <si>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</si>
  <si>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</si>
  <si>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</si>
  <si>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</si>
  <si>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</si>
  <si>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</si>
  <si>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</si>
  <si>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</si>
  <si>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</si>
  <si>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</si>
  <si>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</si>
  <si>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</si>
  <si>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</si>
  <si>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</si>
  <si>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</si>
  <si>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</si>
  <si>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</si>
  <si>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</si>
  <si>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</si>
  <si>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</si>
  <si>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</si>
  <si>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</si>
  <si>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</si>
  <si>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</si>
  <si>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</si>
  <si>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</si>
  <si>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</si>
  <si>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</si>
  <si>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</si>
  <si>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</si>
  <si>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</si>
  <si>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</si>
  <si>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</si>
  <si>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</si>
  <si>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</si>
  <si>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</si>
  <si>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</si>
  <si>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</si>
  <si>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</si>
  <si>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</si>
  <si>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</si>
  <si>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</si>
  <si>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</si>
  <si>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</si>
  <si>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</si>
  <si>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</si>
  <si>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</si>
  <si>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</si>
  <si>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</si>
  <si>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</si>
  <si>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</si>
  <si>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</si>
  <si>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</si>
  <si>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</si>
  <si>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</si>
  <si>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</si>
  <si>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</si>
  <si>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</si>
  <si>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</si>
  <si>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</si>
  <si>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</si>
  <si>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</si>
  <si>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</si>
  <si>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</si>
  <si>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</si>
  <si>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</si>
  <si>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</si>
  <si>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</si>
  <si>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</si>
  <si>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</si>
  <si>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</si>
  <si>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</si>
  <si>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</si>
  <si>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</si>
  <si>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</si>
  <si>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</si>
  <si>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</si>
  <si>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</si>
  <si>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</si>
  <si>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</si>
  <si>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</si>
  <si>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</si>
  <si>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</si>
  <si>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</si>
  <si>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</si>
  <si>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</si>
  <si>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</si>
  <si>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</si>
  <si>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</si>
  <si>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</si>
  <si>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</si>
  <si>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</si>
  <si>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</si>
  <si>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</si>
  <si>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</si>
  <si>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</si>
  <si>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</si>
  <si>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</si>
  <si>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</si>
  <si>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</si>
  <si>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</si>
  <si>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</si>
  <si>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</si>
  <si>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</si>
  <si>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</si>
  <si>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</si>
  <si>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</si>
  <si>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</si>
  <si>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</si>
  <si>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</si>
  <si>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</si>
  <si>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</si>
  <si>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</si>
  <si>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</si>
  <si>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</si>
  <si>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</si>
  <si>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</si>
  <si>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</si>
  <si>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</si>
  <si>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</si>
  <si>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</si>
  <si>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</si>
  <si>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</si>
  <si>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</si>
  <si>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</si>
  <si>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</si>
  <si>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</si>
  <si>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</si>
  <si>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</si>
  <si>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</si>
  <si>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</si>
  <si>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</si>
  <si>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</si>
  <si>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</si>
  <si>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</si>
  <si>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</si>
  <si>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</si>
  <si>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</si>
  <si>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</si>
  <si>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</si>
  <si>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</si>
  <si>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</si>
  <si>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</si>
  <si>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</si>
  <si>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</si>
  <si>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</si>
  <si>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</si>
  <si>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</si>
  <si>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</si>
  <si>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</si>
  <si>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</si>
  <si>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</si>
  <si>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</si>
  <si>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</si>
  <si>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</si>
  <si>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</si>
  <si>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</si>
  <si>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</si>
  <si>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</si>
  <si>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</si>
  <si>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</si>
  <si>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</si>
  <si>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</si>
  <si>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</si>
  <si>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</si>
  <si>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</si>
  <si>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</si>
  <si>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</si>
  <si>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</si>
  <si>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</si>
  <si>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</si>
  <si>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</si>
  <si>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</si>
  <si>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</si>
  <si>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</si>
  <si>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</si>
  <si>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</si>
  <si>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</si>
  <si>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</si>
  <si>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</si>
  <si>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</si>
  <si>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</si>
  <si>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</si>
  <si>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</si>
  <si>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</si>
  <si>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</si>
  <si>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</si>
  <si>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</si>
  <si>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</si>
  <si>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</si>
  <si>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</si>
  <si>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</si>
  <si>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</si>
  <si>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</si>
  <si>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</si>
  <si>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</si>
  <si>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</si>
  <si>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</si>
  <si>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</si>
  <si>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</si>
  <si>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</si>
  <si>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</si>
  <si>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</si>
  <si>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</si>
  <si>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</si>
  <si>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</si>
  <si>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</si>
  <si>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</si>
  <si>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</si>
  <si>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</si>
  <si>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</si>
  <si>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</si>
  <si>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</si>
  <si>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</si>
  <si>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</si>
  <si>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</si>
  <si>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</si>
  <si>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</si>
  <si>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</si>
  <si>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</si>
  <si>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</si>
  <si>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</si>
  <si>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</si>
  <si>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</si>
  <si>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</si>
  <si>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</si>
  <si>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</si>
  <si>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</si>
  <si>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</si>
  <si>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</si>
  <si>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</si>
  <si>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</si>
  <si>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</si>
  <si>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</si>
  <si>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</si>
  <si>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</si>
  <si>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</si>
  <si>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</si>
  <si>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</si>
  <si>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</si>
  <si>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</si>
  <si>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</si>
  <si>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</si>
  <si>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</si>
  <si>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</si>
  <si>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</si>
  <si>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</si>
  <si>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</si>
  <si>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</si>
  <si>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</si>
  <si>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</si>
  <si>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</si>
  <si>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</si>
  <si>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</si>
  <si>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</si>
  <si>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</si>
  <si>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</si>
  <si>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</si>
  <si>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</si>
  <si>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</si>
  <si>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</si>
  <si>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</si>
  <si>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</si>
  <si>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</si>
  <si>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</si>
  <si>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</si>
  <si>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</si>
  <si>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</si>
  <si>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</si>
  <si>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</si>
  <si>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</si>
  <si>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</si>
  <si>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</si>
  <si>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</si>
  <si>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</si>
  <si>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</si>
  <si>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</si>
  <si>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</si>
  <si>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</si>
  <si>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</si>
  <si>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</si>
  <si>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</si>
  <si>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</si>
  <si>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</si>
  <si>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</si>
  <si>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</si>
  <si>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</si>
  <si>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</si>
  <si>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</si>
  <si>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</si>
  <si>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</si>
  <si>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</si>
  <si>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</si>
  <si>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</si>
  <si>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</si>
  <si>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</si>
  <si>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</si>
  <si>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</si>
  <si>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</si>
  <si>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</si>
  <si>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</si>
  <si>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</si>
  <si>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</si>
  <si>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</si>
  <si>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</si>
  <si>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</si>
  <si>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</si>
  <si>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</si>
  <si>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</si>
  <si>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</si>
  <si>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</si>
  <si>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</si>
  <si>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</si>
  <si>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</si>
  <si>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</si>
  <si>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</si>
  <si>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</si>
  <si>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</si>
  <si>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</si>
  <si>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</si>
  <si>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</si>
  <si>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</si>
  <si>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</si>
  <si>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</si>
  <si>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</si>
  <si>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</si>
  <si>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</si>
  <si>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</si>
  <si>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</si>
  <si>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</si>
  <si>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</si>
  <si>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</si>
  <si>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</si>
  <si>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</si>
  <si>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</si>
  <si>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</si>
  <si>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</si>
  <si>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</si>
  <si>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</si>
  <si>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</si>
  <si>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</si>
  <si>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</si>
  <si>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</si>
  <si>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</si>
  <si>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</si>
  <si>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</si>
  <si>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</si>
  <si>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</si>
  <si>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</si>
  <si>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</si>
  <si>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</si>
  <si>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</si>
  <si>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</si>
  <si>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</si>
  <si>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</si>
  <si>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</si>
  <si>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</si>
  <si>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</si>
  <si>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</si>
  <si>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</si>
  <si>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</si>
  <si>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</si>
  <si>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</si>
  <si>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</si>
  <si>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</si>
  <si>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</si>
  <si>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</si>
  <si>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</si>
  <si>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</si>
  <si>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</si>
  <si>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</si>
  <si>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</si>
  <si>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</si>
  <si>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</si>
  <si>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</si>
  <si>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</si>
  <si>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</si>
  <si>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</si>
  <si>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</si>
  <si>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</si>
  <si>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</si>
  <si>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</si>
  <si>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</si>
  <si>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</si>
  <si>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</si>
  <si>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</si>
  <si>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</si>
  <si>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</si>
  <si>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</si>
  <si>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</si>
  <si>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</si>
  <si>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</si>
  <si>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</si>
  <si>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</si>
  <si>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</si>
  <si>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</si>
  <si>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</si>
  <si>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</si>
  <si>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</si>
  <si>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</si>
  <si>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</si>
  <si>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</si>
  <si>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</si>
  <si>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</si>
  <si>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</si>
  <si>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</si>
  <si>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</si>
  <si>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</si>
  <si>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</si>
  <si>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</si>
  <si>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</si>
  <si>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</si>
  <si>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</si>
  <si>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</si>
  <si>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</si>
  <si>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</si>
  <si>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</si>
  <si>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</si>
  <si>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</si>
  <si>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</si>
  <si>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</si>
  <si>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</si>
  <si>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</si>
  <si>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</si>
  <si>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</si>
  <si>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</si>
  <si>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</si>
  <si>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</si>
  <si>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</si>
  <si>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</si>
  <si>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</si>
  <si>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</si>
  <si>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</si>
  <si>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</si>
  <si>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</si>
  <si>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</si>
  <si>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</si>
  <si>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</si>
  <si>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</si>
  <si>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</si>
  <si>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</si>
  <si>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</si>
  <si>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</si>
  <si>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</si>
  <si>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</si>
  <si>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</si>
  <si>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</si>
  <si>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</si>
  <si>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</si>
  <si>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</si>
  <si>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</si>
  <si>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</si>
  <si>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</si>
  <si>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</si>
  <si>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</si>
  <si>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</si>
  <si>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</si>
  <si>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</si>
  <si>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</si>
  <si>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</si>
  <si>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</si>
  <si>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</si>
  <si>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</si>
  <si>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</si>
  <si>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</si>
  <si>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</si>
  <si>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</si>
  <si>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</si>
  <si>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</si>
  <si>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</si>
  <si>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</si>
  <si>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</si>
  <si>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</si>
  <si>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</si>
  <si>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</si>
  <si>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</si>
  <si>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</si>
  <si>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</si>
  <si>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</si>
  <si>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</si>
  <si>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</si>
  <si>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</si>
  <si>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</si>
  <si>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</si>
  <si>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</si>
  <si>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</si>
  <si>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</si>
  <si>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</si>
  <si>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</si>
  <si>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</si>
  <si>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</si>
  <si>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</si>
  <si>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</si>
  <si>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</si>
  <si>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</si>
  <si>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</si>
  <si>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</si>
  <si>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</si>
  <si>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</si>
  <si>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</si>
  <si>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</si>
  <si>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</si>
  <si>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</si>
  <si>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</si>
  <si>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</si>
  <si>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</si>
  <si>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</si>
  <si>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</si>
  <si>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</si>
  <si>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</si>
  <si>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</si>
  <si>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</si>
  <si>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</si>
  <si>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</si>
  <si>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</si>
  <si>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</si>
  <si>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</si>
  <si>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</si>
  <si>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</si>
  <si>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</si>
  <si>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</si>
  <si>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</si>
  <si>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</si>
  <si>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</si>
  <si>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</si>
  <si>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</si>
  <si>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</si>
  <si>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</si>
  <si>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</si>
  <si>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</si>
  <si>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</si>
  <si>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</si>
  <si>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</si>
  <si>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</si>
  <si>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</si>
  <si>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</si>
  <si>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</si>
  <si>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</si>
  <si>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</si>
  <si>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</si>
  <si>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</si>
  <si>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</si>
  <si>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</si>
  <si>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</si>
  <si>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</si>
  <si>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</si>
  <si>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</si>
  <si>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</si>
  <si>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</si>
  <si>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</si>
  <si>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</si>
  <si>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</si>
  <si>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</si>
  <si>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</si>
  <si>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</si>
  <si>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</si>
  <si>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</si>
  <si>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</si>
  <si>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</si>
  <si>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</si>
  <si>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</si>
  <si>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</si>
  <si>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</si>
  <si>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</si>
  <si>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</si>
  <si>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</si>
  <si>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</si>
  <si>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</si>
  <si>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</si>
  <si>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</si>
  <si>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</si>
  <si>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</si>
  <si>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</si>
  <si>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</si>
  <si>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</si>
  <si>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</si>
  <si>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</si>
  <si>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</si>
  <si>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</si>
  <si>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</si>
  <si>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</si>
  <si>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</si>
  <si>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</si>
  <si>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</si>
  <si>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</si>
  <si>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</si>
  <si>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</si>
  <si>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</si>
  <si>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</si>
  <si>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</si>
  <si>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</si>
  <si>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</si>
  <si>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</si>
  <si>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</si>
  <si>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</si>
  <si>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</si>
  <si>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</si>
  <si>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</si>
  <si>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</si>
  <si>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</si>
  <si>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</si>
  <si>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</si>
  <si>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</si>
  <si>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</si>
  <si>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</si>
  <si>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</si>
  <si>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</si>
  <si>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</si>
  <si>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</si>
  <si>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</si>
  <si>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</si>
  <si>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</si>
  <si>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</si>
  <si>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</si>
  <si>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</si>
  <si>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</si>
  <si>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</si>
  <si>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</si>
  <si>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</si>
  <si>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</si>
  <si>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</si>
  <si>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</si>
  <si>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</si>
  <si>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</si>
  <si>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</si>
  <si>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</si>
  <si>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</si>
  <si>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</si>
  <si>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</si>
  <si>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</si>
  <si>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</si>
  <si>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</si>
  <si>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</si>
  <si>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</si>
  <si>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</si>
  <si>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</si>
  <si>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</si>
  <si>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</si>
  <si>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</si>
  <si>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</si>
  <si>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</si>
  <si>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</si>
  <si>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</si>
  <si>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</si>
  <si>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</si>
  <si>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</si>
  <si>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</si>
  <si>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</si>
  <si>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</si>
  <si>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</si>
  <si>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</si>
  <si>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</si>
  <si>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</si>
  <si>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</si>
  <si>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</si>
  <si>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</si>
  <si>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</si>
  <si>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</si>
  <si>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</si>
  <si>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</si>
  <si>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</si>
  <si>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</si>
  <si>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</si>
  <si>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</si>
  <si>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</si>
  <si>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</si>
  <si>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</si>
  <si>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</si>
  <si>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</si>
  <si>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</si>
  <si>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</si>
  <si>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</si>
  <si>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</si>
  <si>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</si>
  <si>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</si>
  <si>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</si>
  <si>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</si>
  <si>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</si>
  <si>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</si>
  <si>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</si>
  <si>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</si>
  <si>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</si>
  <si>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</si>
  <si>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</si>
  <si>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</si>
  <si>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</si>
  <si>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</si>
  <si>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</si>
  <si>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</si>
  <si>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</si>
  <si>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</si>
  <si>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</si>
  <si>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</si>
  <si>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</si>
  <si>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</si>
  <si>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</si>
  <si>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</si>
  <si>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</si>
  <si>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</si>
  <si>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</si>
  <si>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</si>
  <si>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</si>
  <si>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</si>
  <si>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</si>
  <si>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</si>
  <si>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</si>
  <si>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</si>
  <si>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</si>
  <si>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</si>
  <si>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</si>
  <si>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</si>
  <si>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</si>
  <si>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</si>
  <si>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</si>
  <si>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</si>
  <si>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</si>
  <si>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</si>
  <si>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</si>
  <si>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</si>
  <si>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</si>
  <si>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</si>
  <si>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</si>
  <si>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</si>
  <si>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</si>
  <si>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</si>
  <si>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</si>
  <si>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</si>
  <si>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</si>
  <si>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</si>
  <si>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</si>
  <si>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</si>
  <si>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</si>
  <si>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</si>
  <si>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</si>
  <si>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</si>
  <si>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</si>
  <si>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</si>
  <si>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</si>
  <si>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</si>
  <si>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</si>
  <si>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</si>
  <si>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</si>
  <si>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</si>
  <si>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</si>
  <si>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</si>
  <si>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</si>
  <si>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</si>
  <si>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</si>
  <si>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</si>
  <si>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</si>
  <si>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</si>
  <si>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</si>
  <si>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</si>
  <si>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</si>
  <si>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</si>
  <si>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</si>
  <si>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</si>
  <si>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</si>
  <si>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</si>
  <si>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</si>
  <si>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</si>
  <si>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</si>
  <si>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</si>
  <si>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</si>
  <si>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</si>
  <si>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</si>
  <si>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</si>
  <si>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</si>
  <si>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</si>
  <si>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</si>
  <si>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</si>
  <si>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</si>
  <si>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</si>
  <si>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</si>
  <si>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</si>
  <si>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</si>
  <si>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</si>
  <si>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</si>
  <si>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</si>
  <si>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</si>
  <si>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</si>
  <si>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</si>
  <si>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</si>
  <si>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</si>
  <si>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</si>
  <si>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</si>
  <si>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</si>
  <si>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</si>
  <si>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</si>
  <si>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</si>
  <si>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</si>
  <si>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</si>
  <si>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</si>
  <si>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</si>
  <si>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</si>
  <si>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</si>
  <si>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</si>
  <si>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</si>
  <si>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</si>
  <si>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</si>
  <si>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</si>
  <si>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</si>
  <si>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</si>
  <si>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</si>
  <si>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</si>
  <si>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</si>
  <si>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</si>
  <si>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</si>
  <si>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</si>
  <si>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</si>
  <si>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</si>
  <si>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</si>
  <si>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</si>
  <si>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</si>
  <si>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</si>
  <si>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</si>
  <si>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</si>
  <si>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</si>
  <si>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</si>
  <si>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</si>
  <si>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</si>
  <si>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</si>
  <si>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</si>
  <si>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</si>
  <si>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</si>
  <si>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</si>
  <si>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</si>
  <si>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</si>
  <si>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</si>
  <si>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</si>
  <si>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</si>
  <si>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</si>
  <si>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</si>
  <si>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</si>
  <si>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</si>
  <si>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</si>
  <si>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</si>
  <si>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</si>
  <si>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</si>
  <si>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</si>
  <si>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</si>
  <si>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</si>
  <si>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</si>
  <si>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</si>
  <si>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</si>
  <si>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</si>
  <si>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</si>
  <si>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</si>
  <si>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</si>
  <si>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</si>
  <si>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</si>
  <si>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</si>
  <si>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</si>
  <si>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</si>
  <si>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</si>
  <si>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</si>
  <si>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</si>
  <si>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</si>
  <si>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</si>
  <si>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</si>
  <si>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</si>
  <si>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</si>
  <si>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</si>
  <si>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</si>
  <si>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</si>
  <si>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</si>
  <si>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</si>
  <si>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</si>
  <si>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</si>
  <si>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</si>
  <si>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</si>
  <si>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</si>
  <si>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</si>
  <si>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</si>
  <si>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</si>
  <si>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</si>
  <si>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</si>
  <si>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</si>
  <si>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</si>
  <si>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</si>
  <si>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</si>
  <si>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</si>
  <si>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</si>
  <si>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</si>
  <si>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</si>
  <si>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</si>
  <si>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</si>
  <si>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</si>
  <si>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</si>
  <si>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</si>
  <si>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</si>
  <si>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</si>
  <si>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</si>
  <si>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</si>
  <si>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</si>
  <si>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</si>
  <si>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</si>
  <si>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</si>
  <si>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</si>
  <si>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</si>
  <si>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</si>
  <si>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</si>
  <si>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</si>
  <si>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</si>
  <si>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</si>
  <si>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</si>
  <si>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</si>
  <si>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</si>
  <si>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</si>
  <si>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</si>
  <si>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</si>
  <si>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</si>
  <si>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</si>
  <si>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</si>
  <si>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</si>
  <si>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</si>
  <si>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</si>
  <si>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</si>
  <si>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</si>
  <si>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</si>
  <si>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</si>
  <si>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</si>
  <si>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</si>
  <si>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</si>
  <si>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</si>
  <si>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</si>
  <si>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</si>
  <si>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</si>
  <si>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</si>
  <si>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</si>
  <si>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</si>
  <si>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</si>
  <si>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</si>
  <si>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</si>
  <si>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</si>
  <si>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</si>
  <si>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</si>
  <si>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</si>
  <si>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</si>
  <si>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</si>
  <si>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</si>
  <si>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</si>
  <si>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</si>
  <si>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</si>
  <si>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</si>
  <si>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</si>
  <si>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</si>
  <si>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</si>
  <si>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</si>
  <si>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</si>
  <si>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</si>
  <si>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</si>
  <si>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</si>
  <si>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</si>
  <si>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</si>
  <si>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</si>
  <si>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</si>
  <si>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</si>
  <si>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</si>
  <si>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</si>
  <si>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</si>
  <si>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</si>
  <si>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</si>
  <si>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</si>
  <si>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</si>
  <si>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</si>
  <si>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</si>
  <si>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</si>
  <si>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</si>
  <si>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</si>
  <si>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</si>
  <si>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</si>
  <si>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</si>
  <si>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</si>
  <si>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</si>
  <si>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</si>
  <si>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</si>
  <si>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</si>
  <si>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</si>
  <si>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</si>
  <si>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</si>
  <si>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</si>
  <si>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</si>
  <si>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</si>
  <si>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</si>
  <si>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</si>
  <si>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</si>
  <si>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</si>
  <si>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</si>
  <si>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</si>
  <si>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</si>
  <si>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</si>
  <si>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</si>
  <si>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</si>
  <si>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</si>
  <si>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</si>
  <si>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</si>
  <si>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</si>
  <si>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</si>
  <si>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</si>
  <si>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</si>
  <si>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</si>
  <si>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</si>
  <si>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</si>
  <si>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</si>
  <si>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</si>
  <si>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</si>
  <si>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</si>
  <si>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</si>
  <si>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</si>
  <si>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</si>
  <si>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</si>
  <si>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</si>
  <si>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</si>
  <si>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</si>
  <si>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</si>
  <si>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</si>
  <si>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</si>
  <si>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</si>
  <si>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</si>
  <si>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</si>
  <si>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</si>
  <si>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</si>
  <si>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</si>
  <si>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</si>
  <si>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</si>
  <si>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</si>
  <si>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</si>
  <si>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</si>
  <si>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</si>
  <si>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</si>
  <si>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</si>
  <si>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</si>
  <si>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</si>
  <si>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</si>
  <si>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</si>
  <si>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</si>
  <si>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</si>
  <si>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</si>
  <si>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</si>
  <si>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</si>
  <si>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</si>
  <si>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</si>
  <si>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</si>
  <si>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</si>
  <si>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</si>
  <si>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</si>
  <si>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</si>
  <si>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</si>
  <si>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</si>
  <si>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</si>
  <si>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</si>
  <si>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</si>
  <si>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</si>
  <si>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</si>
  <si>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</si>
  <si>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</si>
  <si>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</si>
  <si>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</si>
  <si>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</si>
  <si>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</si>
  <si>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</si>
  <si>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</si>
  <si>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</si>
  <si>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</si>
  <si>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</si>
  <si>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</si>
  <si>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</si>
  <si>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</si>
  <si>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</si>
  <si>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</si>
  <si>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</si>
  <si>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</si>
  <si>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</si>
  <si>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</si>
  <si>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</si>
  <si>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</si>
  <si>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</si>
  <si>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</si>
  <si>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</si>
  <si>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</si>
  <si>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</si>
  <si>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</si>
  <si>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</si>
  <si>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</si>
  <si>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</si>
  <si>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</si>
  <si>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</si>
  <si>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</si>
  <si>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</si>
  <si>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</si>
  <si>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</si>
  <si>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</si>
  <si>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</si>
  <si>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</si>
  <si>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</si>
  <si>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</si>
  <si>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</si>
  <si>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</si>
  <si>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</si>
  <si>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</si>
  <si>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</si>
  <si>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</si>
  <si>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</si>
  <si>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</si>
  <si>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</si>
  <si>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</si>
  <si>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</si>
  <si>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</si>
  <si>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</si>
  <si>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</si>
  <si>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</si>
  <si>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</si>
  <si>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</si>
  <si>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</si>
  <si>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</si>
  <si>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</si>
  <si>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</si>
  <si>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</si>
  <si>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</si>
  <si>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</si>
  <si>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</si>
  <si>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</si>
  <si>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</si>
  <si>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</si>
  <si>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</si>
  <si>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</si>
  <si>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</si>
  <si>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</si>
  <si>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</si>
  <si>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</si>
  <si>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</si>
  <si>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</si>
  <si>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</si>
  <si>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</si>
  <si>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</si>
  <si>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</si>
  <si>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</si>
  <si>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</si>
  <si>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</si>
  <si>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</si>
  <si>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</si>
  <si>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</si>
  <si>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</si>
  <si>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</si>
  <si>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</si>
  <si>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</si>
  <si>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</si>
  <si>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</si>
  <si>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</si>
  <si>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</si>
  <si>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</si>
  <si>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</si>
  <si>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</si>
  <si>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</si>
  <si>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</si>
  <si>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</si>
  <si>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</si>
  <si>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</si>
  <si>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</si>
  <si>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</si>
  <si>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</si>
  <si>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</si>
  <si>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</si>
  <si>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</si>
  <si>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</si>
  <si>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</si>
  <si>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</si>
  <si>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</si>
  <si>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</si>
  <si>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</si>
  <si>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</si>
  <si>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</si>
  <si>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</si>
  <si>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</si>
  <si>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</si>
  <si>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</si>
  <si>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</si>
  <si>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</si>
  <si>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</si>
  <si>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</si>
  <si>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</si>
  <si>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</si>
  <si>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</si>
  <si>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</si>
  <si>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</si>
  <si>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</si>
  <si>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</si>
  <si>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</si>
  <si>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</si>
  <si>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</si>
  <si>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</si>
  <si>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</si>
  <si>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</si>
  <si>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</si>
  <si>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</si>
  <si>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</si>
  <si>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</si>
  <si>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</si>
  <si>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</si>
  <si>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</si>
  <si>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</si>
  <si>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</si>
  <si>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</si>
  <si>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</si>
  <si>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</si>
  <si>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</si>
  <si>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</si>
  <si>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</si>
  <si>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</si>
  <si>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</si>
  <si>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</si>
  <si>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</si>
  <si>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</si>
  <si>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</si>
  <si>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</si>
  <si>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</si>
  <si>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</si>
  <si>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</si>
  <si>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</si>
  <si>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</si>
  <si>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</si>
  <si>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</si>
  <si>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</si>
  <si>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</si>
  <si>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</si>
  <si>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</si>
  <si>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</si>
  <si>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</si>
  <si>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</si>
  <si>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</si>
  <si>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</si>
  <si>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</si>
  <si>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</si>
  <si>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</si>
  <si>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</si>
  <si>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</si>
  <si>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</si>
  <si>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</si>
  <si>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</si>
  <si>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</si>
  <si>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</si>
  <si>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</si>
  <si>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</si>
  <si>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</si>
  <si>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</si>
  <si>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</si>
  <si>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</si>
  <si>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</si>
  <si>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</si>
  <si>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</si>
  <si>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</si>
  <si>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</si>
  <si>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</si>
  <si>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</si>
  <si>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</si>
  <si>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</si>
  <si>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</si>
  <si>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</si>
  <si>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</si>
  <si>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</si>
  <si>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</si>
  <si>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</si>
  <si>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</si>
  <si>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</si>
  <si>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</si>
  <si>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</si>
  <si>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</si>
  <si>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</si>
  <si>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</si>
  <si>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</si>
  <si>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</si>
  <si>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</si>
  <si>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</si>
  <si>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</si>
  <si>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</si>
  <si>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</si>
  <si>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</si>
  <si>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</si>
  <si>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</si>
  <si>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</si>
  <si>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</si>
  <si>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</si>
  <si>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</si>
  <si>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</si>
  <si>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</si>
  <si>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</si>
  <si>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</si>
  <si>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</si>
  <si>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</si>
  <si>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</si>
  <si>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</si>
  <si>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</si>
  <si>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</si>
  <si>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</si>
  <si>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</si>
  <si>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</si>
  <si>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</si>
  <si>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</si>
  <si>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</si>
  <si>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</si>
  <si>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</si>
  <si>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</si>
  <si>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</si>
  <si>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</si>
  <si>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</si>
  <si>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</si>
  <si>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</si>
  <si>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</si>
  <si>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</si>
  <si>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</si>
  <si>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</si>
  <si>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</si>
  <si>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</si>
  <si>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</si>
  <si>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</si>
  <si>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</si>
  <si>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</si>
  <si>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</si>
  <si>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</si>
  <si>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</si>
  <si>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</si>
  <si>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</si>
  <si>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</si>
  <si>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</si>
  <si>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</si>
  <si>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</si>
  <si>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</si>
  <si>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</si>
  <si>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</si>
  <si>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</si>
  <si>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</si>
  <si>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</si>
  <si>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</si>
  <si>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</si>
  <si>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</si>
  <si>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</si>
  <si>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</si>
  <si>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</si>
  <si>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</si>
  <si>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</si>
  <si>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</si>
  <si>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</si>
  <si>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</si>
  <si>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</si>
  <si>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</si>
  <si>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</si>
  <si>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</si>
  <si>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</si>
  <si>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</si>
  <si>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</si>
  <si>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</si>
  <si>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</si>
  <si>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</si>
  <si>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</si>
  <si>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</si>
  <si>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</si>
  <si>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</si>
  <si>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</si>
  <si>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</si>
  <si>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</si>
  <si>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</si>
  <si>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</si>
  <si>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</si>
  <si>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</si>
  <si>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</si>
  <si>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</si>
  <si>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</si>
  <si>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</si>
  <si>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</si>
  <si>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</si>
  <si>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</si>
  <si>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</si>
  <si>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</si>
  <si>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</si>
  <si>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</si>
  <si>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</si>
  <si>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</si>
  <si>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</si>
  <si>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</si>
  <si>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</si>
  <si>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</si>
  <si>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</si>
  <si>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</si>
  <si>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</si>
  <si>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</si>
  <si>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</si>
  <si>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</si>
  <si>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</si>
  <si>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</si>
  <si>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</si>
  <si>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</si>
  <si>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</si>
  <si>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</si>
  <si>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</si>
  <si>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</si>
  <si>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</si>
  <si>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</si>
  <si>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</si>
  <si>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</si>
  <si>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</si>
  <si>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</si>
  <si>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</si>
  <si>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</si>
  <si>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</si>
  <si>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</si>
  <si>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</si>
  <si>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</si>
  <si>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</si>
  <si>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</si>
  <si>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</si>
  <si>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</si>
  <si>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</si>
  <si>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</si>
  <si>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叶凌</t>
  </si>
  <si>
    <t>核定资产</t>
  </si>
  <si>
    <t>房地产市场价值</t>
  </si>
  <si>
    <t>北京市</t>
  </si>
  <si>
    <t>自然人</t>
  </si>
  <si>
    <t>是</t>
  </si>
  <si>
    <t>估价对象</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</si>
  <si>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</si>
  <si>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</si>
  <si>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</si>
  <si>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</si>
  <si>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</si>
  <si>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</si>
  <si>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</si>
  <si>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</si>
  <si>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</si>
  <si>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</si>
  <si>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</si>
  <si>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</si>
  <si>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</si>
  <si>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</si>
  <si>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</si>
  <si>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</si>
  <si>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</si>
  <si>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</si>
  <si>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</si>
  <si>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</si>
  <si>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</si>
  <si>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60</t>
    <phoneticPr fontId="4" type="noConversion"/>
  </si>
  <si>
    <t>七通</t>
  </si>
  <si>
    <t>七通</t>
    <phoneticPr fontId="20" type="noConversion"/>
  </si>
  <si>
    <t>正常</t>
  </si>
  <si>
    <t>住宅</t>
    <phoneticPr fontId="20" type="noConversion"/>
  </si>
  <si>
    <t>售价</t>
  </si>
  <si>
    <t>50-60（含）</t>
  </si>
  <si>
    <t>建成年代</t>
    <phoneticPr fontId="20" type="noConversion"/>
  </si>
  <si>
    <t>平层</t>
  </si>
  <si>
    <t>平层</t>
    <phoneticPr fontId="20" type="noConversion"/>
  </si>
  <si>
    <t>七通</t>
    <phoneticPr fontId="20" type="noConversion"/>
  </si>
  <si>
    <t>物业公司</t>
  </si>
  <si>
    <t>物业公司</t>
    <phoneticPr fontId="20" type="noConversion"/>
  </si>
  <si>
    <t>普通装修</t>
  </si>
  <si>
    <t>普通装修</t>
    <phoneticPr fontId="20" type="noConversion"/>
  </si>
  <si>
    <t>中高档</t>
  </si>
  <si>
    <t>中高档</t>
    <phoneticPr fontId="20" type="noConversion"/>
  </si>
  <si>
    <t>钢混</t>
  </si>
  <si>
    <t>钢混</t>
    <phoneticPr fontId="20" type="noConversion"/>
  </si>
  <si>
    <t>板塔结合</t>
  </si>
  <si>
    <t>板塔结合</t>
    <phoneticPr fontId="20" type="noConversion"/>
  </si>
  <si>
    <t>南北</t>
  </si>
  <si>
    <t>楼层</t>
    <phoneticPr fontId="20" type="noConversion"/>
  </si>
  <si>
    <t>板楼</t>
    <phoneticPr fontId="20" type="noConversion"/>
  </si>
  <si>
    <t>收益法</t>
  </si>
  <si>
    <t>估价对象1（结果表）</t>
  </si>
  <si>
    <t>白景生</t>
  </si>
  <si>
    <t>朝阳区白家庄路一号院1号楼5层C单元C-601、602</t>
    <phoneticPr fontId="7" type="noConversion"/>
  </si>
  <si>
    <t>12</t>
    <phoneticPr fontId="4" type="noConversion"/>
  </si>
  <si>
    <t>周边2公里内有十余条公交线路及地铁10号线（团结湖站），交通便捷度较好</t>
  </si>
  <si>
    <t>估价对象所在区域公共配套设施齐备情况好</t>
    <phoneticPr fontId="35" type="noConversion"/>
  </si>
  <si>
    <t>有工人体育场、团结湖公园等，自然及人文环境较好</t>
  </si>
  <si>
    <t>收益年期(n)</t>
  </si>
  <si>
    <t>富力爱丁堡</t>
    <phoneticPr fontId="4" type="noConversion"/>
  </si>
  <si>
    <t>周边有新城国际、白家庄西里、核桃园北里、向军北里等社区，居住社区成熟度较好</t>
    <phoneticPr fontId="20" type="noConversion"/>
  </si>
  <si>
    <t>精装修</t>
  </si>
  <si>
    <t>精装修</t>
    <phoneticPr fontId="20" type="noConversion"/>
  </si>
  <si>
    <t>是</t>
    <phoneticPr fontId="20" type="noConversion"/>
  </si>
  <si>
    <t>否</t>
    <phoneticPr fontId="20" type="noConversion"/>
  </si>
  <si>
    <t>否</t>
    <phoneticPr fontId="20" type="noConversion"/>
  </si>
  <si>
    <t>户型无法拆分</t>
    <phoneticPr fontId="20" type="noConversion"/>
  </si>
  <si>
    <t>城市支路——金桐东路</t>
    <phoneticPr fontId="20" type="noConversion"/>
  </si>
  <si>
    <t>城市次干道路——白家庄路</t>
    <phoneticPr fontId="20" type="noConversion"/>
  </si>
  <si>
    <t>南北</t>
    <phoneticPr fontId="20" type="noConversion"/>
  </si>
  <si>
    <t>西北</t>
  </si>
  <si>
    <t>西北</t>
    <phoneticPr fontId="20" type="noConversion"/>
  </si>
  <si>
    <t>5/21</t>
    <phoneticPr fontId="20" type="noConversion"/>
  </si>
  <si>
    <r>
      <rPr>
        <sz val="11"/>
        <color indexed="8"/>
        <rFont val="宋体"/>
        <family val="3"/>
        <charset val="134"/>
      </rPr>
      <t>中层</t>
    </r>
    <r>
      <rPr>
        <sz val="11"/>
        <color indexed="8"/>
        <rFont val="Arial"/>
        <family val="2"/>
      </rPr>
      <t>/14</t>
    </r>
    <phoneticPr fontId="20" type="noConversion"/>
  </si>
  <si>
    <r>
      <rPr>
        <sz val="11"/>
        <color indexed="8"/>
        <rFont val="宋体"/>
        <family val="3"/>
        <charset val="134"/>
      </rPr>
      <t>中层</t>
    </r>
    <r>
      <rPr>
        <sz val="11"/>
        <color indexed="8"/>
        <rFont val="Arial"/>
        <family val="2"/>
      </rPr>
      <t>/10</t>
    </r>
    <phoneticPr fontId="20" type="noConversion"/>
  </si>
  <si>
    <t>塔楼</t>
  </si>
  <si>
    <t>塔楼</t>
    <phoneticPr fontId="20" type="noConversion"/>
  </si>
  <si>
    <t>新城国际</t>
    <phoneticPr fontId="20" type="noConversion"/>
  </si>
  <si>
    <r>
      <rPr>
        <sz val="11"/>
        <color indexed="8"/>
        <rFont val="宋体"/>
        <family val="3"/>
        <charset val="134"/>
      </rPr>
      <t>中层</t>
    </r>
    <r>
      <rPr>
        <sz val="11"/>
        <color indexed="8"/>
        <rFont val="Arial"/>
        <family val="2"/>
      </rPr>
      <t>/32</t>
    </r>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</si>
  <si>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</si>
  <si>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比较法-车位</t>
  </si>
  <si>
    <t>车库</t>
  </si>
  <si>
    <t>富力爱丁堡</t>
    <phoneticPr fontId="4" type="noConversion"/>
  </si>
  <si>
    <t>B2</t>
  </si>
  <si>
    <t>B2</t>
    <phoneticPr fontId="26" type="noConversion"/>
  </si>
  <si>
    <t>车库</t>
    <phoneticPr fontId="26" type="noConversion"/>
  </si>
  <si>
    <t>30-40（含）</t>
  </si>
  <si>
    <t>1:2</t>
  </si>
  <si>
    <t>甲级</t>
  </si>
  <si>
    <t>平面车位</t>
  </si>
  <si>
    <t>建成年代</t>
    <phoneticPr fontId="26" type="noConversion"/>
  </si>
  <si>
    <t>富力城</t>
    <phoneticPr fontId="26" type="noConversion"/>
  </si>
  <si>
    <r>
      <rPr>
        <sz val="11"/>
        <rFont val="宋体"/>
        <family val="3"/>
        <charset val="134"/>
      </rPr>
      <t>较好</t>
    </r>
    <r>
      <rPr>
        <sz val="11"/>
        <rFont val="Arial"/>
        <family val="2"/>
      </rPr>
      <t>-</t>
    </r>
    <r>
      <rPr>
        <sz val="11"/>
        <rFont val="宋体"/>
        <family val="3"/>
        <charset val="134"/>
      </rPr>
      <t>周边</t>
    </r>
    <r>
      <rPr>
        <sz val="11"/>
        <rFont val="Arial"/>
        <family val="2"/>
      </rPr>
      <t>2</t>
    </r>
    <r>
      <rPr>
        <sz val="11"/>
        <rFont val="宋体"/>
        <family val="3"/>
        <charset val="134"/>
      </rPr>
      <t>公里内有十余条公交线路及地铁</t>
    </r>
    <r>
      <rPr>
        <sz val="11"/>
        <rFont val="Arial"/>
        <family val="2"/>
      </rPr>
      <t>10</t>
    </r>
    <r>
      <rPr>
        <sz val="11"/>
        <rFont val="宋体"/>
        <family val="3"/>
        <charset val="134"/>
      </rPr>
      <t>号线（团结湖站）</t>
    </r>
    <phoneticPr fontId="26" type="noConversion"/>
  </si>
  <si>
    <t>1:2</t>
    <phoneticPr fontId="26" type="noConversion"/>
  </si>
  <si>
    <t>1:1.5</t>
    <phoneticPr fontId="26" type="noConversion"/>
  </si>
  <si>
    <t>普通装修</t>
    <phoneticPr fontId="26" type="noConversion"/>
  </si>
  <si>
    <t>平面车位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</si>
</sst>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left" vertical="center" wrapText="1"/>
      <protection locked="0"/>
    </xf>
    <xf numFmtId="49" fontId="248" fillId="0" borderId="21" xfId="0" applyNumberFormat="1" applyFont="1" applyFill="1" applyBorder="1" applyAlignment="1" applyProtection="1">
      <alignment horizontal="center" vertical="center" wrapText="1"/>
      <protection locked="0"/>
    </xf>
    <xf numFmtId="49" fontId="248" fillId="0" borderId="25"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4"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4" fontId="0" fillId="0" borderId="0" xfId="0" applyNumberFormat="1">
      <alignment vertical="center"/>
    </xf>
    <xf numFmtId="10" fontId="39" fillId="0" borderId="19"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27458</xdr:colOff>
      <xdr:row>11</xdr:row>
      <xdr:rowOff>161669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42858" cy="2047619"/>
        </a:xfrm>
        <a:prstGeom prst="rect">
          <a:avLst/>
        </a:prstGeom>
      </xdr:spPr>
    </xdr:pic>
    <xdr:clientData/>
  </xdr:twoCellAnchor>
  <xdr:twoCellAnchor editAs="oneCell">
    <xdr:from>
      <xdr:col>0</xdr:col>
      <xdr:colOff>0</xdr:colOff>
      <xdr:row>12</xdr:row>
      <xdr:rowOff>0</xdr:rowOff>
    </xdr:from>
    <xdr:to>
      <xdr:col>13</xdr:col>
      <xdr:colOff>284601</xdr:colOff>
      <xdr:row>24</xdr:row>
      <xdr:rowOff>37838</xdr:rowOff>
    </xdr:to>
    <xdr:pic>
      <xdr:nvPicPr>
        <xdr:cNvPr id="5" name="图片 4"/>
        <xdr:cNvPicPr>
          <a:picLocks noChangeAspect="1"/>
        </xdr:cNvPicPr>
      </xdr:nvPicPr>
      <xdr:blipFill>
        <a:blip xmlns:r="http://schemas.openxmlformats.org/officeDocument/2006/relationships" r:embed="rId2"/>
        <a:stretch>
          <a:fillRect/>
        </a:stretch>
      </xdr:blipFill>
      <xdr:spPr>
        <a:xfrm>
          <a:off x="0" y="2057400"/>
          <a:ext cx="9200001" cy="2095238"/>
        </a:xfrm>
        <a:prstGeom prst="rect">
          <a:avLst/>
        </a:prstGeom>
      </xdr:spPr>
    </xdr:pic>
    <xdr:clientData/>
  </xdr:twoCellAnchor>
  <xdr:twoCellAnchor editAs="oneCell">
    <xdr:from>
      <xdr:col>0</xdr:col>
      <xdr:colOff>0</xdr:colOff>
      <xdr:row>24</xdr:row>
      <xdr:rowOff>0</xdr:rowOff>
    </xdr:from>
    <xdr:to>
      <xdr:col>13</xdr:col>
      <xdr:colOff>94124</xdr:colOff>
      <xdr:row>35</xdr:row>
      <xdr:rowOff>161669</xdr:rowOff>
    </xdr:to>
    <xdr:pic>
      <xdr:nvPicPr>
        <xdr:cNvPr id="6" name="图片 5"/>
        <xdr:cNvPicPr>
          <a:picLocks noChangeAspect="1"/>
        </xdr:cNvPicPr>
      </xdr:nvPicPr>
      <xdr:blipFill>
        <a:blip xmlns:r="http://schemas.openxmlformats.org/officeDocument/2006/relationships" r:embed="rId3"/>
        <a:stretch>
          <a:fillRect/>
        </a:stretch>
      </xdr:blipFill>
      <xdr:spPr>
        <a:xfrm>
          <a:off x="0" y="4114800"/>
          <a:ext cx="9009524" cy="20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白景生（注册号:1120110054）、叶凌（注册号:1119970111)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估价对象为北京市房地产，为所有。根据《不动产权证书》[]，估价对象建筑面积为31.27平方米，（分摊）出让国有建设用地使用权面积为平方米。估价对象用途为。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2018年6月26日（评估专业人员实地查勘之日）</v>
      </c>
    </row>
    <row r="10" spans="1:2">
      <c r="A10" s="1702" t="s">
        <v>1116</v>
      </c>
      <c r="B10" s="1689" t="str">
        <f>'预评函-1'!A13</f>
        <v>本次估价的“房地产价值”是指在正常市场情况下，在价值时点2018年6月26日，估价对象规划用途为，假定未设立法定优先受偿款下的房地产市场价值。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31.27</v>
      </c>
    </row>
    <row r="19" spans="1:2">
      <c r="A19" s="1702" t="s">
        <v>1125</v>
      </c>
      <c r="B19" s="1689">
        <f ca="1">'预评函-2（1）'!D7</f>
        <v>263731</v>
      </c>
    </row>
    <row r="20" spans="1:2">
      <c r="A20" s="1702" t="s">
        <v>1163</v>
      </c>
      <c r="B20" s="1689" t="str">
        <f>'预评函-2（1）'!C7</f>
        <v>总价（元）</v>
      </c>
    </row>
    <row r="21" spans="1:2">
      <c r="A21" s="1702" t="s">
        <v>1126</v>
      </c>
      <c r="B21" s="1689">
        <f ca="1">'预评函-2（1）'!D9</f>
        <v>8434</v>
      </c>
    </row>
    <row r="22" spans="1:2">
      <c r="A22" s="1702" t="s">
        <v>1127</v>
      </c>
      <c r="B22" s="1689" t="str">
        <f ca="1">'预评函-2（1）'!D8</f>
        <v>贰拾陆万叁仟柒佰叁拾壹元整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263731</v>
      </c>
    </row>
    <row r="30" spans="1:2">
      <c r="A30" s="1702" t="s">
        <v>1133</v>
      </c>
      <c r="B30" s="1689" t="str">
        <f ca="1">'预评函-2（1）'!D16</f>
        <v>贰拾陆万叁仟柒佰叁拾壹元整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111822</v>
      </c>
    </row>
    <row r="38" spans="1:2">
      <c r="A38" s="1702" t="s">
        <v>1141</v>
      </c>
      <c r="B38" s="1689">
        <f ca="1">'预评函-2（2）'!E4</f>
        <v>3576</v>
      </c>
    </row>
    <row r="39" spans="1:2">
      <c r="A39" s="1702" t="s">
        <v>1142</v>
      </c>
      <c r="B39" s="1689" t="str">
        <f ca="1">'预评函-2（2）'!D5</f>
        <v>壹拾壹万壹仟捌佰贰拾贰元整</v>
      </c>
    </row>
    <row r="40" spans="1:2">
      <c r="A40" s="1702" t="s">
        <v>1143</v>
      </c>
      <c r="B40" s="1689">
        <f ca="1">'预评函-2（2）'!F4</f>
        <v>151910</v>
      </c>
    </row>
    <row r="41" spans="1:2">
      <c r="A41" s="1702" t="s">
        <v>1144</v>
      </c>
      <c r="B41" s="1689">
        <f ca="1">'预评函-2（2）'!G4</f>
        <v>4858</v>
      </c>
    </row>
    <row r="42" spans="1:2" s="1699" customFormat="1" ht="15.75" thickBot="1">
      <c r="A42" s="1703" t="s">
        <v>1145</v>
      </c>
      <c r="B42" s="1691" t="str">
        <f ca="1">'预评函-2（2）'!F5</f>
        <v>壹拾伍万壹仟玖佰壹拾元整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白景生</v>
      </c>
    </row>
    <row r="53" spans="1:2">
      <c r="A53" s="1702" t="s">
        <v>1155</v>
      </c>
      <c r="B53" s="1689">
        <f>'预评函-3'!B4</f>
        <v>1120110054</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8434</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白景生（注册号:1120110054）、叶凌（注册号:1119970111)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估价对象为北京市房地产，为所有。根据《不动产权证书》[]，估价对象建筑面积为31.27平方米，（分摊）出让国有建设用地使用权面积为平方米。估价对象用途为。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2018年6月26日（评估专业人员实地查勘之日）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2"/>
      <c r="C2" s="2782"/>
      <c r="D2" s="2782"/>
      <c r="E2" s="2782"/>
    </row>
    <row r="3" spans="1:5" ht="13.5" customHeight="1">
      <c r="A3" s="1930"/>
      <c r="B3" s="1930"/>
      <c r="C3" s="1930"/>
      <c r="D3" s="1930"/>
      <c r="E3" s="1930"/>
    </row>
    <row r="4" spans="1:5" ht="19.5" thickBot="1">
      <c r="A4" s="2783" t="str">
        <f>IF(项目基本情况!D5="房地产市场价值","估价结果一览表（市场价值不需本页表格)","估价结果一览表")</f>
        <v>估价结果一览表（市场价值不需本页表格)</v>
      </c>
      <c r="B4" s="2783"/>
      <c r="C4" s="2783"/>
      <c r="D4" s="2783"/>
      <c r="E4" s="2783"/>
    </row>
    <row r="5" spans="1:5" ht="14.25" customHeight="1" thickTop="1">
      <c r="A5" s="1927"/>
      <c r="B5" s="1931" t="s">
        <v>742</v>
      </c>
      <c r="C5" s="2784" t="s">
        <v>783</v>
      </c>
      <c r="D5" s="2785"/>
      <c r="E5" s="1927"/>
    </row>
    <row r="6" spans="1:5" ht="14.25">
      <c r="A6" s="1927"/>
      <c r="B6" s="1932" t="str">
        <f>项目基本情况!I1</f>
        <v>北京市房地产</v>
      </c>
      <c r="C6" s="2786">
        <f>项目基本情况!C12</f>
        <v>31.27</v>
      </c>
      <c r="D6" s="2786"/>
      <c r="E6" s="1927"/>
    </row>
    <row r="7" spans="1:5" ht="14.25">
      <c r="A7" s="1927"/>
      <c r="B7" s="2780" t="s">
        <v>784</v>
      </c>
      <c r="C7" s="1933" t="str">
        <f>IF('数据-取费表'!B3="万元","总价（万元）","总价（元）")</f>
        <v>总价（元）</v>
      </c>
      <c r="D7" s="1934">
        <f ca="1">IF('数据-取费表'!E3="否",结果表!I102,'结果表 (1修多)'!I103)</f>
        <v>263731</v>
      </c>
      <c r="E7" s="1927"/>
    </row>
    <row r="8" spans="1:5" ht="28.5">
      <c r="A8" s="1927"/>
      <c r="B8" s="2780"/>
      <c r="C8" s="1935" t="s">
        <v>1175</v>
      </c>
      <c r="D8" s="1936" t="str">
        <f ca="1">IF('数据-取费表'!B3="万元",NUMBERSTRING(INT(D7*10000),2)&amp;"元整",NUMBERSTRING(INT(D7),2)&amp;"元整")</f>
        <v>贰拾陆万叁仟柒佰叁拾壹元整</v>
      </c>
      <c r="E8" s="1927"/>
    </row>
    <row r="9" spans="1:5" ht="14.25">
      <c r="A9" s="1927"/>
      <c r="B9" s="2780"/>
      <c r="C9" s="1937" t="s">
        <v>1273</v>
      </c>
      <c r="D9" s="1934">
        <f ca="1">IF('数据-取费表'!E3="否",结果表!I103,'结果表 (1修多)'!I104)</f>
        <v>8434</v>
      </c>
      <c r="E9" s="1927"/>
    </row>
    <row r="10" spans="1:5" ht="14.25">
      <c r="A10" s="1927"/>
      <c r="B10" s="2787"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7"/>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7" t="str">
        <f>IF('数据-取费表'!E3="否",结果表!F110,'结果表 (1修多)'!F111)</f>
        <v>3.房地产抵押价值</v>
      </c>
      <c r="C15" s="1928" t="str">
        <f>C7</f>
        <v>总价（元）</v>
      </c>
      <c r="D15" s="1934">
        <f ca="1">IF('数据-取费表'!E3="否",结果表!I110,'结果表 (1修多)'!I111)</f>
        <v>263731</v>
      </c>
      <c r="E15" s="1927"/>
    </row>
    <row r="16" spans="1:5" ht="28.5">
      <c r="A16" s="1927"/>
      <c r="B16" s="2787"/>
      <c r="C16" s="1935" t="s">
        <v>1175</v>
      </c>
      <c r="D16" s="1934" t="str">
        <f ca="1">IF('数据-取费表'!B3="万元",NUMBERSTRING(INT(D15*10000),2)&amp;"元整",NUMBERSTRING(INT(D15),2)&amp;"元整")</f>
        <v>贰拾陆万叁仟柒佰叁拾壹元整</v>
      </c>
      <c r="E16" s="1927"/>
    </row>
    <row r="17" spans="1:5" ht="14.25">
      <c r="A17" s="1927"/>
      <c r="B17" s="2787"/>
      <c r="C17" s="1937" t="s">
        <v>1273</v>
      </c>
      <c r="D17" s="1934">
        <f ca="1">IF('数据-取费表'!E3="否",结果表!I111,'结果表 (1修多)'!I112)</f>
        <v>8434</v>
      </c>
      <c r="E17" s="1927"/>
    </row>
    <row r="18" spans="1:5" ht="14.25">
      <c r="A18" s="1927"/>
      <c r="B18" s="2787" t="str">
        <f>IF('数据-取费表'!E3="否",结果表!F112,'结果表 (1修多)'!F113)</f>
        <v>——</v>
      </c>
      <c r="C18" s="1928" t="str">
        <f>C7</f>
        <v>总价（元）</v>
      </c>
      <c r="D18" s="1934" t="str">
        <f>IF('数据-取费表'!E3="否",结果表!I112,'结果表 (1修多)'!I113)</f>
        <v>——</v>
      </c>
      <c r="E18" s="1927"/>
    </row>
    <row r="19" spans="1:5" ht="14.25">
      <c r="A19" s="1927"/>
      <c r="B19" s="2787"/>
      <c r="C19" s="1935" t="s">
        <v>1175</v>
      </c>
      <c r="D19" s="1934" t="e">
        <f>IF('数据-取费表'!B3="万元",NUMBERSTRING(INT(D18*10000),2)&amp;"元整",NUMBERSTRING(INT(D18),2)&amp;"元整")</f>
        <v>#VALUE!</v>
      </c>
      <c r="E19" s="1927"/>
    </row>
    <row r="20" spans="1:5" ht="14.25">
      <c r="A20" s="1927"/>
      <c r="B20" s="2787"/>
      <c r="C20" s="1937" t="s">
        <v>1273</v>
      </c>
      <c r="D20" s="1934" t="str">
        <f>IF('数据-取费表'!E3="否",结果表!I113,'结果表 (1修多)'!I114)</f>
        <v>——</v>
      </c>
      <c r="E20" s="1927"/>
    </row>
    <row r="21" spans="1:5" ht="14.25">
      <c r="A21" s="1927"/>
      <c r="B21" s="2780" t="str">
        <f>IF('数据-取费表'!E3="否",结果表!F114,'结果表 (1修多)'!F115)</f>
        <v>——</v>
      </c>
      <c r="C21" s="1933" t="str">
        <f>C7</f>
        <v>总价（元）</v>
      </c>
      <c r="D21" s="1934" t="str">
        <f>IF('数据-取费表'!E3="否",结果表!I114,'结果表 (1修多)'!I115)</f>
        <v>——</v>
      </c>
      <c r="E21" s="1927"/>
    </row>
    <row r="22" spans="1:5" ht="14.25">
      <c r="A22" s="1927"/>
      <c r="B22" s="2780"/>
      <c r="C22" s="1935" t="s">
        <v>1175</v>
      </c>
      <c r="D22" s="1936" t="e">
        <f>IF('数据-取费表'!B3="万元",NUMBERSTRING(INT(D21*10000),2)&amp;"元整",NUMBERSTRING(INT(D21),2)&amp;"元整")</f>
        <v>#VALUE!</v>
      </c>
      <c r="E22" s="1927"/>
    </row>
    <row r="23" spans="1:5" ht="15" thickBot="1">
      <c r="A23" s="1927"/>
      <c r="B23" s="2781"/>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2" t="s">
        <v>1274</v>
      </c>
      <c r="C25" s="2772"/>
      <c r="D25" s="2772"/>
      <c r="E25" s="1927"/>
    </row>
    <row r="26" spans="1:5" ht="18.75" customHeight="1" thickTop="1">
      <c r="A26" s="1927"/>
      <c r="B26" s="2775" t="s">
        <v>1174</v>
      </c>
      <c r="C26" s="2776"/>
      <c r="D26" s="2773" t="s">
        <v>1173</v>
      </c>
      <c r="E26" s="1927"/>
    </row>
    <row r="27" spans="1:5" ht="18.75" customHeight="1">
      <c r="A27" s="1927"/>
      <c r="B27" s="2777"/>
      <c r="C27" s="2778"/>
      <c r="D27" s="2774"/>
      <c r="E27" s="1927"/>
    </row>
    <row r="28" spans="1:5" ht="14.25">
      <c r="A28" s="1927"/>
      <c r="B28" s="2765" t="s">
        <v>784</v>
      </c>
      <c r="C28" s="1944" t="s">
        <v>1176</v>
      </c>
      <c r="D28" s="1945">
        <f ca="1">IF('数据-取费表'!E3="否",结果表!I102,'结果表 (1修多)'!I103)</f>
        <v>263731</v>
      </c>
      <c r="E28" s="1927"/>
    </row>
    <row r="29" spans="1:5" ht="28.5">
      <c r="A29" s="1927"/>
      <c r="B29" s="2766"/>
      <c r="C29" s="1946" t="s">
        <v>1175</v>
      </c>
      <c r="D29" s="1947" t="str">
        <f ca="1">IF('数据-取费表'!B3="万元",NUMBERSTRING(INT(D28*10000),2)&amp;"元整",NUMBERSTRING(INT(D28),2)&amp;"元整")</f>
        <v>贰拾陆万叁仟柒佰叁拾壹元整</v>
      </c>
      <c r="E29" s="1927"/>
    </row>
    <row r="30" spans="1:5" ht="14.25">
      <c r="A30" s="1927"/>
      <c r="B30" s="2767"/>
      <c r="C30" s="1937" t="s">
        <v>1178</v>
      </c>
      <c r="D30" s="1948">
        <f ca="1">IF('数据-取费表'!E3="否",结果表!I103,'结果表 (1修多)'!I104)</f>
        <v>8434</v>
      </c>
      <c r="E30" s="1927"/>
    </row>
    <row r="31" spans="1:5" ht="14.25">
      <c r="A31" s="1927"/>
      <c r="B31" s="2770" t="str">
        <f>B10</f>
        <v>2.估价师所知悉的法定优先受偿款</v>
      </c>
      <c r="C31" s="1949" t="s">
        <v>1177</v>
      </c>
      <c r="D31" s="1950">
        <f>IF('数据-取费表'!E3="否",结果表!I105,'结果表 (1修多)'!I106)</f>
        <v>0</v>
      </c>
      <c r="E31" s="1927"/>
    </row>
    <row r="32" spans="1:5" ht="14.25">
      <c r="A32" s="1927"/>
      <c r="B32" s="2779"/>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8" t="str">
        <f>B15</f>
        <v>3.房地产抵押价值</v>
      </c>
      <c r="C36" s="1949" t="str">
        <f>C28</f>
        <v>总价</v>
      </c>
      <c r="D36" s="1950">
        <f ca="1">IF('数据-取费表'!E3="否",结果表!I110,'结果表 (1修多)'!I111)</f>
        <v>263731</v>
      </c>
      <c r="E36" s="1927"/>
    </row>
    <row r="37" spans="1:5" ht="28.5">
      <c r="A37" s="1927"/>
      <c r="B37" s="2768"/>
      <c r="C37" s="1946" t="s">
        <v>1175</v>
      </c>
      <c r="D37" s="1951" t="str">
        <f ca="1">IF('数据-取费表'!B3="万元",NUMBERSTRING(INT(D36*10000),2)&amp;"元整",NUMBERSTRING(INT(D36),2)&amp;"元整")</f>
        <v>贰拾陆万叁仟柒佰叁拾壹元整</v>
      </c>
      <c r="E37" s="1927"/>
    </row>
    <row r="38" spans="1:5" ht="14.25">
      <c r="A38" s="1927"/>
      <c r="B38" s="2768"/>
      <c r="C38" s="1937" t="s">
        <v>1179</v>
      </c>
      <c r="D38" s="1948">
        <f ca="1">IF('数据-取费表'!E3="否",结果表!D113,'结果表 (1修多)'!D116)</f>
        <v>8434</v>
      </c>
      <c r="E38" s="1927"/>
    </row>
    <row r="39" spans="1:5" ht="14.25">
      <c r="A39" s="1927"/>
      <c r="B39" s="2769" t="str">
        <f>B18</f>
        <v>——</v>
      </c>
      <c r="C39" s="1949" t="str">
        <f>C28</f>
        <v>总价</v>
      </c>
      <c r="D39" s="1950" t="str">
        <f>IF('数据-取费表'!E3="否",结果表!I112,'结果表 (1修多)'!I113)</f>
        <v>——</v>
      </c>
      <c r="E39" s="1927"/>
    </row>
    <row r="40" spans="1:5" ht="14.25">
      <c r="A40" s="1927"/>
      <c r="B40" s="2769"/>
      <c r="C40" s="1946" t="s">
        <v>1175</v>
      </c>
      <c r="D40" s="1951" t="e">
        <f>IF('数据-取费表'!B3="万元",NUMBERSTRING(INT(D39*10000),2)&amp;"元整",NUMBERSTRING(INT(D39),2)&amp;"元整")</f>
        <v>#VALUE!</v>
      </c>
      <c r="E40" s="1927"/>
    </row>
    <row r="41" spans="1:5" ht="14.25">
      <c r="A41" s="1927"/>
      <c r="B41" s="2769"/>
      <c r="C41" s="1937" t="s">
        <v>1179</v>
      </c>
      <c r="D41" s="1948" t="str">
        <f>IF('数据-取费表'!E3="否",结果表!D115,'结果表 (1修多)'!D118)</f>
        <v>——</v>
      </c>
      <c r="E41" s="1927"/>
    </row>
    <row r="42" spans="1:5" ht="14.25">
      <c r="A42" s="1927"/>
      <c r="B42" s="2768" t="str">
        <f>B21</f>
        <v>——</v>
      </c>
      <c r="C42" s="1949" t="str">
        <f>C28</f>
        <v>总价</v>
      </c>
      <c r="D42" s="1950" t="str">
        <f>IF('数据-取费表'!E3="否",结果表!I114,'结果表 (1修多)'!I115)</f>
        <v>——</v>
      </c>
      <c r="E42" s="1927"/>
    </row>
    <row r="43" spans="1:5" ht="14.25">
      <c r="A43" s="1927"/>
      <c r="B43" s="2770"/>
      <c r="C43" s="1946" t="s">
        <v>1175</v>
      </c>
      <c r="D43" s="1952" t="e">
        <f>IF('数据-取费表'!B3="万元",NUMBERSTRING(INT(D42*10000),2)&amp;"元整",NUMBERSTRING(INT(D42),2)&amp;"元整")</f>
        <v>#VALUE!</v>
      </c>
      <c r="E43" s="1927"/>
    </row>
    <row r="44" spans="1:5" ht="15" thickBot="1">
      <c r="A44" s="1927"/>
      <c r="B44" s="2771"/>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4" t="str">
        <f>IF(项目基本情况!D5="房地产市场价值","估价结果一览表","结果表-2")</f>
        <v>估价结果一览表</v>
      </c>
      <c r="B1" s="2794"/>
      <c r="C1" s="2794"/>
      <c r="D1" s="2794"/>
      <c r="E1" s="2794"/>
      <c r="F1" s="2794"/>
      <c r="G1" s="2794"/>
      <c r="H1" s="2794"/>
      <c r="I1" s="2794"/>
    </row>
    <row r="2" spans="1:9" ht="30" customHeight="1" thickTop="1">
      <c r="A2" s="2795" t="s">
        <v>1275</v>
      </c>
      <c r="B2" s="2795" t="s">
        <v>1276</v>
      </c>
      <c r="C2" s="2795" t="s">
        <v>1277</v>
      </c>
      <c r="D2" s="2795" t="str">
        <f>IF('数据-取费表'!E3="否",结果表!D119,'结果表 (1修多)'!D122)</f>
        <v>出让国有建设用地使用权价值</v>
      </c>
      <c r="E2" s="2795"/>
      <c r="F2" s="2795" t="s">
        <v>1278</v>
      </c>
      <c r="G2" s="2795"/>
      <c r="H2" s="2795" t="s">
        <v>1279</v>
      </c>
      <c r="I2" s="2795"/>
    </row>
    <row r="3" spans="1:9" ht="15">
      <c r="A3" s="2788"/>
      <c r="B3" s="2788"/>
      <c r="C3" s="2788"/>
      <c r="D3" s="1049" t="s">
        <v>1280</v>
      </c>
      <c r="E3" s="1049" t="s">
        <v>1281</v>
      </c>
      <c r="F3" s="1049" t="s">
        <v>1280</v>
      </c>
      <c r="G3" s="1049" t="s">
        <v>1282</v>
      </c>
      <c r="H3" s="1049" t="s">
        <v>1280</v>
      </c>
      <c r="I3" s="1049" t="s">
        <v>1282</v>
      </c>
    </row>
    <row r="4" spans="1:9" ht="46.5" customHeight="1">
      <c r="A4" s="1049" t="str">
        <f>项目基本情况!I1</f>
        <v>北京市房地产</v>
      </c>
      <c r="B4" s="1049">
        <f>结果表!B121</f>
        <v>31.27</v>
      </c>
      <c r="C4" s="1049">
        <f>结果表!C121</f>
        <v>0</v>
      </c>
      <c r="D4" s="1049">
        <f ca="1">IF('数据-取费表'!E3="否",结果表!D121,'结果表 (1修多)'!D124)</f>
        <v>111822</v>
      </c>
      <c r="E4" s="1049">
        <f ca="1">IF('数据-取费表'!E3="否",结果表!E121,'结果表 (1修多)'!E124)</f>
        <v>3576</v>
      </c>
      <c r="F4" s="1049">
        <f ca="1">IF('数据-取费表'!E3="否",结果表!F121,'结果表 (1修多)'!F124)</f>
        <v>151910</v>
      </c>
      <c r="G4" s="1049">
        <f ca="1">IF('数据-取费表'!E3="否",结果表!G121,'结果表 (1修多)'!G124)</f>
        <v>4858</v>
      </c>
      <c r="H4" s="1049">
        <f ca="1">IF('数据-取费表'!E3="否",结果表!H121,'结果表 (1修多)'!H124)</f>
        <v>263731</v>
      </c>
      <c r="I4" s="1049">
        <f ca="1">IF('数据-取费表'!E3="否",结果表!I121,'结果表 (1修多)'!I124)</f>
        <v>8434</v>
      </c>
    </row>
    <row r="5" spans="1:9" ht="15">
      <c r="A5" s="2788" t="s">
        <v>1283</v>
      </c>
      <c r="B5" s="2788"/>
      <c r="C5" s="2788"/>
      <c r="D5" s="2789" t="str">
        <f ca="1">IF('数据-取费表'!E3="否",结果表!D122,'结果表 (1修多)'!D125)</f>
        <v>壹拾壹万壹仟捌佰贰拾贰元整</v>
      </c>
      <c r="E5" s="2789"/>
      <c r="F5" s="2789" t="str">
        <f ca="1">IF('数据-取费表'!E3="否",结果表!F122,'结果表 (1修多)'!F125)</f>
        <v>壹拾伍万壹仟玖佰壹拾元整</v>
      </c>
      <c r="G5" s="2789"/>
      <c r="H5" s="2789" t="str">
        <f ca="1">IF('数据-取费表'!E3="否",结果表!H122,'结果表 (1修多)'!H125)</f>
        <v>贰拾陆万叁仟柒佰叁拾壹元整</v>
      </c>
      <c r="I5" s="2789"/>
    </row>
    <row r="6" spans="1:9" ht="15.75">
      <c r="A6" s="2790" t="str">
        <f>IF('数据-取费表'!E3="否",结果表!A123,'结果表 (1修多)'!A126)</f>
        <v>——</v>
      </c>
      <c r="B6" s="2790"/>
      <c r="C6" s="2790"/>
      <c r="D6" s="2790">
        <f>IF('数据-取费表'!E3="否",结果表!D123,'结果表 (1修多)'!D126)</f>
        <v>0</v>
      </c>
      <c r="E6" s="2790"/>
      <c r="F6" s="2790"/>
      <c r="G6" s="2790"/>
      <c r="H6" s="2790"/>
      <c r="I6" s="2790"/>
    </row>
    <row r="7" spans="1:9" ht="15">
      <c r="A7" s="2788" t="s">
        <v>1283</v>
      </c>
      <c r="B7" s="2788"/>
      <c r="C7" s="2788"/>
      <c r="D7" s="2796">
        <f>IF('数据-取费表'!E3="否",结果表!D124,'结果表 (1修多)'!D127)</f>
        <v>0</v>
      </c>
      <c r="E7" s="2797"/>
      <c r="F7" s="2797"/>
      <c r="G7" s="2797"/>
      <c r="H7" s="2797"/>
      <c r="I7" s="2798"/>
    </row>
    <row r="8" spans="1:9" ht="15.75">
      <c r="A8" s="2790" t="str">
        <f>IF('数据-取费表'!E3="否",结果表!A125,'结果表 (1修多)'!A128)</f>
        <v>——</v>
      </c>
      <c r="B8" s="2790"/>
      <c r="C8" s="2790"/>
      <c r="D8" s="2790">
        <f ca="1">IF('数据-取费表'!E3="否",结果表!D125,'结果表 (1修多)'!D128)</f>
        <v>263731</v>
      </c>
      <c r="E8" s="2790"/>
      <c r="F8" s="2790"/>
      <c r="G8" s="2790"/>
      <c r="H8" s="2790"/>
      <c r="I8" s="2790"/>
    </row>
    <row r="9" spans="1:9" ht="15">
      <c r="A9" s="2788" t="s">
        <v>1283</v>
      </c>
      <c r="B9" s="2788"/>
      <c r="C9" s="2788"/>
      <c r="D9" s="2789">
        <f ca="1">IF('数据-取费表'!E3="否",结果表!D126,'结果表 (1修多)'!D129)</f>
        <v>8434</v>
      </c>
      <c r="E9" s="2789"/>
      <c r="F9" s="2789"/>
      <c r="G9" s="2789"/>
      <c r="H9" s="2789"/>
      <c r="I9" s="2789"/>
    </row>
    <row r="10" spans="1:9" ht="15.75">
      <c r="A10" s="2790" t="str">
        <f>IF('数据-取费表'!E3="否",结果表!A127,'结果表 (1修多)'!A130)</f>
        <v>——</v>
      </c>
      <c r="B10" s="2790"/>
      <c r="C10" s="2790"/>
      <c r="D10" s="2790" t="str">
        <f>IF('数据-取费表'!E3="否",结果表!D127,'结果表 (1修多)'!D129)</f>
        <v>——</v>
      </c>
      <c r="E10" s="2790"/>
      <c r="F10" s="2790"/>
      <c r="G10" s="2790"/>
      <c r="H10" s="2790"/>
      <c r="I10" s="2790"/>
    </row>
    <row r="11" spans="1:9" ht="15">
      <c r="A11" s="2788" t="s">
        <v>1283</v>
      </c>
      <c r="B11" s="2788"/>
      <c r="C11" s="2788"/>
      <c r="D11" s="2789" t="str">
        <f>IF('数据-取费表'!E3="否",结果表!D128,'结果表 (1修多)'!D131)</f>
        <v>——</v>
      </c>
      <c r="E11" s="2789"/>
      <c r="F11" s="2789"/>
      <c r="G11" s="2789"/>
      <c r="H11" s="2789"/>
      <c r="I11" s="2789"/>
    </row>
    <row r="12" spans="1:9" ht="15.75">
      <c r="A12" s="2790" t="str">
        <f>IF('数据-取费表'!E3="否",结果表!A129,'结果表 (1修多)'!A132)</f>
        <v>——</v>
      </c>
      <c r="B12" s="2790"/>
      <c r="C12" s="2790"/>
      <c r="D12" s="2790" t="str">
        <f>IF('数据-取费表'!E3="否",结果表!D129,'结果表 (1修多)'!D132)</f>
        <v>——</v>
      </c>
      <c r="E12" s="2790"/>
      <c r="F12" s="2790"/>
      <c r="G12" s="2790"/>
      <c r="H12" s="2790"/>
      <c r="I12" s="2790"/>
    </row>
    <row r="13" spans="1:9" ht="15.75" thickBot="1">
      <c r="A13" s="2791" t="s">
        <v>1283</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0" t="s">
        <v>1297</v>
      </c>
      <c r="B1" s="2800"/>
      <c r="C1" s="2800"/>
      <c r="D1" s="2800"/>
    </row>
    <row r="2" spans="1:4" ht="18">
      <c r="A2" s="2799" t="s">
        <v>1285</v>
      </c>
      <c r="B2" s="2799"/>
      <c r="C2" s="2799"/>
      <c r="D2" s="2799"/>
    </row>
    <row r="3" spans="1:4" ht="18.75">
      <c r="A3" s="1956" t="s">
        <v>1286</v>
      </c>
      <c r="B3" s="1956" t="s">
        <v>1287</v>
      </c>
      <c r="C3" s="1956" t="s">
        <v>1288</v>
      </c>
      <c r="D3" s="1956" t="s">
        <v>1289</v>
      </c>
    </row>
    <row r="4" spans="1:4" ht="56.25" customHeight="1">
      <c r="A4" s="1957" t="str">
        <f>项目基本情况!B3</f>
        <v>白景生</v>
      </c>
      <c r="B4" s="1958">
        <f>项目基本情况!C3</f>
        <v>1120110054</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9" t="s">
        <v>1290</v>
      </c>
      <c r="B7" s="2799"/>
      <c r="C7" s="2799"/>
      <c r="D7" s="2799"/>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1" t="s">
        <v>1299</v>
      </c>
      <c r="B12" s="2802"/>
      <c r="C12" s="2802"/>
      <c r="D12" s="2802"/>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1" t="str">
        <f>IF(项目基本情况!D4="抵押","3.抵押双方在办理抵押登记手续时，应使用本公司出具的正式《房地产评估报告》，特提醒报告使用者注意。","——")</f>
        <v>——</v>
      </c>
      <c r="B14" s="2802"/>
      <c r="C14" s="2802"/>
      <c r="D14" s="2802"/>
    </row>
    <row r="15" spans="1:4" ht="15.75" customHeight="1">
      <c r="A15" s="2801" t="str">
        <f>IF(项目基本情况!D4="抵押","4.本次评估估价师所知悉的法定优先受偿款情况说明如下：","——")</f>
        <v>——</v>
      </c>
      <c r="B15" s="2802"/>
      <c r="C15" s="2802"/>
      <c r="D15" s="2802"/>
    </row>
    <row r="16" spans="1:4" ht="75" customHeight="1">
      <c r="A16" s="2801" t="str">
        <f>IF(项目基本情况!D4="抵押",CONCATENATE(项目基本情况!J13,项目基本情况!J14,项目基本情况!J15),"——")</f>
        <v>——</v>
      </c>
      <c r="B16" s="2801"/>
      <c r="C16" s="2801"/>
      <c r="D16" s="2801"/>
    </row>
    <row r="17" spans="1:4" ht="63.75" customHeight="1">
      <c r="A17" s="2803" t="s">
        <v>1300</v>
      </c>
      <c r="B17" s="2803"/>
      <c r="C17" s="2803"/>
      <c r="D17" s="2803"/>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3" t="s">
        <v>1293</v>
      </c>
      <c r="B20" s="2803"/>
      <c r="C20" s="2803"/>
      <c r="D20" s="2803"/>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9" t="s">
        <v>1379</v>
      </c>
      <c r="B15" s="2804" t="s">
        <v>1380</v>
      </c>
      <c r="C15" s="2805"/>
    </row>
    <row r="16" spans="1:7" ht="14.25">
      <c r="A16" s="2810"/>
      <c r="B16" s="2804" t="s">
        <v>1381</v>
      </c>
      <c r="C16" s="2805"/>
    </row>
    <row r="17" spans="1:3" ht="14.25">
      <c r="A17" s="2810"/>
      <c r="B17" s="2804" t="s">
        <v>1382</v>
      </c>
      <c r="C17" s="2805"/>
    </row>
    <row r="18" spans="1:3" ht="14.25">
      <c r="A18" s="2811"/>
      <c r="B18" s="2806" t="s">
        <v>1383</v>
      </c>
      <c r="C18" s="2805"/>
    </row>
    <row r="19" spans="1:3" ht="14.25">
      <c r="A19" s="1980" t="s">
        <v>1384</v>
      </c>
      <c r="B19" s="1981"/>
      <c r="C19" s="1982"/>
    </row>
    <row r="20" spans="1:3" ht="14.25">
      <c r="A20" s="2807" t="s">
        <v>1385</v>
      </c>
      <c r="B20" s="2806" t="s">
        <v>1386</v>
      </c>
      <c r="C20" s="2805"/>
    </row>
    <row r="21" spans="1:3" ht="14.25">
      <c r="A21" s="2807"/>
      <c r="B21" s="2806" t="s">
        <v>1387</v>
      </c>
      <c r="C21" s="2805"/>
    </row>
    <row r="22" spans="1:3" ht="14.25">
      <c r="A22" s="2807"/>
      <c r="B22" s="2806" t="s">
        <v>1388</v>
      </c>
      <c r="C22" s="2805"/>
    </row>
    <row r="23" spans="1:3" ht="14.25">
      <c r="A23" s="2807"/>
      <c r="B23" s="2808" t="s">
        <v>1389</v>
      </c>
      <c r="C23" s="1983" t="s">
        <v>1390</v>
      </c>
    </row>
    <row r="24" spans="1:3" ht="14.25">
      <c r="A24" s="2807"/>
      <c r="B24" s="2808"/>
      <c r="C24" s="1983" t="s">
        <v>1391</v>
      </c>
    </row>
    <row r="25" spans="1:3" ht="14.25">
      <c r="A25" s="2807"/>
      <c r="B25" s="2808"/>
      <c r="C25" s="1983" t="s">
        <v>1392</v>
      </c>
    </row>
    <row r="26" spans="1:3" ht="14.25">
      <c r="A26" s="2807"/>
      <c r="B26" s="2808"/>
      <c r="C26" s="1983" t="s">
        <v>1393</v>
      </c>
    </row>
    <row r="27" spans="1:3" ht="14.25">
      <c r="A27" s="2807"/>
      <c r="B27" s="2808"/>
      <c r="C27" s="1983" t="s">
        <v>1394</v>
      </c>
    </row>
    <row r="28" spans="1:3" ht="14.25">
      <c r="A28" s="2807"/>
      <c r="B28" s="2808"/>
      <c r="C28" s="1983" t="s">
        <v>1395</v>
      </c>
    </row>
    <row r="29" spans="1:3" ht="14.25">
      <c r="A29" s="2807"/>
      <c r="B29" s="2808"/>
      <c r="C29" s="1983" t="s">
        <v>1396</v>
      </c>
    </row>
    <row r="30" spans="1:3" ht="14.25">
      <c r="A30" s="2807"/>
      <c r="B30" s="2808"/>
      <c r="C30" s="1983" t="s">
        <v>1397</v>
      </c>
    </row>
    <row r="31" spans="1:3" ht="14.25">
      <c r="A31" s="2807"/>
      <c r="B31" s="2808"/>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43282</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2815</v>
      </c>
      <c r="B12" s="1031">
        <v>1120110054</v>
      </c>
      <c r="C12" s="1811">
        <v>43937</v>
      </c>
      <c r="D12" s="1812" t="str">
        <f t="shared" si="0"/>
        <v>白景生（注册号：1120110054）</v>
      </c>
      <c r="E12" s="1810" t="s">
        <v>2815</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2" t="s">
        <v>768</v>
      </c>
      <c r="B25" s="2812"/>
      <c r="C25" s="2812"/>
      <c r="D25" s="2812"/>
      <c r="E25" s="2812"/>
      <c r="F25" s="2812"/>
      <c r="G25" s="2812"/>
      <c r="H25" s="2812"/>
    </row>
    <row r="26" spans="1:8" s="1034" customFormat="1" ht="24" customHeight="1">
      <c r="A26" s="2813" t="s">
        <v>769</v>
      </c>
      <c r="B26" s="2813"/>
      <c r="C26" s="2813"/>
      <c r="D26" s="1062"/>
      <c r="E26" s="1062"/>
      <c r="F26" s="2813" t="s">
        <v>770</v>
      </c>
      <c r="G26" s="2813"/>
      <c r="H26" s="2813"/>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4"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row>
    <row r="54" spans="1:4">
      <c r="A54" s="2814"/>
      <c r="B54" s="9" t="s">
        <v>1535</v>
      </c>
      <c r="C54" s="9" t="s">
        <v>1536</v>
      </c>
    </row>
    <row r="55" spans="1:4">
      <c r="A55" s="2814"/>
      <c r="B55" s="9" t="s">
        <v>1537</v>
      </c>
      <c r="C55" s="9" t="s">
        <v>1538</v>
      </c>
    </row>
    <row r="56" spans="1:4">
      <c r="A56" s="2814"/>
      <c r="B56" s="9" t="s">
        <v>1539</v>
      </c>
      <c r="C56" s="9" t="s">
        <v>1540</v>
      </c>
    </row>
    <row r="57" spans="1:4">
      <c r="A57" s="2814"/>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43277</v>
      </c>
      <c r="C2" s="1999" t="s">
        <v>1546</v>
      </c>
      <c r="D2" s="1088">
        <f>B2</f>
        <v>43277</v>
      </c>
      <c r="E2" s="1064"/>
      <c r="F2" s="1064"/>
      <c r="G2" s="1683"/>
      <c r="H2" s="1020"/>
    </row>
    <row r="3" spans="1:10" ht="13.5" thickBot="1">
      <c r="A3" s="2000" t="s">
        <v>1547</v>
      </c>
      <c r="B3" s="2001" t="s">
        <v>2871</v>
      </c>
      <c r="C3" s="1065">
        <f>SUMIF(注册房地产估价师,B3,估价师及机构信息!B3:B24)</f>
        <v>1120110054</v>
      </c>
      <c r="D3" s="2001" t="s">
        <v>2817</v>
      </c>
      <c r="E3" s="1066">
        <f ca="1">SUMIF(注册房地产估价师,D3,估价师及机构信息!B3:B24)</f>
        <v>1119970111</v>
      </c>
      <c r="F3" s="1067"/>
      <c r="G3" s="1684"/>
      <c r="H3" s="1020"/>
    </row>
    <row r="4" spans="1:10" ht="13.5" customHeight="1" thickTop="1">
      <c r="A4" s="2002" t="s">
        <v>1548</v>
      </c>
      <c r="B4" s="2003"/>
      <c r="C4" s="2004" t="s">
        <v>1549</v>
      </c>
      <c r="D4" s="2005" t="s">
        <v>2818</v>
      </c>
      <c r="E4" s="1064"/>
      <c r="F4" s="1064"/>
      <c r="G4" s="1683"/>
    </row>
    <row r="5" spans="1:10">
      <c r="A5" s="2006" t="s">
        <v>1550</v>
      </c>
      <c r="B5" s="2007"/>
      <c r="C5" s="2008" t="s">
        <v>1551</v>
      </c>
      <c r="D5" s="2009" t="s">
        <v>2819</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2820</v>
      </c>
      <c r="C6" s="2759" t="s">
        <v>2872</v>
      </c>
      <c r="D6" s="2015" t="s">
        <v>1554</v>
      </c>
      <c r="E6" s="1022"/>
      <c r="F6" s="1021"/>
      <c r="G6" s="1074"/>
      <c r="I6" s="1070" t="str">
        <f>IF(COUNTIF(B5,"*上海银行*"),"上海银行","")</f>
        <v/>
      </c>
    </row>
    <row r="7" spans="1:10" ht="13.5" thickBot="1">
      <c r="A7" s="2000" t="s">
        <v>1555</v>
      </c>
      <c r="B7" s="2016" t="s">
        <v>2821</v>
      </c>
      <c r="C7" s="2017" t="str">
        <f>IF(B7="自然人","姓名","名称")</f>
        <v>姓名</v>
      </c>
      <c r="D7" s="2018"/>
      <c r="E7" s="1068"/>
      <c r="F7" s="1067"/>
      <c r="G7" s="1684"/>
    </row>
    <row r="8" spans="1:10" ht="39" thickTop="1">
      <c r="A8" s="2825" t="s">
        <v>1556</v>
      </c>
      <c r="B8" s="2019" t="s">
        <v>1557</v>
      </c>
      <c r="C8" s="2837"/>
      <c r="D8" s="2838"/>
      <c r="E8" s="2020" t="s">
        <v>1558</v>
      </c>
      <c r="F8" s="2021" t="s">
        <v>1559</v>
      </c>
      <c r="G8" s="690" t="str">
        <f>C6</f>
        <v>朝阳区白家庄路一号院1号楼5层C单元C-601、602</v>
      </c>
    </row>
    <row r="9" spans="1:10">
      <c r="A9" s="2825"/>
      <c r="B9" s="344" t="s">
        <v>1560</v>
      </c>
      <c r="C9" s="2007"/>
      <c r="D9" s="2022"/>
      <c r="E9" s="1010" t="s">
        <v>1561</v>
      </c>
      <c r="F9" s="996" t="s">
        <v>221</v>
      </c>
      <c r="G9" s="1012"/>
    </row>
    <row r="10" spans="1:10" ht="13.5" thickBot="1">
      <c r="A10" s="2825"/>
      <c r="B10" s="344" t="s">
        <v>1562</v>
      </c>
      <c r="C10" s="2839"/>
      <c r="D10" s="2840"/>
      <c r="E10" s="2023" t="s">
        <v>1563</v>
      </c>
      <c r="F10" s="1013" t="s">
        <v>300</v>
      </c>
      <c r="G10" s="1014"/>
    </row>
    <row r="11" spans="1:10" ht="13.5" thickBot="1">
      <c r="A11" s="2825"/>
      <c r="B11" s="2024" t="s">
        <v>1564</v>
      </c>
      <c r="C11" s="2841"/>
      <c r="D11" s="2842"/>
      <c r="E11" s="1022"/>
      <c r="F11" s="1021"/>
      <c r="G11" s="1074"/>
    </row>
    <row r="12" spans="1:10" ht="24.75" thickBot="1">
      <c r="A12" s="2828" t="s">
        <v>1565</v>
      </c>
      <c r="B12" s="2025" t="s">
        <v>1566</v>
      </c>
      <c r="C12" s="1016">
        <v>31.27</v>
      </c>
      <c r="D12" s="2025" t="s">
        <v>1567</v>
      </c>
      <c r="E12" s="2026" t="s">
        <v>1568</v>
      </c>
      <c r="F12" s="2027" t="s">
        <v>1569</v>
      </c>
      <c r="G12" s="1074"/>
    </row>
    <row r="13" spans="1:10" ht="21" customHeight="1" thickBot="1">
      <c r="A13" s="2829"/>
      <c r="B13" s="2028" t="s">
        <v>1570</v>
      </c>
      <c r="C13" s="1017"/>
      <c r="D13" s="2028" t="s">
        <v>1571</v>
      </c>
      <c r="E13" s="2029" t="s">
        <v>1568</v>
      </c>
      <c r="F13" s="1021"/>
      <c r="G13" s="1074"/>
      <c r="I13" s="2815" t="s">
        <v>1572</v>
      </c>
      <c r="J13" s="203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1"/>
      <c r="B14" s="2032" t="s">
        <v>1573</v>
      </c>
      <c r="C14" s="2033"/>
      <c r="D14" s="1021"/>
      <c r="E14" s="1021"/>
      <c r="F14" s="1021"/>
      <c r="G14" s="1074"/>
      <c r="I14" s="2815"/>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v>2.5</v>
      </c>
      <c r="D15" s="1067"/>
      <c r="E15" s="1067"/>
      <c r="F15" s="1067"/>
      <c r="G15" s="1684"/>
      <c r="I15" s="2815"/>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1575</v>
      </c>
      <c r="B16" s="2036" t="s">
        <v>1576</v>
      </c>
      <c r="C16" s="2037" t="s">
        <v>2822</v>
      </c>
      <c r="D16" s="2038" t="s">
        <v>1577</v>
      </c>
      <c r="E16" s="2039"/>
      <c r="F16" s="2040" t="str">
        <f>IF(AND(C16="是",E16="否"),"是否提供他项权证或相关说明","")</f>
        <v/>
      </c>
      <c r="G16" s="2039"/>
      <c r="I16" s="1071"/>
      <c r="J16" s="1020"/>
    </row>
    <row r="17" spans="1:15" ht="13.5" customHeight="1">
      <c r="A17" s="2041" t="s">
        <v>1578</v>
      </c>
      <c r="B17" s="2843" t="s">
        <v>1579</v>
      </c>
      <c r="C17" s="2844"/>
      <c r="D17" s="2845" t="s">
        <v>1580</v>
      </c>
      <c r="E17" s="2846"/>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29"/>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31" t="s">
        <v>1596</v>
      </c>
      <c r="D27" s="2832"/>
      <c r="E27" s="1004"/>
      <c r="F27" s="1011" t="s">
        <v>1596</v>
      </c>
      <c r="G27" s="1004"/>
      <c r="I27" s="1071"/>
      <c r="K27" s="1071"/>
    </row>
    <row r="28" spans="1:15">
      <c r="A28" s="1008" t="s">
        <v>1597</v>
      </c>
      <c r="B28" s="978"/>
      <c r="C28" s="2833" t="s">
        <v>1598</v>
      </c>
      <c r="D28" s="2834"/>
      <c r="E28" s="978"/>
      <c r="F28" s="1894" t="s">
        <v>1598</v>
      </c>
      <c r="G28" s="978"/>
      <c r="I28" s="1071"/>
      <c r="K28" s="1071"/>
    </row>
    <row r="29" spans="1:15">
      <c r="A29" s="1008" t="s">
        <v>1599</v>
      </c>
      <c r="B29" s="978"/>
      <c r="C29" s="2833" t="s">
        <v>1599</v>
      </c>
      <c r="D29" s="2834"/>
      <c r="E29" s="978"/>
      <c r="F29" s="1894" t="s">
        <v>1600</v>
      </c>
      <c r="G29" s="978"/>
      <c r="I29" s="1071"/>
      <c r="K29" s="1071"/>
    </row>
    <row r="30" spans="1:15">
      <c r="A30" s="1008" t="s">
        <v>1601</v>
      </c>
      <c r="B30" s="978"/>
      <c r="C30" s="2822" t="s">
        <v>1602</v>
      </c>
      <c r="D30" s="2067"/>
      <c r="E30" s="1023" t="str">
        <f>E31&amp;" "&amp;E32&amp;" "&amp;E33&amp;" "&amp;E34</f>
        <v xml:space="preserve">   </v>
      </c>
      <c r="F30" s="1894" t="s">
        <v>1603</v>
      </c>
      <c r="G30" s="978"/>
    </row>
    <row r="31" spans="1:15">
      <c r="A31" s="1008" t="s">
        <v>1604</v>
      </c>
      <c r="B31" s="978"/>
      <c r="C31" s="2823"/>
      <c r="D31" s="1893" t="s">
        <v>1605</v>
      </c>
      <c r="E31" s="978"/>
      <c r="F31" s="1894" t="s">
        <v>1606</v>
      </c>
      <c r="G31" s="978"/>
    </row>
    <row r="32" spans="1:15" ht="24.75" thickBot="1">
      <c r="A32" s="1009" t="s">
        <v>1607</v>
      </c>
      <c r="B32" s="1005"/>
      <c r="C32" s="2823"/>
      <c r="D32" s="1893" t="s">
        <v>1608</v>
      </c>
      <c r="E32" s="978"/>
      <c r="F32" s="1894" t="s">
        <v>1609</v>
      </c>
      <c r="G32" s="978"/>
    </row>
    <row r="33" spans="1:7">
      <c r="A33" s="1007" t="s">
        <v>1610</v>
      </c>
      <c r="B33" s="1004"/>
      <c r="C33" s="2823"/>
      <c r="D33" s="1893" t="s">
        <v>1611</v>
      </c>
      <c r="E33" s="978"/>
      <c r="F33" s="1894" t="s">
        <v>1612</v>
      </c>
      <c r="G33" s="978"/>
    </row>
    <row r="34" spans="1:7" ht="13.5" thickBot="1">
      <c r="A34" s="1008" t="s">
        <v>1613</v>
      </c>
      <c r="B34" s="978"/>
      <c r="C34" s="2824"/>
      <c r="D34" s="1893" t="s">
        <v>1614</v>
      </c>
      <c r="E34" s="978"/>
      <c r="F34" s="1895" t="s">
        <v>1615</v>
      </c>
      <c r="G34" s="1006"/>
    </row>
    <row r="35" spans="1:7">
      <c r="A35" s="1008" t="s">
        <v>1566</v>
      </c>
      <c r="B35" s="978"/>
      <c r="C35" s="2833" t="s">
        <v>1616</v>
      </c>
      <c r="D35" s="2834"/>
      <c r="E35" s="978"/>
      <c r="F35" s="1019" t="s">
        <v>1617</v>
      </c>
      <c r="G35" s="1004"/>
    </row>
    <row r="36" spans="1:7" ht="13.5" thickBot="1">
      <c r="A36" s="1008" t="s">
        <v>1618</v>
      </c>
      <c r="B36" s="978"/>
      <c r="C36" s="2835" t="s">
        <v>1619</v>
      </c>
      <c r="D36" s="2836"/>
      <c r="E36" s="1005"/>
      <c r="F36" s="1891" t="s">
        <v>1620</v>
      </c>
      <c r="G36" s="978"/>
    </row>
    <row r="37" spans="1:7" ht="13.5" thickBot="1">
      <c r="A37" s="1008" t="s">
        <v>1621</v>
      </c>
      <c r="B37" s="978"/>
      <c r="C37" s="2820" t="s">
        <v>1622</v>
      </c>
      <c r="D37" s="2068" t="s">
        <v>1606</v>
      </c>
      <c r="E37" s="1004"/>
      <c r="F37" s="1895" t="s">
        <v>1623</v>
      </c>
      <c r="G37" s="1005"/>
    </row>
    <row r="38" spans="1:7">
      <c r="A38" s="1008" t="s">
        <v>1624</v>
      </c>
      <c r="B38" s="978"/>
      <c r="C38" s="2826"/>
      <c r="D38" s="1893" t="s">
        <v>1613</v>
      </c>
      <c r="E38" s="978"/>
      <c r="F38" s="1011" t="s">
        <v>1625</v>
      </c>
      <c r="G38" s="1004"/>
    </row>
    <row r="39" spans="1:7">
      <c r="A39" s="1008" t="s">
        <v>1626</v>
      </c>
      <c r="B39" s="978"/>
      <c r="C39" s="2826" t="s">
        <v>1627</v>
      </c>
      <c r="D39" s="1893" t="s">
        <v>1566</v>
      </c>
      <c r="E39" s="978"/>
      <c r="F39" s="1894" t="s">
        <v>1628</v>
      </c>
      <c r="G39" s="978"/>
    </row>
    <row r="40" spans="1:7" ht="24.75" customHeight="1" thickBot="1">
      <c r="A40" s="1009" t="s">
        <v>1629</v>
      </c>
      <c r="B40" s="1005"/>
      <c r="C40" s="2827"/>
      <c r="D40" s="1896" t="s">
        <v>1570</v>
      </c>
      <c r="E40" s="1005"/>
      <c r="F40" s="1895" t="s">
        <v>1630</v>
      </c>
      <c r="G40" s="1005"/>
    </row>
    <row r="41" spans="1:7">
      <c r="A41" s="1010" t="s">
        <v>1631</v>
      </c>
      <c r="B41" s="1060"/>
      <c r="C41" s="2816" t="s">
        <v>1631</v>
      </c>
      <c r="D41" s="2817"/>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18" t="s">
        <v>1634</v>
      </c>
      <c r="D48" s="2819"/>
      <c r="E48" s="1055"/>
      <c r="F48" s="1895" t="s">
        <v>1635</v>
      </c>
      <c r="G48" s="1005"/>
    </row>
    <row r="49" spans="1:15">
      <c r="A49" s="1008" t="s">
        <v>1636</v>
      </c>
      <c r="B49" s="1054"/>
      <c r="C49" s="2820" t="s">
        <v>1637</v>
      </c>
      <c r="D49" s="2821"/>
      <c r="E49" s="1056"/>
      <c r="F49" s="1084"/>
      <c r="G49" s="1085"/>
    </row>
    <row r="50" spans="1:15" ht="13.5" thickBot="1">
      <c r="A50" s="1008" t="s">
        <v>1638</v>
      </c>
      <c r="B50" s="1054"/>
      <c r="C50" s="2827" t="s">
        <v>1639</v>
      </c>
      <c r="D50" s="2830"/>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43277</v>
      </c>
      <c r="C2" s="1855"/>
      <c r="D2" s="2849"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2824</v>
      </c>
      <c r="C3" s="1855"/>
      <c r="D3" s="2850"/>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2825</v>
      </c>
      <c r="C4" s="1855"/>
      <c r="D4" s="2850"/>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31.27</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2826</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70</v>
      </c>
      <c r="C11" s="1855"/>
      <c r="D11" s="2088" t="s">
        <v>1656</v>
      </c>
      <c r="E11" s="34">
        <v>160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v>56501</v>
      </c>
      <c r="C12" s="1855"/>
      <c r="D12" s="2093" t="s">
        <v>1659</v>
      </c>
      <c r="E12" s="37"/>
      <c r="F12" s="1848"/>
      <c r="G12" s="1855"/>
      <c r="H12" s="2851" t="s">
        <v>2828</v>
      </c>
      <c r="I12" s="2852"/>
      <c r="J12" s="2733"/>
      <c r="K12" s="2734"/>
      <c r="L12" s="2734"/>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24.75" thickBot="1">
      <c r="A13" s="2094" t="s">
        <v>1660</v>
      </c>
      <c r="B13" s="991">
        <f>IF(B12="",B11-(YEAR($B$2)-B26+B23),ROUNDDOWN(MIN((B12-$B$2)/365,B11),2))</f>
        <v>36.229999999999997</v>
      </c>
      <c r="C13" s="2095"/>
      <c r="D13" s="2096" t="s">
        <v>1661</v>
      </c>
      <c r="E13" s="39"/>
      <c r="F13" s="1849" t="s">
        <v>1662</v>
      </c>
      <c r="G13" s="1855"/>
      <c r="H13" s="2735" t="s">
        <v>2829</v>
      </c>
      <c r="I13" s="2736">
        <v>0</v>
      </c>
      <c r="J13" s="2733"/>
      <c r="K13" s="2737"/>
      <c r="L13" s="2737"/>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24">
      <c r="A14" s="2091" t="s">
        <v>1663</v>
      </c>
      <c r="B14" s="992">
        <f>IF(ISERROR(ROUND(POWER(1+B15,B11-B13)*(POWER(1+B15,B13)-1)/(POWER(1+B15,B11)-1),3)),0,ROUND(POWER(1+B15,B11-B13)*(POWER(1+B15,B13)-1)/(POWER(1+B15,B11)-1),3))</f>
        <v>0.752</v>
      </c>
      <c r="C14" s="1855"/>
      <c r="D14" s="2097" t="s">
        <v>1664</v>
      </c>
      <c r="E14" s="709">
        <v>200</v>
      </c>
      <c r="F14" s="1848"/>
      <c r="G14" s="1855"/>
      <c r="H14" s="2735" t="s">
        <v>2830</v>
      </c>
      <c r="I14" s="2738" t="s">
        <v>2873</v>
      </c>
      <c r="J14" s="2733"/>
      <c r="K14" s="2737"/>
      <c r="L14" s="2739"/>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1665</v>
      </c>
      <c r="B15" s="30">
        <v>0.03</v>
      </c>
      <c r="C15" s="1855"/>
      <c r="D15" s="2093" t="s">
        <v>1666</v>
      </c>
      <c r="E15" s="38">
        <f>E14-E16</f>
        <v>200</v>
      </c>
      <c r="F15" s="1850"/>
      <c r="G15" s="1855"/>
      <c r="H15" s="2735" t="s">
        <v>2831</v>
      </c>
      <c r="I15" s="2738" t="s">
        <v>2845</v>
      </c>
      <c r="J15" s="2733"/>
      <c r="K15" s="2737"/>
      <c r="L15" s="2737"/>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1667</v>
      </c>
      <c r="B16" s="30">
        <v>0.05</v>
      </c>
      <c r="C16" s="1855"/>
      <c r="D16" s="2098" t="s">
        <v>1668</v>
      </c>
      <c r="E16" s="710">
        <v>0</v>
      </c>
      <c r="F16" s="1851"/>
      <c r="G16" s="1855"/>
      <c r="H16" s="2735" t="s">
        <v>2832</v>
      </c>
      <c r="I16" s="2740">
        <f>ROUND(1-(1-I13)*I14/I15,2)</f>
        <v>0.8</v>
      </c>
      <c r="J16" s="2733"/>
      <c r="K16" s="2737"/>
      <c r="L16" s="2737"/>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1669</v>
      </c>
      <c r="B17" s="997">
        <v>0.06</v>
      </c>
      <c r="C17" s="1855"/>
      <c r="D17" s="2084" t="s">
        <v>1670</v>
      </c>
      <c r="E17" s="985">
        <f>2310</f>
        <v>2310</v>
      </c>
      <c r="F17" s="1237"/>
      <c r="G17" s="1855"/>
      <c r="H17" s="2741" t="s">
        <v>2833</v>
      </c>
      <c r="I17" s="2742">
        <v>0.3</v>
      </c>
      <c r="J17" s="2733"/>
      <c r="K17" s="2737"/>
      <c r="L17" s="2737"/>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72234</v>
      </c>
      <c r="F18" s="1320">
        <f>ROUND(E5*E17*IF(B25=0,1,E20),0)</f>
        <v>0</v>
      </c>
      <c r="G18" s="1855"/>
      <c r="H18" s="2853" t="s">
        <v>2834</v>
      </c>
      <c r="I18" s="2853"/>
      <c r="J18" s="2853"/>
      <c r="K18" s="2853"/>
      <c r="L18" s="2853"/>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2743" t="s">
        <v>2835</v>
      </c>
      <c r="I19" s="2744" t="s">
        <v>2836</v>
      </c>
      <c r="J19" s="2744" t="s">
        <v>2837</v>
      </c>
      <c r="K19" s="2744" t="s">
        <v>2838</v>
      </c>
      <c r="L19" s="2744" t="s">
        <v>2839</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v>0.8</v>
      </c>
      <c r="F20" s="1237"/>
      <c r="G20" s="1855"/>
      <c r="H20" s="2743" t="s">
        <v>2840</v>
      </c>
      <c r="I20" s="2744">
        <v>100</v>
      </c>
      <c r="J20" s="2744" t="s">
        <v>2841</v>
      </c>
      <c r="K20" s="2744">
        <v>80</v>
      </c>
      <c r="L20" s="2745">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2</v>
      </c>
      <c r="C21" s="1855"/>
      <c r="D21" s="2093" t="s">
        <v>1674</v>
      </c>
      <c r="E21" s="711">
        <v>0.05</v>
      </c>
      <c r="F21" s="1852" t="s">
        <v>1675</v>
      </c>
      <c r="G21" s="1855"/>
      <c r="H21" s="2743" t="s">
        <v>2842</v>
      </c>
      <c r="I21" s="2744">
        <v>100</v>
      </c>
      <c r="J21" s="2744" t="s">
        <v>2841</v>
      </c>
      <c r="K21" s="2744">
        <f>K20</f>
        <v>80</v>
      </c>
      <c r="L21" s="2745">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2</v>
      </c>
      <c r="C22" s="1855"/>
      <c r="D22" s="2093" t="s">
        <v>1677</v>
      </c>
      <c r="E22" s="40">
        <v>0.08</v>
      </c>
      <c r="F22" s="1852" t="s">
        <v>1678</v>
      </c>
      <c r="G22" s="1855"/>
      <c r="H22" s="2743" t="s">
        <v>2843</v>
      </c>
      <c r="I22" s="2744">
        <v>100</v>
      </c>
      <c r="J22" s="2744" t="s">
        <v>2844</v>
      </c>
      <c r="K22" s="2744">
        <f>K20</f>
        <v>80</v>
      </c>
      <c r="L22" s="2745">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2</v>
      </c>
      <c r="C23" s="1855"/>
      <c r="D23" s="2093" t="s">
        <v>1680</v>
      </c>
      <c r="E23" s="37">
        <v>200</v>
      </c>
      <c r="F23" s="1852" t="s">
        <v>1681</v>
      </c>
      <c r="G23" s="1855"/>
      <c r="H23" s="2746" t="s">
        <v>2833</v>
      </c>
      <c r="I23" s="2747">
        <f>1-I17</f>
        <v>0.7</v>
      </c>
      <c r="J23" s="2744" t="s">
        <v>2832</v>
      </c>
      <c r="K23" s="2748">
        <f>ROUND((K20*L20+K21*L21+K22*L22)/100,2)</f>
        <v>0.8</v>
      </c>
      <c r="L23" s="2749"/>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2</v>
      </c>
      <c r="C24" s="1855"/>
      <c r="D24" s="2098"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0.03</v>
      </c>
      <c r="F25" s="1852" t="s">
        <v>1687</v>
      </c>
      <c r="I25" s="1853"/>
      <c r="AE25" s="1237"/>
      <c r="AF25" s="1237"/>
      <c r="AG25" s="1237"/>
      <c r="AH25" s="1237"/>
      <c r="AI25" s="1237"/>
      <c r="AJ25" s="1237"/>
      <c r="AK25" s="1237"/>
      <c r="AL25" s="1237"/>
      <c r="AM25" s="1237"/>
      <c r="AN25" s="1237"/>
      <c r="AO25" s="1237"/>
    </row>
    <row r="26" spans="1:41" ht="15.75" thickBot="1">
      <c r="A26" s="2107" t="s">
        <v>1688</v>
      </c>
      <c r="B26" s="1094">
        <v>2006</v>
      </c>
      <c r="C26" s="1855"/>
      <c r="D26" s="2093" t="s">
        <v>1689</v>
      </c>
      <c r="E26" s="40">
        <v>0.03</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4.7500000000000001E-2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2827</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1000</v>
      </c>
      <c r="C29" s="1237"/>
      <c r="D29" s="2097" t="s">
        <v>1694</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1.4999999999999999E-2</v>
      </c>
      <c r="C31" s="1237"/>
      <c r="D31" s="2111" t="s">
        <v>1698</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7.0000000000000007E-2</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36.229999999999997</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1.4999999999999999E-2</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2E-3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54" t="s">
        <v>1735</v>
      </c>
      <c r="B1" s="2855"/>
      <c r="C1" s="2855"/>
      <c r="D1" s="2855"/>
      <c r="E1" s="2855"/>
      <c r="F1" s="2855"/>
      <c r="G1" s="2855"/>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c r="A3" s="395" t="s">
        <v>1738</v>
      </c>
      <c r="B3" s="2143" t="s">
        <v>1739</v>
      </c>
      <c r="C3" s="2760" t="s">
        <v>2879</v>
      </c>
      <c r="D3" s="2144"/>
      <c r="E3" s="411" t="s">
        <v>1738</v>
      </c>
      <c r="F3" s="2145" t="s">
        <v>1740</v>
      </c>
      <c r="G3" s="2146" t="s">
        <v>1741</v>
      </c>
      <c r="H3" s="2141"/>
      <c r="I3" s="2141"/>
      <c r="J3" s="2141"/>
      <c r="K3" s="2141"/>
      <c r="L3" s="2141"/>
      <c r="M3" s="2141"/>
      <c r="N3" s="2141"/>
      <c r="O3" s="2141"/>
      <c r="P3" s="2141"/>
      <c r="Q3" s="2141"/>
      <c r="R3" s="2141"/>
    </row>
    <row r="4" spans="1:29" ht="41.25">
      <c r="A4" s="411"/>
      <c r="B4" s="1887" t="s">
        <v>1742</v>
      </c>
      <c r="C4" s="2147" t="s">
        <v>1743</v>
      </c>
      <c r="D4" s="2144"/>
      <c r="E4" s="2148"/>
      <c r="F4" s="2149" t="s">
        <v>1744</v>
      </c>
      <c r="G4" s="2150" t="s">
        <v>1745</v>
      </c>
      <c r="H4" s="2141"/>
      <c r="I4" s="2141"/>
      <c r="J4" s="2141"/>
      <c r="K4" s="2141"/>
      <c r="L4" s="2141"/>
      <c r="M4" s="2141"/>
      <c r="N4" s="2141"/>
      <c r="O4" s="2141"/>
      <c r="P4" s="2141"/>
      <c r="Q4" s="2141"/>
      <c r="R4" s="2141"/>
    </row>
    <row r="5" spans="1:29" ht="41.25">
      <c r="A5" s="411"/>
      <c r="B5" s="1887" t="s">
        <v>1746</v>
      </c>
      <c r="C5" s="2147" t="s">
        <v>1747</v>
      </c>
      <c r="D5" s="2144"/>
      <c r="E5" s="2148"/>
      <c r="F5" s="1887" t="s">
        <v>1748</v>
      </c>
      <c r="G5" s="2150" t="s">
        <v>1749</v>
      </c>
      <c r="H5" s="2141"/>
      <c r="I5" s="2141"/>
      <c r="J5" s="2141"/>
      <c r="K5" s="2141"/>
      <c r="L5" s="2141"/>
      <c r="M5" s="2141"/>
      <c r="N5" s="2141"/>
      <c r="O5" s="2141"/>
      <c r="P5" s="2141"/>
      <c r="Q5" s="2141"/>
      <c r="R5" s="2141"/>
    </row>
    <row r="6" spans="1:29" ht="40.5">
      <c r="A6" s="411"/>
      <c r="B6" s="1887" t="s">
        <v>1750</v>
      </c>
      <c r="C6" s="2761" t="s">
        <v>2874</v>
      </c>
      <c r="D6" s="2144"/>
      <c r="E6" s="2148"/>
      <c r="F6" s="1887" t="s">
        <v>1751</v>
      </c>
      <c r="G6" s="2150" t="s">
        <v>1752</v>
      </c>
      <c r="H6" s="2141"/>
      <c r="I6" s="2141"/>
      <c r="J6" s="2141"/>
      <c r="K6" s="2141"/>
      <c r="L6" s="2141"/>
      <c r="M6" s="2141"/>
      <c r="N6" s="2141"/>
      <c r="O6" s="2141"/>
      <c r="P6" s="2141"/>
      <c r="Q6" s="2141"/>
      <c r="R6" s="2141"/>
    </row>
    <row r="7" spans="1:29" ht="41.25" thickBot="1">
      <c r="A7" s="411"/>
      <c r="B7" s="1887" t="s">
        <v>1748</v>
      </c>
      <c r="C7" s="2750" t="s">
        <v>2875</v>
      </c>
      <c r="D7" s="2151"/>
      <c r="E7" s="2152"/>
      <c r="F7" s="2153" t="s">
        <v>1753</v>
      </c>
      <c r="G7" s="2154" t="s">
        <v>1754</v>
      </c>
      <c r="H7" s="2141"/>
      <c r="I7" s="2141"/>
      <c r="J7" s="2141"/>
      <c r="K7" s="2141"/>
      <c r="L7" s="2141"/>
      <c r="M7" s="2141"/>
      <c r="N7" s="2141"/>
      <c r="O7" s="2141"/>
      <c r="P7" s="2141"/>
      <c r="Q7" s="2141"/>
      <c r="R7" s="2141"/>
    </row>
    <row r="8" spans="1:29" ht="15">
      <c r="A8" s="411"/>
      <c r="B8" s="1887" t="s">
        <v>1751</v>
      </c>
      <c r="C8" s="2750" t="s">
        <v>2847</v>
      </c>
      <c r="D8" s="2151"/>
      <c r="E8" s="2151"/>
      <c r="F8" s="1246"/>
      <c r="G8" s="1246"/>
      <c r="H8" s="2141"/>
      <c r="I8" s="2141"/>
      <c r="J8" s="2141"/>
      <c r="K8" s="2141"/>
      <c r="L8" s="2141"/>
      <c r="M8" s="2141"/>
      <c r="N8" s="2141"/>
      <c r="O8" s="2141"/>
      <c r="P8" s="2141"/>
      <c r="Q8" s="2141"/>
      <c r="R8" s="2141"/>
    </row>
    <row r="9" spans="1:29" ht="24">
      <c r="A9" s="411"/>
      <c r="B9" s="1887" t="s">
        <v>1755</v>
      </c>
      <c r="C9" s="2762" t="s">
        <v>2876</v>
      </c>
      <c r="D9" s="2144"/>
      <c r="E9" s="2151"/>
      <c r="F9" s="1246"/>
      <c r="G9" s="1246"/>
      <c r="H9" s="2141"/>
      <c r="I9" s="2141"/>
      <c r="J9" s="2141"/>
      <c r="K9" s="2141"/>
      <c r="L9" s="2141"/>
      <c r="M9" s="2141"/>
      <c r="N9" s="2141"/>
      <c r="O9" s="2141"/>
      <c r="P9" s="2141"/>
      <c r="Q9" s="2141"/>
      <c r="R9" s="2141"/>
    </row>
    <row r="10" spans="1:29" s="35" customFormat="1" ht="15.75" thickBot="1">
      <c r="A10" s="2155"/>
      <c r="B10" s="2156" t="s">
        <v>1756</v>
      </c>
      <c r="C10" s="2751" t="s">
        <v>2887</v>
      </c>
      <c r="D10" s="2144"/>
      <c r="E10" s="2144"/>
      <c r="F10" s="1246"/>
      <c r="G10" s="1246"/>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6"/>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1757</v>
      </c>
      <c r="B13" s="2161"/>
      <c r="C13" s="2161"/>
      <c r="D13" s="2138"/>
      <c r="E13" s="2161"/>
      <c r="F13" s="2161"/>
      <c r="G13" s="2161"/>
    </row>
    <row r="14" spans="1:29" ht="15.75" thickBot="1">
      <c r="A14" s="2171"/>
      <c r="B14" s="2172"/>
      <c r="C14" s="2173" t="s">
        <v>1758</v>
      </c>
      <c r="D14" s="2144"/>
      <c r="E14" s="2174"/>
      <c r="F14" s="2174"/>
      <c r="G14" s="2137" t="s">
        <v>1759</v>
      </c>
    </row>
    <row r="15" spans="1:29" ht="57">
      <c r="A15" s="25" t="s">
        <v>1760</v>
      </c>
      <c r="B15" s="2175" t="s">
        <v>1739</v>
      </c>
      <c r="C15" s="2176" t="str">
        <f>C3</f>
        <v>周边有新城国际、白家庄西里、核桃园北里、向军北里等社区，居住社区成熟度较好</v>
      </c>
      <c r="D15" s="2144"/>
      <c r="E15" s="2177" t="s">
        <v>1761</v>
      </c>
      <c r="F15" s="2175" t="s">
        <v>1762</v>
      </c>
      <c r="G15" s="51" t="str">
        <f>G3</f>
        <v>估价对象位于XX开发区，园区建设成熟度XX，产业集聚程度XX</v>
      </c>
    </row>
    <row r="16" spans="1:29" ht="42.75">
      <c r="A16" s="629"/>
      <c r="B16" s="1493" t="s">
        <v>1742</v>
      </c>
      <c r="C16" s="2178" t="str">
        <f>C4</f>
        <v>估价对象位于XX商圈，周边商业氛围成熟，人流量大，商业繁华度好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42.75">
      <c r="A18" s="629"/>
      <c r="B18" s="2180" t="s">
        <v>1750</v>
      </c>
      <c r="C18" s="52" t="str">
        <f>C6</f>
        <v>周边2公里内有十余条公交线路及地铁10号线（团结湖站），交通便捷度较好</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28.5">
      <c r="A20" s="629"/>
      <c r="B20" s="2180" t="s">
        <v>1765</v>
      </c>
      <c r="C20" s="2178" t="str">
        <f>C9</f>
        <v>有工人体育场、团结湖公园等，自然及人文环境较好</v>
      </c>
      <c r="D20" s="2151"/>
      <c r="E20" s="2179"/>
      <c r="F20" s="1887" t="s">
        <v>1766</v>
      </c>
      <c r="G20" s="52" t="str">
        <f>G6</f>
        <v>估价对象所在区域基础设施水平</v>
      </c>
    </row>
    <row r="21" spans="1:18" ht="28.5">
      <c r="A21" s="629"/>
      <c r="B21" s="1887" t="s">
        <v>1748</v>
      </c>
      <c r="C21" s="52" t="str">
        <f>C7</f>
        <v>估价对象所在区域公共配套设施齐备情况好</v>
      </c>
      <c r="D21" s="2144"/>
      <c r="E21" s="2179"/>
      <c r="F21" s="2180" t="s">
        <v>1767</v>
      </c>
      <c r="G21" s="2182"/>
    </row>
    <row r="22" spans="1:18" ht="15">
      <c r="A22" s="629"/>
      <c r="B22" s="1887" t="s">
        <v>1751</v>
      </c>
      <c r="C22" s="52" t="str">
        <f>C8</f>
        <v>七通</v>
      </c>
      <c r="D22" s="2144"/>
      <c r="E22" s="2179"/>
      <c r="F22" s="2180" t="s">
        <v>1756</v>
      </c>
      <c r="G22" s="2183"/>
    </row>
    <row r="23" spans="1:18" s="2141"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1" customFormat="1" ht="15.75" thickBot="1">
      <c r="A24" s="2187"/>
      <c r="B24" s="2185" t="s">
        <v>1769</v>
      </c>
      <c r="C24" s="53" t="str">
        <f>C10</f>
        <v>城市次干道路——白家庄路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0" t="s">
        <v>1225</v>
      </c>
      <c r="B1" s="1830">
        <f>SUM(B14:B23)</f>
        <v>31.27</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43277</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26.373100000000001</v>
      </c>
      <c r="C5" s="1830">
        <f ca="1">ROUND(B5*10000/$B$1,0)</f>
        <v>8434</v>
      </c>
      <c r="D5" s="1830" t="e">
        <f ca="1">ROUND(B5*10000/$B$2,0)</f>
        <v>#DIV/0!</v>
      </c>
      <c r="E5" s="1831"/>
      <c r="F5" s="1835"/>
      <c r="G5" s="1835"/>
    </row>
    <row r="6" spans="1:9" ht="16.5">
      <c r="A6" s="1830" t="s">
        <v>1233</v>
      </c>
      <c r="B6" s="1830">
        <f ca="1">SUM(G14:G23)</f>
        <v>26.373100000000001</v>
      </c>
      <c r="C6" s="1830">
        <f t="shared" ref="C6:C8" ca="1" si="0">ROUND(B6*10000/$B$1,0)</f>
        <v>8434</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2870</v>
      </c>
      <c r="B14" s="1834">
        <f>项目基本情况!C12</f>
        <v>31.27</v>
      </c>
      <c r="C14" s="1834">
        <f>项目基本情况!C13</f>
        <v>0</v>
      </c>
      <c r="D14" s="1834">
        <f ca="1">IF('数据-取费表'!B3="万元",IF(A14="估价对象1（结果表）",结果表!H121,'结果表 (1修多)'!H124),IF(A14="估价对象1（结果表）",结果表!H121,'结果表 (1修多)'!H124)/10000)</f>
        <v>26.373100000000001</v>
      </c>
      <c r="E14" s="1834">
        <f ca="1">ROUND(D14*10000/B14,0)</f>
        <v>8434</v>
      </c>
      <c r="F14" s="1834" t="e">
        <f ca="1">ROUND(D14*10000/C14,0)</f>
        <v>#DIV/0!</v>
      </c>
      <c r="G14" s="1834">
        <f ca="1">IF('数据-取费表'!B3="万元",IF(A14="估价对象1（结果表）",结果表!D125,'结果表 (1修多)'!D128),IF(A14="估价对象1（结果表）",结果表!D125,'结果表 (1修多)'!D128)/10000)</f>
        <v>26.373100000000001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C12" sqref="C12:C13"/>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20" t="str">
        <f>项目基本情况!B1</f>
        <v>北京市房地产市场价值预评估</v>
      </c>
      <c r="B2" s="2920"/>
      <c r="C2" s="2920"/>
      <c r="D2" s="2920"/>
      <c r="E2" s="2920"/>
      <c r="F2" s="2920"/>
      <c r="G2" s="2920"/>
      <c r="H2" s="2920"/>
      <c r="I2" s="2920"/>
    </row>
    <row r="3" spans="1:12" ht="12.75">
      <c r="A3" s="2923" t="s">
        <v>1771</v>
      </c>
      <c r="B3" s="2924"/>
      <c r="C3" s="2924"/>
      <c r="D3" s="2924"/>
      <c r="E3" s="2924"/>
      <c r="F3" s="2924"/>
      <c r="G3" s="2924"/>
      <c r="H3" s="2924"/>
      <c r="I3" s="2924"/>
    </row>
    <row r="4" spans="1:12" ht="14.25">
      <c r="A4" s="2196" t="s">
        <v>1772</v>
      </c>
      <c r="B4" s="2197" t="s">
        <v>1773</v>
      </c>
      <c r="C4" s="2198" t="s">
        <v>2899</v>
      </c>
      <c r="D4" s="2198" t="s">
        <v>2869</v>
      </c>
      <c r="E4" s="2904" t="s">
        <v>1774</v>
      </c>
      <c r="F4" s="2905"/>
      <c r="G4" s="2905"/>
      <c r="H4" s="2905"/>
      <c r="I4" s="2915"/>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7" t="s">
        <v>1775</v>
      </c>
      <c r="B5" s="2859">
        <v>25</v>
      </c>
      <c r="C5" s="2908">
        <v>8</v>
      </c>
      <c r="D5" s="2922">
        <v>2</v>
      </c>
      <c r="E5" s="56" t="s">
        <v>1776</v>
      </c>
      <c r="F5" s="2199"/>
      <c r="G5" s="2199"/>
      <c r="H5" s="2199"/>
      <c r="I5" s="2200"/>
    </row>
    <row r="6" spans="1:12" ht="12.75">
      <c r="A6" s="2897"/>
      <c r="B6" s="2859"/>
      <c r="C6" s="2925"/>
      <c r="D6" s="2922"/>
      <c r="E6" s="56" t="s">
        <v>1777</v>
      </c>
      <c r="F6" s="2199"/>
      <c r="G6" s="2199"/>
      <c r="H6" s="2199"/>
      <c r="I6" s="2200"/>
    </row>
    <row r="7" spans="1:12" ht="12.75">
      <c r="A7" s="2897"/>
      <c r="B7" s="2859"/>
      <c r="C7" s="2909"/>
      <c r="D7" s="2922"/>
      <c r="E7" s="56" t="s">
        <v>1778</v>
      </c>
      <c r="F7" s="2199"/>
      <c r="G7" s="2199"/>
      <c r="H7" s="2199"/>
      <c r="I7" s="2200"/>
    </row>
    <row r="8" spans="1:12" ht="12.75">
      <c r="A8" s="2897" t="s">
        <v>1779</v>
      </c>
      <c r="B8" s="2859">
        <v>15</v>
      </c>
      <c r="C8" s="2908"/>
      <c r="D8" s="2922"/>
      <c r="E8" s="56" t="s">
        <v>1780</v>
      </c>
      <c r="F8" s="2199"/>
      <c r="G8" s="2199"/>
      <c r="H8" s="2199"/>
      <c r="I8" s="2200"/>
    </row>
    <row r="9" spans="1:12" ht="12.75">
      <c r="A9" s="2897"/>
      <c r="B9" s="2859"/>
      <c r="C9" s="2909"/>
      <c r="D9" s="2922"/>
      <c r="E9" s="56" t="s">
        <v>1781</v>
      </c>
      <c r="F9" s="2199"/>
      <c r="G9" s="2199"/>
      <c r="H9" s="2199"/>
      <c r="I9" s="2200"/>
    </row>
    <row r="10" spans="1:12" ht="12.75">
      <c r="A10" s="2897" t="s">
        <v>1782</v>
      </c>
      <c r="B10" s="2859">
        <v>15</v>
      </c>
      <c r="C10" s="2908"/>
      <c r="D10" s="2922"/>
      <c r="E10" s="56" t="s">
        <v>1783</v>
      </c>
      <c r="F10" s="2199"/>
      <c r="G10" s="2199"/>
      <c r="H10" s="2199"/>
      <c r="I10" s="2200"/>
    </row>
    <row r="11" spans="1:12" ht="12.75">
      <c r="A11" s="2897"/>
      <c r="B11" s="2859"/>
      <c r="C11" s="2909"/>
      <c r="D11" s="2922"/>
      <c r="E11" s="56" t="s">
        <v>1784</v>
      </c>
      <c r="F11" s="2199"/>
      <c r="G11" s="2199"/>
      <c r="H11" s="2199"/>
      <c r="I11" s="2200"/>
    </row>
    <row r="12" spans="1:12" ht="12.75">
      <c r="A12" s="2897" t="s">
        <v>1785</v>
      </c>
      <c r="B12" s="2859">
        <v>15</v>
      </c>
      <c r="C12" s="2908"/>
      <c r="D12" s="2922"/>
      <c r="E12" s="56" t="s">
        <v>1786</v>
      </c>
      <c r="F12" s="2199"/>
      <c r="G12" s="2199"/>
      <c r="H12" s="2199"/>
      <c r="I12" s="2200"/>
    </row>
    <row r="13" spans="1:12" ht="12.75">
      <c r="A13" s="2897"/>
      <c r="B13" s="2859"/>
      <c r="C13" s="2909"/>
      <c r="D13" s="2922"/>
      <c r="E13" s="56" t="s">
        <v>1787</v>
      </c>
      <c r="F13" s="2199"/>
      <c r="G13" s="2199"/>
      <c r="H13" s="2199"/>
      <c r="I13" s="2200"/>
    </row>
    <row r="14" spans="1:12" ht="12.75">
      <c r="A14" s="2897" t="s">
        <v>1788</v>
      </c>
      <c r="B14" s="2859">
        <v>30</v>
      </c>
      <c r="C14" s="2908"/>
      <c r="D14" s="2922"/>
      <c r="E14" s="56" t="s">
        <v>1789</v>
      </c>
      <c r="F14" s="2199"/>
      <c r="G14" s="2199"/>
      <c r="H14" s="2199"/>
      <c r="I14" s="2200"/>
    </row>
    <row r="15" spans="1:12" ht="12.75">
      <c r="A15" s="2897"/>
      <c r="B15" s="2859"/>
      <c r="C15" s="2925"/>
      <c r="D15" s="2922"/>
      <c r="E15" s="56" t="s">
        <v>1790</v>
      </c>
      <c r="F15" s="2199"/>
      <c r="G15" s="2199"/>
      <c r="H15" s="2199"/>
      <c r="I15" s="2200"/>
    </row>
    <row r="16" spans="1:12" ht="12.75">
      <c r="A16" s="2897"/>
      <c r="B16" s="2859"/>
      <c r="C16" s="2909"/>
      <c r="D16" s="2922"/>
      <c r="E16" s="56" t="s">
        <v>1791</v>
      </c>
      <c r="F16" s="2199"/>
      <c r="G16" s="2199"/>
      <c r="H16" s="2199"/>
      <c r="I16" s="2200"/>
    </row>
    <row r="17" spans="1:35" ht="15">
      <c r="A17" s="2201" t="s">
        <v>1792</v>
      </c>
      <c r="B17" s="2202"/>
      <c r="C17" s="57">
        <f>SUM(C5:C16)</f>
        <v>8</v>
      </c>
      <c r="D17" s="57">
        <f>SUM(D5:D16)</f>
        <v>2</v>
      </c>
      <c r="E17" s="2194"/>
      <c r="F17" s="2194"/>
      <c r="G17" s="2194"/>
      <c r="H17" s="2194"/>
      <c r="I17" s="2194"/>
    </row>
    <row r="18" spans="1:35" ht="15.75" thickBot="1">
      <c r="A18" s="2203" t="s">
        <v>1793</v>
      </c>
      <c r="B18" s="2204"/>
      <c r="C18" s="58">
        <f>ROUND(C17/SUM(C17:D17),2)</f>
        <v>0.8</v>
      </c>
      <c r="D18" s="58">
        <f>1-C18</f>
        <v>0.19999999999999996</v>
      </c>
      <c r="E18" s="2194"/>
      <c r="F18" s="2194"/>
      <c r="G18" s="2194"/>
      <c r="H18" s="2194"/>
      <c r="I18" s="2194"/>
    </row>
    <row r="19" spans="1:35" ht="15">
      <c r="A19" s="2205" t="s">
        <v>1794</v>
      </c>
      <c r="B19" s="2206" t="s">
        <v>1795</v>
      </c>
      <c r="C19" s="59">
        <f ca="1">SUMIF(INDIRECT("'"&amp;C4&amp;"'"&amp;"!A:A"),结果表!B19,INDIRECT("'"&amp;C4&amp;"'"&amp;"!B:B"))</f>
        <v>286027</v>
      </c>
      <c r="D19" s="60">
        <f ca="1">SUMIF(INDIRECT("'"&amp;D4&amp;"'"&amp;"!A:A"),结果表!B19,INDIRECT("'"&amp;D4&amp;"'"&amp;"!B:B"))</f>
        <v>174617</v>
      </c>
      <c r="E19" s="2205" t="s">
        <v>1796</v>
      </c>
      <c r="F19" s="2206" t="s">
        <v>1795</v>
      </c>
      <c r="G19" s="61">
        <f ca="1">ROUND(C19*$C$18+D19*$D$18,0)</f>
        <v>263745</v>
      </c>
      <c r="H19" s="2207" t="str">
        <f>'数据-取费表'!B3</f>
        <v>元</v>
      </c>
      <c r="I19" s="2194"/>
    </row>
    <row r="20" spans="1:35" ht="15">
      <c r="A20" s="2208"/>
      <c r="B20" s="2209" t="s">
        <v>1797</v>
      </c>
      <c r="C20" s="62">
        <f ca="1">SUMIF(INDIRECT("'"&amp;C4&amp;"'"&amp;"!A:A"),结果表!B20,INDIRECT("'"&amp;C4&amp;"'"&amp;"!B:B"))</f>
        <v>9147</v>
      </c>
      <c r="D20" s="63">
        <f ca="1">SUMIF(INDIRECT("'"&amp;D4&amp;"'"&amp;"!A:A"),结果表!B20,INDIRECT("'"&amp;D4&amp;"'"&amp;"!B:B"))</f>
        <v>5584</v>
      </c>
      <c r="E20" s="2208"/>
      <c r="F20" s="2209" t="s">
        <v>1797</v>
      </c>
      <c r="G20" s="64">
        <f ca="1">ROUND(C20*$C$18+D20*$D$18,0)</f>
        <v>8434</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0.63802493457108977</v>
      </c>
      <c r="E22" s="2194"/>
      <c r="F22" s="2194"/>
      <c r="G22" s="2194"/>
      <c r="H22" s="2194"/>
      <c r="I22" s="2194"/>
    </row>
    <row r="23" spans="1:35" ht="13.5" thickBot="1">
      <c r="A23" s="2194"/>
      <c r="B23" s="2194"/>
      <c r="C23" s="2194"/>
      <c r="D23" s="2194"/>
      <c r="E23" s="2194"/>
      <c r="F23" s="2194"/>
      <c r="G23" s="2194"/>
      <c r="H23" s="2194"/>
      <c r="I23" s="2194"/>
    </row>
    <row r="24" spans="1:35" ht="21.75" customHeight="1">
      <c r="A24" s="2928" t="s">
        <v>1800</v>
      </c>
      <c r="B24" s="2206" t="s">
        <v>1795</v>
      </c>
      <c r="C24" s="61">
        <f>D30</f>
        <v>0</v>
      </c>
      <c r="D24" s="994"/>
      <c r="E24" s="2194"/>
      <c r="F24" s="2194"/>
      <c r="G24" s="2194"/>
      <c r="H24" s="2194"/>
      <c r="I24" s="2194"/>
    </row>
    <row r="25" spans="1:35" ht="21.75" customHeight="1">
      <c r="A25" s="2929"/>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8434</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3576</v>
      </c>
      <c r="D34" s="1091">
        <f ca="1">IF(D33="自定义",ROUND(C34/C32,3),1-D35)</f>
        <v>0.42400000000000004</v>
      </c>
      <c r="E34" s="2232" t="s">
        <v>1810</v>
      </c>
      <c r="F34" s="1828">
        <v>2000</v>
      </c>
      <c r="G34" s="2194"/>
      <c r="H34" s="2194"/>
      <c r="I34" s="2194"/>
    </row>
    <row r="35" spans="1:16" ht="15.75" thickBot="1">
      <c r="A35" s="2233"/>
      <c r="B35" s="2234" t="s">
        <v>1811</v>
      </c>
      <c r="C35" s="73">
        <f ca="1">IF(D33="自定义",F35,ROUND(C32*D35,0))</f>
        <v>4858</v>
      </c>
      <c r="D35" s="1090">
        <f ca="1">IF(D33="自定义",ROUND(C35/C32,3),IF(D33="成本法成本比率",成本法!C56,IF(D33="收益法收益比率",收益法!J38,收益法!J41)))</f>
        <v>0.57599999999999996</v>
      </c>
      <c r="E35" s="2235" t="s">
        <v>1812</v>
      </c>
      <c r="F35" s="79">
        <v>4460</v>
      </c>
      <c r="G35" s="2194"/>
      <c r="H35" s="2194"/>
      <c r="I35" s="2194"/>
    </row>
    <row r="36" spans="1:16" ht="15.75" thickBot="1">
      <c r="A36" s="2910" t="s">
        <v>1813</v>
      </c>
      <c r="B36" s="2236" t="s">
        <v>1814</v>
      </c>
      <c r="C36" s="69">
        <v>0</v>
      </c>
      <c r="D36" s="2237"/>
      <c r="E36" s="2238"/>
      <c r="F36" s="2238"/>
      <c r="G36" s="2194"/>
      <c r="H36" s="2194"/>
      <c r="I36" s="2194"/>
    </row>
    <row r="37" spans="1:16" ht="15.75" thickBot="1">
      <c r="A37" s="2911"/>
      <c r="B37" s="2239" t="s">
        <v>1815</v>
      </c>
      <c r="C37" s="71">
        <v>0</v>
      </c>
      <c r="D37" s="2204"/>
      <c r="E37" s="2204"/>
      <c r="F37" s="2238"/>
      <c r="G37" s="2204"/>
      <c r="H37" s="2204"/>
      <c r="I37" s="2204"/>
    </row>
    <row r="38" spans="1:16" ht="15.75" thickBot="1">
      <c r="A38" s="2912"/>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16" t="s">
        <v>1824</v>
      </c>
      <c r="B45" s="2917"/>
      <c r="C45" s="2918"/>
      <c r="D45" s="80">
        <f ca="1">ROUND(I102*F45,0)</f>
        <v>263731</v>
      </c>
      <c r="E45" s="81" t="s">
        <v>1825</v>
      </c>
      <c r="F45" s="82">
        <v>1</v>
      </c>
      <c r="G45" s="83" t="s">
        <v>1826</v>
      </c>
      <c r="H45" s="2194"/>
      <c r="I45" s="2194"/>
      <c r="J45" s="2978" t="s">
        <v>1827</v>
      </c>
      <c r="K45" s="2978"/>
      <c r="L45" s="2978"/>
      <c r="M45" s="2978"/>
      <c r="N45" s="2978"/>
      <c r="O45" s="2978"/>
      <c r="P45" s="1845"/>
    </row>
    <row r="46" spans="1:16" ht="14.25" customHeight="1">
      <c r="A46" s="2901" t="s">
        <v>1828</v>
      </c>
      <c r="B46" s="2902"/>
      <c r="C46" s="2902"/>
      <c r="D46" s="2902"/>
      <c r="E46" s="2902"/>
      <c r="F46" s="2902"/>
      <c r="G46" s="2903"/>
      <c r="H46" s="2256"/>
      <c r="I46" s="1144"/>
      <c r="J46" s="1883">
        <v>1</v>
      </c>
      <c r="K46" s="2978" t="s">
        <v>1829</v>
      </c>
      <c r="L46" s="2978"/>
      <c r="M46" s="2979" t="str">
        <f>项目基本情况!B1</f>
        <v>北京市房地产市场价值预评估</v>
      </c>
      <c r="N46" s="2979"/>
      <c r="O46" s="2979"/>
      <c r="P46" s="1845"/>
    </row>
    <row r="47" spans="1:16" ht="12" customHeight="1">
      <c r="A47" s="85" t="s">
        <v>1830</v>
      </c>
      <c r="B47" s="86"/>
      <c r="C47" s="87"/>
      <c r="D47" s="88" t="s">
        <v>1831</v>
      </c>
      <c r="E47" s="14" t="s">
        <v>1832</v>
      </c>
      <c r="F47" s="89" t="s">
        <v>1833</v>
      </c>
      <c r="G47" s="90" t="s">
        <v>1834</v>
      </c>
      <c r="H47" s="2256"/>
      <c r="I47" s="1144"/>
      <c r="J47" s="1883">
        <v>2</v>
      </c>
      <c r="K47" s="2978" t="s">
        <v>1835</v>
      </c>
      <c r="L47" s="2978"/>
      <c r="M47" s="2980">
        <f>'数据-取费表'!B2</f>
        <v>43277</v>
      </c>
      <c r="N47" s="2980"/>
      <c r="O47" s="2980"/>
      <c r="P47" s="1845"/>
    </row>
    <row r="48" spans="1:16" ht="25.5">
      <c r="A48" s="2913" t="s">
        <v>1836</v>
      </c>
      <c r="B48" s="2914"/>
      <c r="C48" s="2914"/>
      <c r="D48" s="56">
        <f ca="1">IF(H48="情况1",0,IF(H48="情况2",D52,IF(H48="情况3",D53,IF(H48="情况4",D54))))</f>
        <v>14066</v>
      </c>
      <c r="E48" s="1893" t="str">
        <f>IF(H48="情况4","(销售额-原购置价)×税（费）率","销售额×税（费）率")</f>
        <v>销售额×税（费）率</v>
      </c>
      <c r="F48" s="91">
        <f>IF(H48="情况1","免征",'数据-取费表'!E29)</f>
        <v>5.6000000000000001E-2</v>
      </c>
      <c r="G48" s="2257" t="s">
        <v>1837</v>
      </c>
      <c r="H48" s="2258" t="s">
        <v>1838</v>
      </c>
      <c r="I48" s="2256"/>
      <c r="J48" s="1883">
        <v>3</v>
      </c>
      <c r="K48" s="2978" t="s">
        <v>1839</v>
      </c>
      <c r="L48" s="2978"/>
      <c r="M48" s="2979">
        <f ca="1">I102</f>
        <v>263731</v>
      </c>
      <c r="N48" s="2979"/>
      <c r="O48" s="2979"/>
      <c r="P48" s="1845"/>
    </row>
    <row r="49" spans="1:16" ht="25.5" customHeight="1">
      <c r="A49" s="92" t="s">
        <v>1840</v>
      </c>
      <c r="B49" s="2906" t="s">
        <v>1841</v>
      </c>
      <c r="C49" s="2906"/>
      <c r="D49" s="93">
        <v>0</v>
      </c>
      <c r="E49" s="13" t="s">
        <v>1842</v>
      </c>
      <c r="F49" s="18" t="s">
        <v>48</v>
      </c>
      <c r="G49" s="2971"/>
      <c r="H49" s="2194"/>
      <c r="I49" s="2259"/>
      <c r="J49" s="1883">
        <v>4</v>
      </c>
      <c r="K49" s="2978" t="str">
        <f>IF(项目基本情况!F5="房地产抵押价值","房地产抵押价值","抵押担保权已注销时的房地产抵押价值")</f>
        <v>抵押担保权已注销时的房地产抵押价值</v>
      </c>
      <c r="L49" s="2978"/>
      <c r="M49" s="2979" t="str">
        <f>IF(项目基本情况!F5="房地产抵押价值",I110,I112)</f>
        <v>——</v>
      </c>
      <c r="N49" s="2979"/>
      <c r="O49" s="2979"/>
      <c r="P49" s="1845"/>
    </row>
    <row r="50" spans="1:16" ht="25.5" customHeight="1">
      <c r="A50" s="94"/>
      <c r="B50" s="2906" t="s">
        <v>1843</v>
      </c>
      <c r="C50" s="2906"/>
      <c r="D50" s="95"/>
      <c r="E50" s="21"/>
      <c r="F50" s="96"/>
      <c r="G50" s="2972"/>
      <c r="H50" s="2194"/>
      <c r="I50" s="2259"/>
      <c r="J50" s="2978" t="s">
        <v>1844</v>
      </c>
      <c r="K50" s="2978"/>
      <c r="L50" s="2978"/>
      <c r="M50" s="2978"/>
      <c r="N50" s="2978"/>
      <c r="O50" s="2978"/>
      <c r="P50" s="1845"/>
    </row>
    <row r="51" spans="1:16" ht="12" customHeight="1">
      <c r="A51" s="97"/>
      <c r="B51" s="2906" t="s">
        <v>1845</v>
      </c>
      <c r="C51" s="2906"/>
      <c r="D51" s="98"/>
      <c r="E51" s="20"/>
      <c r="F51" s="96"/>
      <c r="G51" s="2973"/>
      <c r="H51" s="2194"/>
      <c r="I51" s="2259"/>
      <c r="J51" s="2260" t="s">
        <v>1846</v>
      </c>
      <c r="K51" s="2978" t="s">
        <v>1847</v>
      </c>
      <c r="L51" s="2978"/>
      <c r="M51" s="2260" t="s">
        <v>1848</v>
      </c>
      <c r="N51" s="2260" t="s">
        <v>1849</v>
      </c>
      <c r="O51" s="2260" t="s">
        <v>1850</v>
      </c>
      <c r="P51" s="1845"/>
    </row>
    <row r="52" spans="1:16" ht="24" customHeight="1">
      <c r="A52" s="99" t="s">
        <v>1851</v>
      </c>
      <c r="B52" s="2906" t="s">
        <v>1852</v>
      </c>
      <c r="C52" s="2906"/>
      <c r="D52" s="98">
        <f ca="1">ROUND(D45*'数据-取费表'!E29/(1+'数据-取费表'!F30),0)</f>
        <v>14066</v>
      </c>
      <c r="E52" s="10" t="s">
        <v>1853</v>
      </c>
      <c r="F52" s="100">
        <f>'数据-取费表'!E29</f>
        <v>5.6000000000000001E-2</v>
      </c>
      <c r="G52" s="2261"/>
      <c r="H52" s="2194"/>
      <c r="I52" s="2259"/>
      <c r="J52" s="1883">
        <v>1</v>
      </c>
      <c r="K52" s="2938" t="s">
        <v>1854</v>
      </c>
      <c r="L52" s="2938"/>
      <c r="M52" s="778">
        <f ca="1">D48</f>
        <v>14066</v>
      </c>
      <c r="N52" s="1883" t="str">
        <f>E48</f>
        <v>销售额×税（费）率</v>
      </c>
      <c r="O52" s="779">
        <f>F48</f>
        <v>5.6000000000000001E-2</v>
      </c>
      <c r="P52" s="1845"/>
    </row>
    <row r="53" spans="1:16" ht="12" customHeight="1">
      <c r="A53" s="99" t="s">
        <v>1855</v>
      </c>
      <c r="B53" s="2907" t="s">
        <v>1856</v>
      </c>
      <c r="C53" s="2834"/>
      <c r="D53" s="98">
        <f ca="1">ROUND(D45*'数据-取费表'!E29/(1+'数据-取费表'!F30),0)</f>
        <v>14066</v>
      </c>
      <c r="E53" s="10" t="s">
        <v>1853</v>
      </c>
      <c r="F53" s="100">
        <f>'数据-取费表'!E29</f>
        <v>5.6000000000000001E-2</v>
      </c>
      <c r="G53" s="2261"/>
      <c r="H53" s="2194"/>
      <c r="I53" s="2259"/>
      <c r="J53" s="1883">
        <v>2</v>
      </c>
      <c r="K53" s="2938" t="s">
        <v>1857</v>
      </c>
      <c r="L53" s="2938"/>
      <c r="M53" s="778">
        <f t="shared" ref="M53:O54" ca="1" si="1">D55</f>
        <v>132</v>
      </c>
      <c r="N53" s="1883" t="str">
        <f t="shared" si="1"/>
        <v>销售额×税（费）率</v>
      </c>
      <c r="O53" s="779">
        <f t="shared" si="1"/>
        <v>5.0000000000000001E-4</v>
      </c>
      <c r="P53" s="1845"/>
    </row>
    <row r="54" spans="1:16" ht="12" customHeight="1">
      <c r="A54" s="99" t="s">
        <v>1858</v>
      </c>
      <c r="B54" s="2907" t="s">
        <v>1859</v>
      </c>
      <c r="C54" s="2834"/>
      <c r="D54" s="98">
        <f ca="1">C68</f>
        <v>14066</v>
      </c>
      <c r="E54" s="20" t="s">
        <v>1860</v>
      </c>
      <c r="F54" s="100">
        <f>'数据-取费表'!E29</f>
        <v>5.6000000000000001E-2</v>
      </c>
      <c r="G54" s="2261"/>
      <c r="H54" s="2262"/>
      <c r="I54" s="2259"/>
      <c r="J54" s="1883">
        <v>3</v>
      </c>
      <c r="K54" s="2938" t="s">
        <v>1861</v>
      </c>
      <c r="L54" s="2938"/>
      <c r="M54" s="778">
        <f t="shared" ca="1" si="1"/>
        <v>149272</v>
      </c>
      <c r="N54" s="1883" t="str">
        <f t="shared" si="1"/>
        <v>增值额×税（费）率</v>
      </c>
      <c r="O54" s="780" t="str">
        <f t="shared" si="1"/>
        <v>——</v>
      </c>
      <c r="P54" s="1845"/>
    </row>
    <row r="55" spans="1:16" ht="24" customHeight="1">
      <c r="A55" s="2826" t="s">
        <v>1862</v>
      </c>
      <c r="B55" s="2914"/>
      <c r="C55" s="2914"/>
      <c r="D55" s="101">
        <f ca="1">IF(H55="个人住宅",0,ROUND(D45*I55,0))</f>
        <v>132</v>
      </c>
      <c r="E55" s="10" t="s">
        <v>1863</v>
      </c>
      <c r="F55" s="100">
        <f>IF(H55="正常",I55,"免征")</f>
        <v>5.0000000000000001E-4</v>
      </c>
      <c r="G55" s="2261"/>
      <c r="H55" s="2258" t="s">
        <v>1864</v>
      </c>
      <c r="I55" s="102">
        <f>'数据-取费表'!E37</f>
        <v>5.0000000000000001E-4</v>
      </c>
      <c r="J55" s="1883">
        <f>IF(H59="非个人房产","",4)</f>
        <v>4</v>
      </c>
      <c r="K55" s="2938" t="str">
        <f>IF(H59="非个人房产","——","个人所得税")</f>
        <v>个人所得税</v>
      </c>
      <c r="L55" s="2938"/>
      <c r="M55" s="781">
        <f ca="1">D59</f>
        <v>2637</v>
      </c>
      <c r="N55" s="1886" t="str">
        <f>E59</f>
        <v>销售额×税（费）率</v>
      </c>
      <c r="O55" s="782">
        <f>F59</f>
        <v>0.01</v>
      </c>
      <c r="P55" s="1845"/>
    </row>
    <row r="56" spans="1:16" ht="24.75">
      <c r="A56" s="2826" t="s">
        <v>1865</v>
      </c>
      <c r="B56" s="2914"/>
      <c r="C56" s="2914"/>
      <c r="D56" s="101">
        <f ca="1">IF(H56="个人住宅",D57,D58)</f>
        <v>149272</v>
      </c>
      <c r="E56" s="10" t="s">
        <v>1866</v>
      </c>
      <c r="F56" s="100" t="str">
        <f>IF(H56="正常",F58,"免征")</f>
        <v>——</v>
      </c>
      <c r="G56" s="2263" t="s">
        <v>1867</v>
      </c>
      <c r="H56" s="2264" t="s">
        <v>1864</v>
      </c>
      <c r="I56" s="1022"/>
      <c r="J56" s="1883" t="str">
        <f>IF(项目基本情况!I6="上海银行",IF(J55="",4,J55+1),"")</f>
        <v/>
      </c>
      <c r="K56" s="2956" t="str">
        <f>IF(项目基本情况!I6="上海银行","其他处置费用","")</f>
        <v/>
      </c>
      <c r="L56" s="2957"/>
      <c r="M56" s="778" t="str">
        <f>IF(项目基本情况!I6="上海银行",M69,"")</f>
        <v/>
      </c>
      <c r="N56" s="2969" t="str">
        <f>IF(项目基本情况!I6="上海银行","包含处置中涉及的律师、诉讼、拍卖、评估等费用","")</f>
        <v/>
      </c>
      <c r="O56" s="2970"/>
      <c r="P56" s="1845"/>
    </row>
    <row r="57" spans="1:16" ht="12.75">
      <c r="A57" s="99" t="s">
        <v>1840</v>
      </c>
      <c r="B57" s="2904" t="s">
        <v>1868</v>
      </c>
      <c r="C57" s="2915"/>
      <c r="D57" s="103">
        <v>0</v>
      </c>
      <c r="E57" s="13" t="s">
        <v>1842</v>
      </c>
      <c r="F57" s="70"/>
      <c r="G57" s="2261"/>
      <c r="H57" s="1022"/>
      <c r="I57" s="1022"/>
      <c r="J57" s="2938">
        <f>IF(AND(J55="",J56=""),4,IF(项目基本情况!I6="上海银行",J56+1,J55+1))</f>
        <v>5</v>
      </c>
      <c r="K57" s="2938" t="s">
        <v>1869</v>
      </c>
      <c r="L57" s="2265" t="s">
        <v>1870</v>
      </c>
      <c r="M57" s="783"/>
      <c r="N57" s="784">
        <f ca="1">SUMIF(M52:M56,"&lt;9e307")</f>
        <v>166107</v>
      </c>
      <c r="O57" s="2266"/>
      <c r="P57" s="1841" t="e">
        <f ca="1">N57/M49</f>
        <v>#VALUE!</v>
      </c>
    </row>
    <row r="58" spans="1:16" ht="24.75">
      <c r="A58" s="99" t="s">
        <v>1851</v>
      </c>
      <c r="B58" s="2904" t="s">
        <v>1871</v>
      </c>
      <c r="C58" s="2905"/>
      <c r="D58" s="101">
        <f ca="1">IF(H58="转让取得",C81,C97)</f>
        <v>149272</v>
      </c>
      <c r="E58" s="10" t="s">
        <v>1866</v>
      </c>
      <c r="F58" s="14" t="s">
        <v>48</v>
      </c>
      <c r="G58" s="2261"/>
      <c r="H58" s="2264" t="s">
        <v>1872</v>
      </c>
      <c r="I58" s="1022"/>
      <c r="J58" s="2938"/>
      <c r="K58" s="2938"/>
      <c r="L58" s="2265" t="s">
        <v>1873</v>
      </c>
      <c r="M58" s="785"/>
      <c r="N58" s="2267" t="str">
        <f ca="1">IF(H19="元",NUMBERSTRING(INT(N57),2)&amp;"元整",NUMBERSTRING(INT(N57*10000),2)&amp;"元整")</f>
        <v>壹拾陆万陆仟壹佰零柒元整</v>
      </c>
      <c r="O58" s="2268"/>
      <c r="P58" s="1845"/>
    </row>
    <row r="59" spans="1:16" ht="26.25" thickBot="1">
      <c r="A59" s="2827" t="s">
        <v>1874</v>
      </c>
      <c r="B59" s="2830"/>
      <c r="C59" s="2830"/>
      <c r="D59" s="104">
        <f ca="1">IF(H59="非个人房产","——",IF(H59="个人住宅",0,ROUND(D45*I59,0)))</f>
        <v>2637</v>
      </c>
      <c r="E59" s="105" t="str">
        <f>IF(H59="非个人房产","——","销售额×税（费）率")</f>
        <v>销售额×税（费）率</v>
      </c>
      <c r="F59" s="106">
        <f>IF(H59="非个人房产","——",IF(H59="个人住宅","免征",I59))</f>
        <v>0.01</v>
      </c>
      <c r="G59" s="2269" t="s">
        <v>1867</v>
      </c>
      <c r="H59" s="2264" t="s">
        <v>1875</v>
      </c>
      <c r="I59" s="107">
        <v>0.01</v>
      </c>
      <c r="J59" s="2936">
        <f>J57+1</f>
        <v>6</v>
      </c>
      <c r="K59" s="2938" t="s">
        <v>1876</v>
      </c>
      <c r="L59" s="1883" t="s">
        <v>1870</v>
      </c>
      <c r="M59" s="786"/>
      <c r="N59" s="787" t="e">
        <f ca="1">M49-N57</f>
        <v>#VALUE!</v>
      </c>
      <c r="O59" s="2270"/>
      <c r="P59" s="1845"/>
    </row>
    <row r="60" spans="1:16" ht="12" customHeight="1">
      <c r="A60" s="2067"/>
      <c r="B60" s="2194"/>
      <c r="C60" s="2194"/>
      <c r="D60" s="2194"/>
      <c r="E60" s="1022"/>
      <c r="F60" s="1022"/>
      <c r="G60" s="1022"/>
      <c r="H60" s="2247"/>
      <c r="I60" s="2194"/>
      <c r="J60" s="2937"/>
      <c r="K60" s="2938"/>
      <c r="L60" s="2265" t="s">
        <v>1873</v>
      </c>
      <c r="M60" s="785"/>
      <c r="N60" s="2267" t="e">
        <f ca="1">IF(H19="元",NUMBERSTRING(INT(N59),2)&amp;"元整",NUMBERSTRING(INT(N59*10000),2)&amp;"元整")</f>
        <v>#VALUE!</v>
      </c>
      <c r="O60" s="2268"/>
      <c r="P60" s="1845"/>
    </row>
    <row r="61" spans="1:16" ht="13.5" thickBot="1">
      <c r="A61" s="2919" t="s">
        <v>1877</v>
      </c>
      <c r="B61" s="2919"/>
      <c r="C61" s="2919"/>
      <c r="D61" s="2919"/>
      <c r="E61" s="2919"/>
      <c r="F61" s="1022"/>
      <c r="G61" s="1022"/>
      <c r="H61" s="2247"/>
      <c r="I61" s="2194"/>
      <c r="J61" s="1883">
        <f>J59+1</f>
        <v>7</v>
      </c>
      <c r="K61" s="2938" t="s">
        <v>1878</v>
      </c>
      <c r="L61" s="2938"/>
      <c r="M61" s="788"/>
      <c r="N61" s="789" t="e">
        <f ca="1">IF(H19="元",ROUND(N59/项目基本情况!C12,0),ROUND(N59*10000/项目基本情况!C12,0))</f>
        <v>#VALUE!</v>
      </c>
      <c r="O61" s="2271"/>
      <c r="P61" s="1845"/>
    </row>
    <row r="62" spans="1:16" ht="12.75">
      <c r="A62" s="2926" t="s">
        <v>1879</v>
      </c>
      <c r="B62" s="2927"/>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251172</v>
      </c>
      <c r="D63" s="112"/>
      <c r="E63" s="113"/>
      <c r="F63" s="1022"/>
      <c r="G63" s="1022"/>
      <c r="H63" s="2247"/>
      <c r="I63" s="2194"/>
      <c r="J63" s="2958"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263731</v>
      </c>
      <c r="D64" s="117" t="s">
        <v>41</v>
      </c>
      <c r="E64" s="118"/>
      <c r="F64" s="1022"/>
      <c r="G64" s="1022"/>
      <c r="H64" s="2247"/>
      <c r="I64" s="2194"/>
      <c r="J64" s="2958"/>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58"/>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58"/>
      <c r="K66" s="2272" t="s">
        <v>1892</v>
      </c>
      <c r="L66" s="1844" t="e">
        <f>M49*0.5%</f>
        <v>#VALUE!</v>
      </c>
      <c r="M66" s="14" t="e">
        <f>IF(L66&gt;0.5,0.5,ROUND(L66,0))</f>
        <v>#VALUE!</v>
      </c>
      <c r="N66" s="1845" t="s">
        <v>1893</v>
      </c>
      <c r="O66" s="1845"/>
      <c r="P66" s="1845"/>
    </row>
    <row r="67" spans="1:35" ht="12.75">
      <c r="A67" s="120" t="s">
        <v>42</v>
      </c>
      <c r="B67" s="121" t="s">
        <v>1894</v>
      </c>
      <c r="C67" s="124">
        <f ca="1">C63-C66</f>
        <v>251172</v>
      </c>
      <c r="D67" s="117" t="s">
        <v>41</v>
      </c>
      <c r="E67" s="118"/>
      <c r="F67" s="1022"/>
      <c r="G67" s="1022"/>
      <c r="H67" s="2247"/>
      <c r="I67" s="2194"/>
      <c r="J67" s="2958"/>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14066</v>
      </c>
      <c r="D68" s="128">
        <f>'数据-取费表'!E29</f>
        <v>5.6000000000000001E-2</v>
      </c>
      <c r="E68" s="129"/>
      <c r="F68" s="1022"/>
      <c r="G68" s="1022"/>
      <c r="H68" s="2247"/>
      <c r="I68" s="2194"/>
      <c r="J68" s="2958"/>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58"/>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30" t="s">
        <v>1899</v>
      </c>
      <c r="B70" s="2931"/>
      <c r="C70" s="2931"/>
      <c r="D70" s="2931"/>
      <c r="E70" s="2931"/>
      <c r="F70" s="2931"/>
      <c r="G70" s="2931"/>
      <c r="H70" s="2931"/>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26" t="s">
        <v>1879</v>
      </c>
      <c r="B71" s="2927"/>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251172</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1507</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907" t="s">
        <v>1909</v>
      </c>
      <c r="F76" s="2906"/>
      <c r="G76" s="2906"/>
      <c r="H76" s="2921"/>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1507</v>
      </c>
      <c r="D78" s="145">
        <f>'数据-取费表'!E31</f>
        <v>6.000000000000001E-3</v>
      </c>
      <c r="E78" s="2898" t="s">
        <v>1914</v>
      </c>
      <c r="F78" s="2899"/>
      <c r="G78" s="2899"/>
      <c r="H78" s="2900"/>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249665</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165.67020570670206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149272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30" t="s">
        <v>1918</v>
      </c>
      <c r="B83" s="2931"/>
      <c r="C83" s="2931"/>
      <c r="D83" s="2931"/>
      <c r="E83" s="2931"/>
      <c r="F83" s="2931"/>
      <c r="G83" s="2931"/>
      <c r="H83" s="2931"/>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26" t="s">
        <v>1879</v>
      </c>
      <c r="B84" s="2927"/>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251172</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1507</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98" t="s">
        <v>1926</v>
      </c>
      <c r="F91" s="2899"/>
      <c r="G91" s="2899"/>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98" t="s">
        <v>1929</v>
      </c>
      <c r="F92" s="2899"/>
      <c r="G92" s="2899"/>
      <c r="H92" s="2900"/>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1507</v>
      </c>
      <c r="D93" s="145">
        <f>'数据-取费表'!E31</f>
        <v>6.000000000000001E-3</v>
      </c>
      <c r="E93" s="2898" t="s">
        <v>1914</v>
      </c>
      <c r="F93" s="2899"/>
      <c r="G93" s="2899"/>
      <c r="H93" s="2900"/>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98" t="s">
        <v>1931</v>
      </c>
      <c r="F94" s="2899"/>
      <c r="G94" s="2899"/>
      <c r="H94" s="2900"/>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249665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165.67020570670206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149272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53" t="s">
        <v>1933</v>
      </c>
      <c r="B99" s="2954"/>
      <c r="C99" s="2954"/>
      <c r="D99" s="2955"/>
      <c r="E99" s="2194"/>
      <c r="F99" s="2964" t="s">
        <v>1934</v>
      </c>
      <c r="G99" s="2965"/>
      <c r="H99" s="2965"/>
      <c r="I99" s="2966"/>
    </row>
    <row r="100" spans="1:35" ht="15.75">
      <c r="A100" s="2967" t="s">
        <v>1935</v>
      </c>
      <c r="B100" s="2968"/>
      <c r="C100" s="720" t="str">
        <f>C4</f>
        <v>比较法-车位</v>
      </c>
      <c r="D100" s="721" t="str">
        <f>D4</f>
        <v>收益法</v>
      </c>
      <c r="E100" s="2194"/>
      <c r="F100" s="2863" t="s">
        <v>1936</v>
      </c>
      <c r="G100" s="2864"/>
      <c r="H100" s="2863" t="s">
        <v>1937</v>
      </c>
      <c r="I100" s="2862"/>
    </row>
    <row r="101" spans="1:35" ht="15.75">
      <c r="A101" s="2945" t="s">
        <v>1938</v>
      </c>
      <c r="B101" s="2289" t="str">
        <f>IF(H19="元","总价（元）","总价（万元）")</f>
        <v>总价（元）</v>
      </c>
      <c r="C101" s="720">
        <f ca="1">C19</f>
        <v>286027</v>
      </c>
      <c r="D101" s="721">
        <f ca="1">D19</f>
        <v>174617</v>
      </c>
      <c r="E101" s="2194"/>
      <c r="F101" s="2863" t="str">
        <f>项目基本情况!I1</f>
        <v>北京市房地产</v>
      </c>
      <c r="G101" s="2864"/>
      <c r="H101" s="2861">
        <f>项目基本情况!C12</f>
        <v>31.27</v>
      </c>
      <c r="I101" s="2862"/>
    </row>
    <row r="102" spans="1:35" ht="15.75">
      <c r="A102" s="2945"/>
      <c r="B102" s="2289" t="s">
        <v>1939</v>
      </c>
      <c r="C102" s="722">
        <f ca="1">C20</f>
        <v>9147</v>
      </c>
      <c r="D102" s="723">
        <f ca="1">D20</f>
        <v>5584</v>
      </c>
      <c r="E102" s="2194"/>
      <c r="F102" s="2890" t="s">
        <v>1940</v>
      </c>
      <c r="G102" s="2891"/>
      <c r="H102" s="2290" t="str">
        <f>C106</f>
        <v>总价（元）</v>
      </c>
      <c r="I102" s="1862">
        <f ca="1">H121</f>
        <v>263731</v>
      </c>
    </row>
    <row r="103" spans="1:35" ht="15">
      <c r="A103" s="2945" t="s">
        <v>1941</v>
      </c>
      <c r="B103" s="2291" t="str">
        <f>B101</f>
        <v>总价（元）</v>
      </c>
      <c r="C103" s="724">
        <f ca="1">H121</f>
        <v>263731</v>
      </c>
      <c r="D103" s="725"/>
      <c r="E103" s="2194"/>
      <c r="F103" s="2890"/>
      <c r="G103" s="2891"/>
      <c r="H103" s="2290" t="s">
        <v>1939</v>
      </c>
      <c r="I103" s="1050">
        <f ca="1">I121</f>
        <v>8434</v>
      </c>
    </row>
    <row r="104" spans="1:35" ht="16.5" thickBot="1">
      <c r="A104" s="2946"/>
      <c r="B104" s="2292" t="s">
        <v>1939</v>
      </c>
      <c r="C104" s="726">
        <f ca="1">I121</f>
        <v>8434</v>
      </c>
      <c r="D104" s="727"/>
      <c r="E104" s="2194"/>
      <c r="F104" s="2962"/>
      <c r="G104" s="2963"/>
      <c r="H104" s="2947"/>
      <c r="I104" s="2948"/>
    </row>
    <row r="105" spans="1:35" ht="15.75">
      <c r="A105" s="2953" t="s">
        <v>1942</v>
      </c>
      <c r="B105" s="2954"/>
      <c r="C105" s="2954"/>
      <c r="D105" s="2955"/>
      <c r="E105" s="2194"/>
      <c r="F105" s="2951" t="s">
        <v>1943</v>
      </c>
      <c r="G105" s="2952"/>
      <c r="H105" s="2293" t="str">
        <f>C108</f>
        <v>总额（元）</v>
      </c>
      <c r="I105" s="1862">
        <f>SUMIF(I106:I108,"&lt;9E307")</f>
        <v>0</v>
      </c>
    </row>
    <row r="106" spans="1:35" ht="15">
      <c r="A106" s="2877" t="s">
        <v>1944</v>
      </c>
      <c r="B106" s="2878"/>
      <c r="C106" s="2290" t="str">
        <f>B101</f>
        <v>总价（元）</v>
      </c>
      <c r="D106" s="1051">
        <f ca="1">H121</f>
        <v>263731</v>
      </c>
      <c r="E106" s="2194"/>
      <c r="F106" s="2879" t="s">
        <v>1945</v>
      </c>
      <c r="G106" s="2880"/>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77"/>
      <c r="B107" s="2878"/>
      <c r="C107" s="2290" t="s">
        <v>1939</v>
      </c>
      <c r="D107" s="1052">
        <f ca="1">I121</f>
        <v>8434</v>
      </c>
      <c r="E107" s="2194"/>
      <c r="F107" s="2879" t="s">
        <v>1946</v>
      </c>
      <c r="G107" s="2880"/>
      <c r="H107" s="2293" t="str">
        <f>C110</f>
        <v>总额（元）</v>
      </c>
      <c r="I107" s="1050">
        <f>C37</f>
        <v>0</v>
      </c>
      <c r="K107" s="2294"/>
    </row>
    <row r="108" spans="1:35" ht="15">
      <c r="A108" s="2884" t="s">
        <v>1947</v>
      </c>
      <c r="B108" s="2885"/>
      <c r="C108" s="2293" t="str">
        <f>IF(H19="元","总额（元）","总额（万元）")</f>
        <v>总额（元）</v>
      </c>
      <c r="D108" s="1051">
        <f>IF(D36="正常操作",I106+I107+I108,I107+I108)</f>
        <v>0</v>
      </c>
      <c r="E108" s="2194"/>
      <c r="F108" s="2879" t="s">
        <v>1948</v>
      </c>
      <c r="G108" s="2880"/>
      <c r="H108" s="2293" t="str">
        <f>C111</f>
        <v>总额（元）</v>
      </c>
      <c r="I108" s="1050">
        <f>C38</f>
        <v>0</v>
      </c>
    </row>
    <row r="109" spans="1:35" ht="15.75">
      <c r="A109" s="2879" t="s">
        <v>1945</v>
      </c>
      <c r="B109" s="2880"/>
      <c r="C109" s="2293" t="str">
        <f>C108</f>
        <v>总额（元）</v>
      </c>
      <c r="D109" s="637">
        <f>IF(D36="同一抵押权人同一抵押物续贷",C36&amp;"（未扣减，详见特别提示）",C36)</f>
        <v>0</v>
      </c>
      <c r="E109" s="2194"/>
      <c r="F109" s="2962"/>
      <c r="G109" s="2963"/>
      <c r="H109" s="2949"/>
      <c r="I109" s="2950"/>
    </row>
    <row r="110" spans="1:35" ht="28.5" customHeight="1">
      <c r="A110" s="2879" t="s">
        <v>1946</v>
      </c>
      <c r="B110" s="2880"/>
      <c r="C110" s="2293" t="str">
        <f>C108</f>
        <v>总额（元）</v>
      </c>
      <c r="D110" s="637">
        <f>C37</f>
        <v>0</v>
      </c>
      <c r="E110" s="2194"/>
      <c r="F110" s="2865" t="str">
        <f>IF(项目基本情况!F5="已注销","——","3.房地产抵押价值")</f>
        <v>3.房地产抵押价值</v>
      </c>
      <c r="G110" s="2866"/>
      <c r="H110" s="2295" t="str">
        <f>C112</f>
        <v>总价（元）</v>
      </c>
      <c r="I110" s="1863">
        <f ca="1">IF(F110="——","——",I102-I105)</f>
        <v>263731</v>
      </c>
    </row>
    <row r="111" spans="1:35" ht="15">
      <c r="A111" s="2879" t="s">
        <v>1948</v>
      </c>
      <c r="B111" s="2880"/>
      <c r="C111" s="2293" t="str">
        <f>C108</f>
        <v>总额（元）</v>
      </c>
      <c r="D111" s="637">
        <f>C38</f>
        <v>0</v>
      </c>
      <c r="E111" s="2194"/>
      <c r="F111" s="2981"/>
      <c r="G111" s="2982"/>
      <c r="H111" s="2290" t="s">
        <v>1939</v>
      </c>
      <c r="I111" s="2296">
        <f ca="1">D113</f>
        <v>8434</v>
      </c>
    </row>
    <row r="112" spans="1:35" ht="26.25" customHeight="1">
      <c r="A112" s="2877" t="str">
        <f>IF(项目基本情况!F5="已注销","——","3.房地产抵押价值")</f>
        <v>3.房地产抵押价值</v>
      </c>
      <c r="B112" s="2878"/>
      <c r="C112" s="2290" t="str">
        <f>B101</f>
        <v>总价（元）</v>
      </c>
      <c r="D112" s="1051">
        <f ca="1">IF(A112="——","——",D106-D108)</f>
        <v>263731</v>
      </c>
      <c r="E112" s="2194"/>
      <c r="F112" s="2865" t="str">
        <f>IF(项目基本情况!F5="已注销及未注销","4.抵押担保权已注销时的房地产抵押价值",IF(项目基本情况!F5="已注销","3.抵押担保权已注销时的房地产抵押价值","——"))</f>
        <v>——</v>
      </c>
      <c r="G112" s="2866"/>
      <c r="H112" s="2295" t="str">
        <f>C114</f>
        <v>总价（元）</v>
      </c>
      <c r="I112" s="1863" t="str">
        <f>IF(F112="——","——",I102-I107-I108)</f>
        <v>——</v>
      </c>
    </row>
    <row r="113" spans="1:15" ht="15">
      <c r="A113" s="2877"/>
      <c r="B113" s="2878"/>
      <c r="C113" s="2290" t="s">
        <v>1939</v>
      </c>
      <c r="D113" s="1052">
        <f ca="1">ROUND(IF(D112=D106,D107,IF(H19="元",D112/项目基本情况!C12,D112*10000/项目基本情况!C12)),0)</f>
        <v>8434</v>
      </c>
      <c r="E113" s="2194"/>
      <c r="F113" s="2981"/>
      <c r="G113" s="2982"/>
      <c r="H113" s="2290" t="s">
        <v>1939</v>
      </c>
      <c r="I113" s="2297" t="str">
        <f>D115</f>
        <v>——</v>
      </c>
    </row>
    <row r="114" spans="1:15" ht="15.75">
      <c r="A114" s="2877" t="str">
        <f>IF(项目基本情况!F5="已注销及未注销","4.抵押担保权已注销时的房地产抵押价值",IF(项目基本情况!F5="已注销","3.抵押担保权已注销时的房地产抵押价值","——"))</f>
        <v>——</v>
      </c>
      <c r="B114" s="2878"/>
      <c r="C114" s="2290" t="str">
        <f>B101</f>
        <v>总价（元）</v>
      </c>
      <c r="D114" s="1051" t="str">
        <f>IF(A114="——","——",D106-D110-D111)</f>
        <v>——</v>
      </c>
      <c r="E114" s="2194"/>
      <c r="F114" s="2865" t="str">
        <f>IF(项目基本情况!G5="抵押净值",IF(OR(项目基本情况!F5="已注销",项目基本情况!F5="房地产抵押价值"),"4.抵押净值","5.抵押净值"),"——")</f>
        <v>——</v>
      </c>
      <c r="G114" s="2866"/>
      <c r="H114" s="2290" t="str">
        <f>C116</f>
        <v>总价（元）</v>
      </c>
      <c r="I114" s="1862" t="str">
        <f>IF(F114="——","——",N59)</f>
        <v>——</v>
      </c>
    </row>
    <row r="115" spans="1:15" ht="15.75" thickBot="1">
      <c r="A115" s="2877"/>
      <c r="B115" s="2878"/>
      <c r="C115" s="2290" t="s">
        <v>1939</v>
      </c>
      <c r="D115" s="1052" t="str">
        <f>IF(A114="——","——",ROUND(IF(D114=D106,D107,IF(H19="元",D114/项目基本情况!C12,D114*10000/项目基本情况!C12)),0))</f>
        <v>——</v>
      </c>
      <c r="E115" s="2194"/>
      <c r="F115" s="2867"/>
      <c r="G115" s="2868"/>
      <c r="H115" s="2298" t="s">
        <v>1939</v>
      </c>
      <c r="I115" s="1864" t="str">
        <f ca="1">D117</f>
        <v>——</v>
      </c>
    </row>
    <row r="116" spans="1:15" ht="15.75">
      <c r="A116" s="2877" t="str">
        <f>IF(项目基本情况!G5="抵押净值",IF(OR(项目基本情况!F5="已注销",项目基本情况!F5="房地产抵押价值"),"4.抵押净值","5.抵押净值"),"——")</f>
        <v>——</v>
      </c>
      <c r="B116" s="2878"/>
      <c r="C116" s="2290" t="str">
        <f>B101</f>
        <v>总价（元）</v>
      </c>
      <c r="D116" s="1051" t="str">
        <f>IF(A116="——","——",N59)</f>
        <v>——</v>
      </c>
      <c r="E116" s="2194"/>
      <c r="F116" s="2977"/>
      <c r="G116" s="2977"/>
      <c r="H116" s="2933"/>
      <c r="I116" s="2933"/>
      <c r="N116" s="55"/>
      <c r="O116" s="55"/>
    </row>
    <row r="117" spans="1:15" ht="15.75" thickBot="1">
      <c r="A117" s="2882"/>
      <c r="B117" s="2883"/>
      <c r="C117" s="2298" t="s">
        <v>1939</v>
      </c>
      <c r="D117" s="1053" t="str">
        <f ca="1">IF(D116=D112,D113,IF(A116="——","——",N61))</f>
        <v>——</v>
      </c>
      <c r="E117" s="2194"/>
      <c r="F117" s="2857" t="str">
        <f>IF(B32="总价","（以上估价结果中单价为总价除以建筑面积得出）","（以上估价结果中总价为楼面单价乘以建筑面积得出）")</f>
        <v>（以上估价结果中总价为楼面单价乘以建筑面积得出）</v>
      </c>
      <c r="G117" s="2857"/>
      <c r="H117" s="2857"/>
      <c r="I117" s="2857"/>
      <c r="N117" s="55"/>
      <c r="O117" s="55"/>
    </row>
    <row r="118" spans="1:15" ht="15">
      <c r="A118" s="2934" t="s">
        <v>1949</v>
      </c>
      <c r="B118" s="2935"/>
      <c r="C118" s="2935"/>
      <c r="D118" s="2935"/>
      <c r="E118" s="2935"/>
      <c r="F118" s="2935"/>
      <c r="G118" s="2935"/>
      <c r="H118" s="2935"/>
      <c r="I118" s="2935"/>
    </row>
    <row r="119" spans="1:15" ht="14.25">
      <c r="A119" s="2858" t="s">
        <v>1950</v>
      </c>
      <c r="B119" s="2888" t="s">
        <v>1951</v>
      </c>
      <c r="C119" s="2888" t="s">
        <v>1952</v>
      </c>
      <c r="D119" s="2960" t="s">
        <v>1953</v>
      </c>
      <c r="E119" s="2961"/>
      <c r="F119" s="2859" t="s">
        <v>1811</v>
      </c>
      <c r="G119" s="2859"/>
      <c r="H119" s="2859" t="s">
        <v>1954</v>
      </c>
      <c r="I119" s="2959"/>
    </row>
    <row r="120" spans="1:15" ht="14.25">
      <c r="A120" s="2858"/>
      <c r="B120" s="2889"/>
      <c r="C120" s="2889"/>
      <c r="D120" s="1887" t="s">
        <v>1955</v>
      </c>
      <c r="E120" s="1887" t="s">
        <v>1956</v>
      </c>
      <c r="F120" s="1887" t="s">
        <v>1955</v>
      </c>
      <c r="G120" s="1887" t="s">
        <v>1957</v>
      </c>
      <c r="H120" s="1887" t="s">
        <v>1955</v>
      </c>
      <c r="I120" s="637" t="s">
        <v>1957</v>
      </c>
    </row>
    <row r="121" spans="1:15" ht="14.25">
      <c r="A121" s="2180" t="str">
        <f>项目基本情况!I1</f>
        <v>北京市房地产</v>
      </c>
      <c r="B121" s="1887">
        <f>项目基本情况!C12</f>
        <v>31.27</v>
      </c>
      <c r="C121" s="1887">
        <f>项目基本情况!C13</f>
        <v>0</v>
      </c>
      <c r="D121" s="1887">
        <f ca="1">ROUND(IF(B32="总价",C34,IF('数据-取费表'!B3="万元",E121*B121/10000,E121*B121)),0)</f>
        <v>111822</v>
      </c>
      <c r="E121" s="1887">
        <f ca="1">ROUND(IF(B32="楼面单价",C34,IF(H19="元",D121/B121,D121*10000/B121)),0)</f>
        <v>3576</v>
      </c>
      <c r="F121" s="1887">
        <f ca="1">ROUND(IF(B32="总价",C35,IF('数据-取费表'!B3="万元",G121*B121/10000,G121*B121)),0)</f>
        <v>151910</v>
      </c>
      <c r="G121" s="1887">
        <f ca="1">ROUND(IF(B32="楼面单价",C35,IF(H19="元",F121/B121,F121*10000/B121)),0)</f>
        <v>4858</v>
      </c>
      <c r="H121" s="1887">
        <f ca="1">ROUND(IF(B32="总价",C32,IF('数据-取费表'!B3="万元",I121*B121/10000,I121*B121)),0)</f>
        <v>263731</v>
      </c>
      <c r="I121" s="637">
        <f ca="1">ROUND(IF(B32="楼面单价",C32,IF(H19="元",H121/B121,H121*10000/B121)),0)</f>
        <v>8434</v>
      </c>
    </row>
    <row r="122" spans="1:15" ht="14.25">
      <c r="A122" s="2858" t="s">
        <v>1958</v>
      </c>
      <c r="B122" s="2859"/>
      <c r="C122" s="2859"/>
      <c r="D122" s="2892" t="str">
        <f ca="1">IF(H19="元",NUMBERSTRING(INT(D121),2)&amp;"元整",NUMBERSTRING(INT(D121*10000),2)&amp;"元整")</f>
        <v>壹拾壹万壹仟捌佰贰拾贰元整</v>
      </c>
      <c r="E122" s="2939"/>
      <c r="F122" s="2892" t="str">
        <f ca="1">IF(H19="元",NUMBERSTRING(INT(F121),2)&amp;"元整",NUMBERSTRING(INT(F121*10000),2)&amp;"元整")</f>
        <v>壹拾伍万壹仟玖佰壹拾元整</v>
      </c>
      <c r="G122" s="2939"/>
      <c r="H122" s="2892" t="str">
        <f ca="1">IF(H19="元",NUMBERSTRING(INT(H121),2)&amp;"元整",NUMBERSTRING(INT(H121*10000),2)&amp;"元整")</f>
        <v>贰拾陆万叁仟柒佰叁拾壹元整</v>
      </c>
      <c r="I122" s="2893"/>
    </row>
    <row r="123" spans="1:15" ht="15">
      <c r="A123" s="2940" t="str">
        <f>IF(项目基本情况!D5="房地产市场价值","——",MID(A108,3,LEN(A108)-2))</f>
        <v>——</v>
      </c>
      <c r="B123" s="2870"/>
      <c r="C123" s="2941"/>
      <c r="D123" s="2869">
        <f>I105</f>
        <v>0</v>
      </c>
      <c r="E123" s="2870"/>
      <c r="F123" s="2870"/>
      <c r="G123" s="2870"/>
      <c r="H123" s="2870"/>
      <c r="I123" s="2871"/>
    </row>
    <row r="124" spans="1:15" ht="14.25">
      <c r="A124" s="2942" t="s">
        <v>1958</v>
      </c>
      <c r="B124" s="2943"/>
      <c r="C124" s="2944"/>
      <c r="D124" s="2872">
        <f>H109</f>
        <v>0</v>
      </c>
      <c r="E124" s="2873"/>
      <c r="F124" s="2873"/>
      <c r="G124" s="2873"/>
      <c r="H124" s="2873"/>
      <c r="I124" s="2874"/>
    </row>
    <row r="125" spans="1:15" ht="15">
      <c r="A125" s="2875" t="str">
        <f>IF(项目基本情况!D5="房地产市场价值","——",MID(A112,3,LEN(A112)-2))</f>
        <v>——</v>
      </c>
      <c r="B125" s="2876"/>
      <c r="C125" s="2876"/>
      <c r="D125" s="2869">
        <f ca="1">I110</f>
        <v>263731</v>
      </c>
      <c r="E125" s="2870"/>
      <c r="F125" s="2870"/>
      <c r="G125" s="2870"/>
      <c r="H125" s="2870"/>
      <c r="I125" s="2871"/>
    </row>
    <row r="126" spans="1:15" ht="14.25">
      <c r="A126" s="2858" t="s">
        <v>1958</v>
      </c>
      <c r="B126" s="2859"/>
      <c r="C126" s="2859"/>
      <c r="D126" s="2872">
        <f ca="1">I111</f>
        <v>8434</v>
      </c>
      <c r="E126" s="2873"/>
      <c r="F126" s="2873"/>
      <c r="G126" s="2873"/>
      <c r="H126" s="2873"/>
      <c r="I126" s="2874"/>
    </row>
    <row r="127" spans="1:15" ht="15.75" thickBot="1">
      <c r="A127" s="2875" t="str">
        <f>IF(项目基本情况!D5="房地产市场价值","——",MID(A114,3,LEN(A114)-2))</f>
        <v>——</v>
      </c>
      <c r="B127" s="2876"/>
      <c r="C127" s="2876"/>
      <c r="D127" s="2974" t="str">
        <f>I112</f>
        <v>——</v>
      </c>
      <c r="E127" s="2975"/>
      <c r="F127" s="2975"/>
      <c r="G127" s="2975"/>
      <c r="H127" s="2975"/>
      <c r="I127" s="2976"/>
    </row>
    <row r="128" spans="1:15" ht="15.75" thickTop="1" thickBot="1">
      <c r="A128" s="2858" t="s">
        <v>1958</v>
      </c>
      <c r="B128" s="2859"/>
      <c r="C128" s="2860"/>
      <c r="D128" s="2932" t="str">
        <f>I113</f>
        <v>——</v>
      </c>
      <c r="E128" s="2932"/>
      <c r="F128" s="2932"/>
      <c r="G128" s="2932"/>
      <c r="H128" s="2932"/>
      <c r="I128" s="2932"/>
    </row>
    <row r="129" spans="1:9" ht="16.5" thickTop="1" thickBot="1">
      <c r="A129" s="2875" t="str">
        <f>IF(项目基本情况!D5="房地产市场价值","——",MID(F114,3,LEN(F114)-2))</f>
        <v>——</v>
      </c>
      <c r="B129" s="2876"/>
      <c r="C129" s="2869"/>
      <c r="D129" s="2881" t="str">
        <f>I114</f>
        <v>——</v>
      </c>
      <c r="E129" s="2881"/>
      <c r="F129" s="2881"/>
      <c r="G129" s="2881"/>
      <c r="H129" s="2881"/>
      <c r="I129" s="2881"/>
    </row>
    <row r="130" spans="1:9" ht="15.75" thickTop="1" thickBot="1">
      <c r="A130" s="2886" t="s">
        <v>1958</v>
      </c>
      <c r="B130" s="2887"/>
      <c r="C130" s="2887"/>
      <c r="D130" s="2894">
        <f>H116</f>
        <v>0</v>
      </c>
      <c r="E130" s="2895"/>
      <c r="F130" s="2895"/>
      <c r="G130" s="2895"/>
      <c r="H130" s="2895"/>
      <c r="I130" s="2896"/>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56" t="str">
        <f>IF(B32="总价","（以上估价结果中楼面单价为总价除以建筑面积得出）","（以上估价结果中总价为楼面单价乘以建筑面积得出）")</f>
        <v>（以上估价结果中总价为楼面单价乘以建筑面积得出）</v>
      </c>
      <c r="B132" s="2856"/>
      <c r="C132" s="2856"/>
      <c r="D132" s="2856"/>
      <c r="E132" s="2856"/>
      <c r="F132" s="2856"/>
      <c r="G132" s="2856"/>
      <c r="H132" s="2856"/>
      <c r="I132" s="2856"/>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93" t="s">
        <v>1967</v>
      </c>
      <c r="B2" s="2993"/>
      <c r="C2" s="2993"/>
      <c r="D2" s="2993"/>
      <c r="E2" s="2993"/>
      <c r="F2" s="2993"/>
      <c r="G2" s="2993"/>
      <c r="H2" s="2993"/>
      <c r="I2" s="2993"/>
    </row>
    <row r="3" spans="1:12" ht="12.75">
      <c r="A3" s="2923" t="s">
        <v>1771</v>
      </c>
      <c r="B3" s="2924"/>
      <c r="C3" s="2924"/>
      <c r="D3" s="2924"/>
      <c r="E3" s="2924"/>
      <c r="F3" s="2924"/>
      <c r="G3" s="2924"/>
      <c r="H3" s="2924"/>
      <c r="I3" s="2924"/>
    </row>
    <row r="4" spans="1:12" ht="14.25">
      <c r="A4" s="2196" t="s">
        <v>1772</v>
      </c>
      <c r="B4" s="2197" t="s">
        <v>1773</v>
      </c>
      <c r="C4" s="2198"/>
      <c r="D4" s="2198"/>
      <c r="E4" s="2904" t="s">
        <v>1968</v>
      </c>
      <c r="F4" s="2905"/>
      <c r="G4" s="2905"/>
      <c r="H4" s="2905"/>
      <c r="I4" s="2915"/>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7" t="s">
        <v>1775</v>
      </c>
      <c r="B5" s="2859">
        <v>25</v>
      </c>
      <c r="C5" s="2908"/>
      <c r="D5" s="2922"/>
      <c r="E5" s="56" t="s">
        <v>1776</v>
      </c>
      <c r="F5" s="2199"/>
      <c r="G5" s="2199"/>
      <c r="H5" s="2199"/>
      <c r="I5" s="2200"/>
    </row>
    <row r="6" spans="1:12" ht="12.75">
      <c r="A6" s="2897"/>
      <c r="B6" s="2859"/>
      <c r="C6" s="2925"/>
      <c r="D6" s="2922"/>
      <c r="E6" s="56" t="s">
        <v>1777</v>
      </c>
      <c r="F6" s="2199"/>
      <c r="G6" s="2199"/>
      <c r="H6" s="2199"/>
      <c r="I6" s="2200"/>
    </row>
    <row r="7" spans="1:12" ht="12.75">
      <c r="A7" s="2897"/>
      <c r="B7" s="2859"/>
      <c r="C7" s="2909"/>
      <c r="D7" s="2922"/>
      <c r="E7" s="56" t="s">
        <v>1778</v>
      </c>
      <c r="F7" s="2199"/>
      <c r="G7" s="2199"/>
      <c r="H7" s="2199"/>
      <c r="I7" s="2200"/>
    </row>
    <row r="8" spans="1:12" ht="12.75">
      <c r="A8" s="2897" t="s">
        <v>1779</v>
      </c>
      <c r="B8" s="2859">
        <v>15</v>
      </c>
      <c r="C8" s="2908"/>
      <c r="D8" s="2922"/>
      <c r="E8" s="56" t="s">
        <v>1780</v>
      </c>
      <c r="F8" s="2199"/>
      <c r="G8" s="2199"/>
      <c r="H8" s="2199"/>
      <c r="I8" s="2200"/>
    </row>
    <row r="9" spans="1:12" ht="12.75">
      <c r="A9" s="2897"/>
      <c r="B9" s="2859"/>
      <c r="C9" s="2909"/>
      <c r="D9" s="2922"/>
      <c r="E9" s="56" t="s">
        <v>1781</v>
      </c>
      <c r="F9" s="2199"/>
      <c r="G9" s="2199"/>
      <c r="H9" s="2199"/>
      <c r="I9" s="2200"/>
    </row>
    <row r="10" spans="1:12" ht="12.75">
      <c r="A10" s="2897" t="s">
        <v>1782</v>
      </c>
      <c r="B10" s="2859">
        <v>15</v>
      </c>
      <c r="C10" s="2908"/>
      <c r="D10" s="2922"/>
      <c r="E10" s="56" t="s">
        <v>1783</v>
      </c>
      <c r="F10" s="2199"/>
      <c r="G10" s="2199"/>
      <c r="H10" s="2199"/>
      <c r="I10" s="2200"/>
    </row>
    <row r="11" spans="1:12" ht="12.75">
      <c r="A11" s="2897"/>
      <c r="B11" s="2859"/>
      <c r="C11" s="2909"/>
      <c r="D11" s="2922"/>
      <c r="E11" s="56" t="s">
        <v>1784</v>
      </c>
      <c r="F11" s="2199"/>
      <c r="G11" s="2199"/>
      <c r="H11" s="2199"/>
      <c r="I11" s="2200"/>
    </row>
    <row r="12" spans="1:12" ht="12.75">
      <c r="A12" s="2897" t="s">
        <v>1785</v>
      </c>
      <c r="B12" s="2859">
        <v>15</v>
      </c>
      <c r="C12" s="2908"/>
      <c r="D12" s="2922"/>
      <c r="E12" s="56" t="s">
        <v>1786</v>
      </c>
      <c r="F12" s="2199"/>
      <c r="G12" s="2199"/>
      <c r="H12" s="2199"/>
      <c r="I12" s="2200"/>
    </row>
    <row r="13" spans="1:12" ht="12.75">
      <c r="A13" s="2897"/>
      <c r="B13" s="2859"/>
      <c r="C13" s="2909"/>
      <c r="D13" s="2922"/>
      <c r="E13" s="56" t="s">
        <v>1787</v>
      </c>
      <c r="F13" s="2199"/>
      <c r="G13" s="2199"/>
      <c r="H13" s="2199"/>
      <c r="I13" s="2200"/>
    </row>
    <row r="14" spans="1:12" ht="12.75">
      <c r="A14" s="2897" t="s">
        <v>1788</v>
      </c>
      <c r="B14" s="2859">
        <v>30</v>
      </c>
      <c r="C14" s="2908"/>
      <c r="D14" s="2922"/>
      <c r="E14" s="56" t="s">
        <v>1789</v>
      </c>
      <c r="F14" s="2199"/>
      <c r="G14" s="2199"/>
      <c r="H14" s="2199"/>
      <c r="I14" s="2200"/>
    </row>
    <row r="15" spans="1:12" ht="12.75">
      <c r="A15" s="2897"/>
      <c r="B15" s="2859"/>
      <c r="C15" s="2925"/>
      <c r="D15" s="2922"/>
      <c r="E15" s="56" t="s">
        <v>1790</v>
      </c>
      <c r="F15" s="2199"/>
      <c r="G15" s="2199"/>
      <c r="H15" s="2199"/>
      <c r="I15" s="2200"/>
    </row>
    <row r="16" spans="1:12" ht="12.75">
      <c r="A16" s="2897"/>
      <c r="B16" s="2859"/>
      <c r="C16" s="2909"/>
      <c r="D16" s="2922"/>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28" t="s">
        <v>1800</v>
      </c>
      <c r="B24" s="2206" t="s">
        <v>1795</v>
      </c>
      <c r="C24" s="61">
        <f>D30</f>
        <v>0</v>
      </c>
      <c r="D24" s="994"/>
      <c r="E24" s="2194"/>
      <c r="F24" s="2194"/>
      <c r="G24" s="2194"/>
      <c r="H24" s="2194"/>
      <c r="I24" s="2194"/>
    </row>
    <row r="25" spans="1:35" ht="21.75" customHeight="1">
      <c r="A25" s="2929"/>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84" t="s">
        <v>1971</v>
      </c>
      <c r="B31" s="2984"/>
      <c r="C31" s="2984"/>
      <c r="D31" s="2984"/>
      <c r="E31" s="2984"/>
      <c r="F31" s="2984"/>
      <c r="G31" s="2984"/>
      <c r="H31" s="2984"/>
      <c r="I31" s="298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910" t="s">
        <v>1980</v>
      </c>
      <c r="B37" s="2236" t="s">
        <v>1981</v>
      </c>
      <c r="C37" s="69"/>
      <c r="D37" s="2237"/>
      <c r="E37" s="2238"/>
      <c r="F37" s="2238"/>
      <c r="G37" s="2194"/>
      <c r="H37" s="2194"/>
      <c r="I37" s="2194"/>
    </row>
    <row r="38" spans="1:16" ht="15.75" thickBot="1">
      <c r="A38" s="2911"/>
      <c r="B38" s="2239" t="s">
        <v>1982</v>
      </c>
      <c r="C38" s="71"/>
      <c r="D38" s="2204"/>
      <c r="E38" s="2204"/>
      <c r="F38" s="2238"/>
      <c r="G38" s="2204"/>
      <c r="H38" s="2204"/>
      <c r="I38" s="2204"/>
    </row>
    <row r="39" spans="1:16" ht="15.75" thickBot="1">
      <c r="A39" s="2912"/>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16" t="s">
        <v>1993</v>
      </c>
      <c r="B46" s="2917"/>
      <c r="C46" s="2918"/>
      <c r="D46" s="80">
        <f>ROUND(I103*F46,0)</f>
        <v>0</v>
      </c>
      <c r="E46" s="81" t="s">
        <v>1994</v>
      </c>
      <c r="F46" s="82">
        <v>1</v>
      </c>
      <c r="G46" s="83" t="s">
        <v>1995</v>
      </c>
      <c r="H46" s="2194"/>
      <c r="I46" s="2194"/>
      <c r="J46" s="2978" t="s">
        <v>1827</v>
      </c>
      <c r="K46" s="2978"/>
      <c r="L46" s="2978"/>
      <c r="M46" s="2978"/>
      <c r="N46" s="2978"/>
      <c r="O46" s="2978"/>
      <c r="P46" s="1845"/>
    </row>
    <row r="47" spans="1:16" ht="14.25" customHeight="1">
      <c r="A47" s="2901" t="s">
        <v>1828</v>
      </c>
      <c r="B47" s="2902"/>
      <c r="C47" s="2902"/>
      <c r="D47" s="2902"/>
      <c r="E47" s="2902"/>
      <c r="F47" s="2902"/>
      <c r="G47" s="2903"/>
      <c r="H47" s="2256"/>
      <c r="I47" s="1144"/>
      <c r="J47" s="1883">
        <v>1</v>
      </c>
      <c r="K47" s="2978" t="s">
        <v>1829</v>
      </c>
      <c r="L47" s="2978"/>
      <c r="M47" s="2994"/>
      <c r="N47" s="2994"/>
      <c r="O47" s="2994"/>
      <c r="P47" s="1845"/>
    </row>
    <row r="48" spans="1:16" ht="12" customHeight="1">
      <c r="A48" s="85" t="s">
        <v>1830</v>
      </c>
      <c r="B48" s="86"/>
      <c r="C48" s="87"/>
      <c r="D48" s="88" t="s">
        <v>1831</v>
      </c>
      <c r="E48" s="14" t="s">
        <v>1832</v>
      </c>
      <c r="F48" s="89" t="s">
        <v>1833</v>
      </c>
      <c r="G48" s="90" t="s">
        <v>1834</v>
      </c>
      <c r="H48" s="2256"/>
      <c r="I48" s="1144"/>
      <c r="J48" s="1883">
        <v>2</v>
      </c>
      <c r="K48" s="2978" t="s">
        <v>1835</v>
      </c>
      <c r="L48" s="2978"/>
      <c r="M48" s="2980">
        <f>'数据-取费表'!B2</f>
        <v>43277</v>
      </c>
      <c r="N48" s="2980"/>
      <c r="O48" s="2980"/>
      <c r="P48" s="1845"/>
    </row>
    <row r="49" spans="1:16" ht="25.5">
      <c r="A49" s="2913" t="s">
        <v>1836</v>
      </c>
      <c r="B49" s="2914"/>
      <c r="C49" s="2914"/>
      <c r="D49" s="56">
        <f>IF(H49="情况1",0,IF(H49="情况2",D53,IF(H49="情况3",D54,IF(H49="情况4",D55))))</f>
        <v>0</v>
      </c>
      <c r="E49" s="1893" t="str">
        <f>IF(H49="情况4","(销售额-原购置价)×税（费）率","销售额×税（费）率")</f>
        <v>销售额×税（费）率</v>
      </c>
      <c r="F49" s="91">
        <f>IF(H49="情况1","免征",'数据-取费表'!E29)</f>
        <v>5.6000000000000001E-2</v>
      </c>
      <c r="G49" s="2257" t="s">
        <v>1837</v>
      </c>
      <c r="H49" s="2258" t="s">
        <v>1838</v>
      </c>
      <c r="I49" s="2256"/>
      <c r="J49" s="1883">
        <v>3</v>
      </c>
      <c r="K49" s="2978" t="s">
        <v>1839</v>
      </c>
      <c r="L49" s="2978"/>
      <c r="M49" s="2979">
        <f>I103</f>
        <v>0</v>
      </c>
      <c r="N49" s="2979"/>
      <c r="O49" s="2979"/>
      <c r="P49" s="1845"/>
    </row>
    <row r="50" spans="1:16" ht="25.5" customHeight="1">
      <c r="A50" s="92" t="s">
        <v>1840</v>
      </c>
      <c r="B50" s="2906" t="s">
        <v>1841</v>
      </c>
      <c r="C50" s="2906"/>
      <c r="D50" s="93">
        <v>0</v>
      </c>
      <c r="E50" s="13" t="s">
        <v>1842</v>
      </c>
      <c r="F50" s="18" t="s">
        <v>48</v>
      </c>
      <c r="G50" s="2971"/>
      <c r="H50" s="2194"/>
      <c r="I50" s="2259"/>
      <c r="J50" s="1883">
        <v>4</v>
      </c>
      <c r="K50" s="2978" t="str">
        <f>IF(项目基本情况!F5="房地产抵押价值","房地产抵押价值","抵押担保权已注销时的房地产抵押价值")</f>
        <v>抵押担保权已注销时的房地产抵押价值</v>
      </c>
      <c r="L50" s="2978"/>
      <c r="M50" s="2979" t="str">
        <f>IF(项目基本情况!F5="房地产抵押价值",I111,I113)</f>
        <v>——</v>
      </c>
      <c r="N50" s="2979"/>
      <c r="O50" s="2979"/>
      <c r="P50" s="1845"/>
    </row>
    <row r="51" spans="1:16" ht="25.5" customHeight="1">
      <c r="A51" s="94"/>
      <c r="B51" s="2906" t="s">
        <v>1843</v>
      </c>
      <c r="C51" s="2906"/>
      <c r="D51" s="95"/>
      <c r="E51" s="21"/>
      <c r="F51" s="96"/>
      <c r="G51" s="2972"/>
      <c r="H51" s="2194"/>
      <c r="I51" s="2259"/>
      <c r="J51" s="2978" t="s">
        <v>1844</v>
      </c>
      <c r="K51" s="2978"/>
      <c r="L51" s="2978"/>
      <c r="M51" s="2978"/>
      <c r="N51" s="2978"/>
      <c r="O51" s="2978"/>
      <c r="P51" s="1845"/>
    </row>
    <row r="52" spans="1:16" ht="12" customHeight="1">
      <c r="A52" s="97"/>
      <c r="B52" s="2906" t="s">
        <v>1845</v>
      </c>
      <c r="C52" s="2906"/>
      <c r="D52" s="98"/>
      <c r="E52" s="20"/>
      <c r="F52" s="96"/>
      <c r="G52" s="2973"/>
      <c r="H52" s="2194"/>
      <c r="I52" s="2259"/>
      <c r="J52" s="2260" t="s">
        <v>1846</v>
      </c>
      <c r="K52" s="2978" t="s">
        <v>1847</v>
      </c>
      <c r="L52" s="2978"/>
      <c r="M52" s="2260" t="s">
        <v>1848</v>
      </c>
      <c r="N52" s="2260" t="s">
        <v>1849</v>
      </c>
      <c r="O52" s="2260" t="s">
        <v>1850</v>
      </c>
      <c r="P52" s="1845"/>
    </row>
    <row r="53" spans="1:16" ht="24" customHeight="1">
      <c r="A53" s="99" t="s">
        <v>1851</v>
      </c>
      <c r="B53" s="2906" t="s">
        <v>1852</v>
      </c>
      <c r="C53" s="2906"/>
      <c r="D53" s="98">
        <f>ROUND(D46*'数据-取费表'!E29/(1+'数据-取费表'!F30),0)</f>
        <v>0</v>
      </c>
      <c r="E53" s="10" t="s">
        <v>1853</v>
      </c>
      <c r="F53" s="100">
        <f>'数据-取费表'!E29</f>
        <v>5.6000000000000001E-2</v>
      </c>
      <c r="G53" s="2261"/>
      <c r="H53" s="2194"/>
      <c r="I53" s="2259"/>
      <c r="J53" s="1883">
        <v>1</v>
      </c>
      <c r="K53" s="2938" t="s">
        <v>1854</v>
      </c>
      <c r="L53" s="2938"/>
      <c r="M53" s="778">
        <f>D49</f>
        <v>0</v>
      </c>
      <c r="N53" s="1883" t="str">
        <f>E49</f>
        <v>销售额×税（费）率</v>
      </c>
      <c r="O53" s="779">
        <f>F49</f>
        <v>5.6000000000000001E-2</v>
      </c>
      <c r="P53" s="1845"/>
    </row>
    <row r="54" spans="1:16" ht="12" customHeight="1">
      <c r="A54" s="99" t="s">
        <v>1855</v>
      </c>
      <c r="B54" s="2907" t="s">
        <v>1856</v>
      </c>
      <c r="C54" s="2834"/>
      <c r="D54" s="98">
        <f>ROUND(D46*'数据-取费表'!E29/(1+'数据-取费表'!F30),0)</f>
        <v>0</v>
      </c>
      <c r="E54" s="10" t="s">
        <v>1853</v>
      </c>
      <c r="F54" s="100">
        <f>'数据-取费表'!E29</f>
        <v>5.6000000000000001E-2</v>
      </c>
      <c r="G54" s="2261"/>
      <c r="H54" s="2194"/>
      <c r="I54" s="2259"/>
      <c r="J54" s="1883">
        <v>2</v>
      </c>
      <c r="K54" s="2938" t="s">
        <v>1857</v>
      </c>
      <c r="L54" s="2938"/>
      <c r="M54" s="778">
        <f t="shared" ref="M54:O55" si="1">D56</f>
        <v>0</v>
      </c>
      <c r="N54" s="1883" t="str">
        <f t="shared" si="1"/>
        <v>销售额×税（费）率</v>
      </c>
      <c r="O54" s="779">
        <f t="shared" si="1"/>
        <v>5.0000000000000001E-4</v>
      </c>
      <c r="P54" s="1845"/>
    </row>
    <row r="55" spans="1:16" ht="12" customHeight="1">
      <c r="A55" s="99" t="s">
        <v>1858</v>
      </c>
      <c r="B55" s="2907" t="s">
        <v>1859</v>
      </c>
      <c r="C55" s="2834"/>
      <c r="D55" s="98">
        <f>C69</f>
        <v>0</v>
      </c>
      <c r="E55" s="20" t="s">
        <v>1860</v>
      </c>
      <c r="F55" s="100">
        <f>'数据-取费表'!E29</f>
        <v>5.6000000000000001E-2</v>
      </c>
      <c r="G55" s="2261"/>
      <c r="H55" s="2262"/>
      <c r="I55" s="2259"/>
      <c r="J55" s="1883">
        <v>3</v>
      </c>
      <c r="K55" s="2938" t="s">
        <v>1861</v>
      </c>
      <c r="L55" s="2938"/>
      <c r="M55" s="778">
        <f t="shared" si="1"/>
        <v>0</v>
      </c>
      <c r="N55" s="1883" t="str">
        <f t="shared" si="1"/>
        <v>增值额×税（费）率</v>
      </c>
      <c r="O55" s="780" t="str">
        <f t="shared" si="1"/>
        <v>——</v>
      </c>
      <c r="P55" s="1845"/>
    </row>
    <row r="56" spans="1:16" ht="24" customHeight="1">
      <c r="A56" s="2826" t="s">
        <v>1862</v>
      </c>
      <c r="B56" s="2914"/>
      <c r="C56" s="2914"/>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38" t="str">
        <f>IF(H60="非个人房产","——","个人所得税")</f>
        <v>——</v>
      </c>
      <c r="L56" s="2938"/>
      <c r="M56" s="781" t="str">
        <f>D60</f>
        <v>——</v>
      </c>
      <c r="N56" s="1886" t="str">
        <f>E60</f>
        <v>——</v>
      </c>
      <c r="O56" s="782" t="str">
        <f>F60</f>
        <v>——</v>
      </c>
      <c r="P56" s="1845"/>
    </row>
    <row r="57" spans="1:16" ht="24.75">
      <c r="A57" s="2826" t="s">
        <v>1865</v>
      </c>
      <c r="B57" s="2914"/>
      <c r="C57" s="2914"/>
      <c r="D57" s="101">
        <f>IF(H57="个人住宅",D58,D59)</f>
        <v>0</v>
      </c>
      <c r="E57" s="10" t="s">
        <v>1866</v>
      </c>
      <c r="F57" s="100" t="str">
        <f>IF(H57="正常",F59,"免征")</f>
        <v>——</v>
      </c>
      <c r="G57" s="2263" t="s">
        <v>1867</v>
      </c>
      <c r="H57" s="2264" t="s">
        <v>1864</v>
      </c>
      <c r="I57" s="1022"/>
      <c r="J57" s="1883" t="str">
        <f>IF(项目基本情况!I6="上海银行",IF(J56="",4,J56+1),"")</f>
        <v/>
      </c>
      <c r="K57" s="2956" t="str">
        <f>IF(项目基本情况!I6="上海银行","其他处置费用","")</f>
        <v/>
      </c>
      <c r="L57" s="2957"/>
      <c r="M57" s="778" t="str">
        <f>IF(项目基本情况!I6="上海银行",M70,"")</f>
        <v/>
      </c>
      <c r="N57" s="2969" t="str">
        <f>IF(项目基本情况!I6="上海银行","包含处置中涉及的律师、诉讼、拍卖、评估等费用","")</f>
        <v/>
      </c>
      <c r="O57" s="2970"/>
      <c r="P57" s="1845"/>
    </row>
    <row r="58" spans="1:16" ht="12.75">
      <c r="A58" s="99" t="s">
        <v>1840</v>
      </c>
      <c r="B58" s="2904" t="s">
        <v>1868</v>
      </c>
      <c r="C58" s="2915"/>
      <c r="D58" s="103">
        <v>0</v>
      </c>
      <c r="E58" s="13" t="s">
        <v>1842</v>
      </c>
      <c r="F58" s="70"/>
      <c r="G58" s="2261"/>
      <c r="H58" s="1022"/>
      <c r="I58" s="1022"/>
      <c r="J58" s="2938">
        <f>IF(AND(J56="",J57=""),4,IF(项目基本情况!I6="上海银行",J57+1,J56+1))</f>
        <v>4</v>
      </c>
      <c r="K58" s="2938" t="s">
        <v>1869</v>
      </c>
      <c r="L58" s="2265" t="s">
        <v>1870</v>
      </c>
      <c r="M58" s="783"/>
      <c r="N58" s="784">
        <f>SUMIF(M53:M57,"&lt;9e307")</f>
        <v>0</v>
      </c>
      <c r="O58" s="2266"/>
      <c r="P58" s="1841" t="e">
        <f>N58/M50</f>
        <v>#VALUE!</v>
      </c>
    </row>
    <row r="59" spans="1:16" ht="24.75">
      <c r="A59" s="99" t="s">
        <v>1851</v>
      </c>
      <c r="B59" s="2904" t="s">
        <v>1871</v>
      </c>
      <c r="C59" s="2905"/>
      <c r="D59" s="101">
        <f>IF(H59="转让取得",C82,C98)</f>
        <v>0</v>
      </c>
      <c r="E59" s="10" t="s">
        <v>1866</v>
      </c>
      <c r="F59" s="14" t="s">
        <v>48</v>
      </c>
      <c r="G59" s="2261"/>
      <c r="H59" s="2264" t="s">
        <v>1872</v>
      </c>
      <c r="I59" s="1022"/>
      <c r="J59" s="2938"/>
      <c r="K59" s="2938"/>
      <c r="L59" s="2265" t="s">
        <v>1873</v>
      </c>
      <c r="M59" s="785"/>
      <c r="N59" s="2267" t="str">
        <f>IF(H19="元",NUMBERSTRING(INT(N58),2)&amp;"元整",NUMBERSTRING(INT(N58*10000),2)&amp;"元整")</f>
        <v>零元整</v>
      </c>
      <c r="O59" s="2268"/>
      <c r="P59" s="1845"/>
    </row>
    <row r="60" spans="1:16" ht="24.75" thickBot="1">
      <c r="A60" s="2827" t="s">
        <v>1874</v>
      </c>
      <c r="B60" s="2830"/>
      <c r="C60" s="2830"/>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36">
        <f>J58+1</f>
        <v>5</v>
      </c>
      <c r="K60" s="2938" t="s">
        <v>1876</v>
      </c>
      <c r="L60" s="1883" t="s">
        <v>1870</v>
      </c>
      <c r="M60" s="786"/>
      <c r="N60" s="787" t="e">
        <f>M50-N58</f>
        <v>#VALUE!</v>
      </c>
      <c r="O60" s="2270"/>
      <c r="P60" s="1845"/>
    </row>
    <row r="61" spans="1:16" ht="12" customHeight="1">
      <c r="A61" s="2067"/>
      <c r="B61" s="2194"/>
      <c r="C61" s="2194"/>
      <c r="D61" s="2194"/>
      <c r="E61" s="1022"/>
      <c r="F61" s="1022"/>
      <c r="G61" s="1022"/>
      <c r="H61" s="2247"/>
      <c r="I61" s="2194"/>
      <c r="J61" s="2937"/>
      <c r="K61" s="2938"/>
      <c r="L61" s="2265" t="s">
        <v>1873</v>
      </c>
      <c r="M61" s="785"/>
      <c r="N61" s="2267" t="e">
        <f>IF(H19="元",NUMBERSTRING(INT(N60),2)&amp;"元整",NUMBERSTRING(INT(N60*10000),2)&amp;"元整")</f>
        <v>#VALUE!</v>
      </c>
      <c r="O61" s="2268"/>
      <c r="P61" s="1845"/>
    </row>
    <row r="62" spans="1:16" ht="13.5" thickBot="1">
      <c r="A62" s="2919" t="s">
        <v>1877</v>
      </c>
      <c r="B62" s="2919"/>
      <c r="C62" s="2919"/>
      <c r="D62" s="2919"/>
      <c r="E62" s="2919"/>
      <c r="F62" s="1022"/>
      <c r="G62" s="1022"/>
      <c r="H62" s="2247"/>
      <c r="I62" s="2194"/>
      <c r="J62" s="1883">
        <f>J60+1</f>
        <v>6</v>
      </c>
      <c r="K62" s="2938" t="s">
        <v>1878</v>
      </c>
      <c r="L62" s="2938"/>
      <c r="M62" s="788"/>
      <c r="N62" s="789" t="e">
        <f>IF(H19="元",ROUND(N60/项目基本情况!C12,0),ROUND(N60*10000/项目基本情况!C12,0))</f>
        <v>#VALUE!</v>
      </c>
      <c r="O62" s="2271"/>
      <c r="P62" s="1845"/>
    </row>
    <row r="63" spans="1:16" ht="12.75">
      <c r="A63" s="2926" t="s">
        <v>1879</v>
      </c>
      <c r="B63" s="2927"/>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58"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58"/>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58"/>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58"/>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58"/>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7"/>
      <c r="I69" s="2194"/>
      <c r="J69" s="2958"/>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58"/>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30" t="s">
        <v>1899</v>
      </c>
      <c r="B71" s="2931"/>
      <c r="C71" s="2931"/>
      <c r="D71" s="2931"/>
      <c r="E71" s="2931"/>
      <c r="F71" s="2931"/>
      <c r="G71" s="2931"/>
      <c r="H71" s="2931"/>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26" t="s">
        <v>1879</v>
      </c>
      <c r="B72" s="2927"/>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907" t="s">
        <v>1909</v>
      </c>
      <c r="F77" s="2906"/>
      <c r="G77" s="2906"/>
      <c r="H77" s="2921"/>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6.000000000000001E-3</v>
      </c>
      <c r="E79" s="2898" t="s">
        <v>1914</v>
      </c>
      <c r="F79" s="2899"/>
      <c r="G79" s="2899"/>
      <c r="H79" s="2900"/>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30" t="s">
        <v>1918</v>
      </c>
      <c r="B84" s="2931"/>
      <c r="C84" s="2931"/>
      <c r="D84" s="2931"/>
      <c r="E84" s="2931"/>
      <c r="F84" s="2931"/>
      <c r="G84" s="2931"/>
      <c r="H84" s="2931"/>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26" t="s">
        <v>1879</v>
      </c>
      <c r="B85" s="2927"/>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98" t="s">
        <v>1926</v>
      </c>
      <c r="F92" s="2899"/>
      <c r="G92" s="2899"/>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98" t="s">
        <v>1929</v>
      </c>
      <c r="F93" s="2899"/>
      <c r="G93" s="2899"/>
      <c r="H93" s="2900"/>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6.000000000000001E-3</v>
      </c>
      <c r="E94" s="2898" t="s">
        <v>1914</v>
      </c>
      <c r="F94" s="2899"/>
      <c r="G94" s="2899"/>
      <c r="H94" s="2900"/>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98" t="s">
        <v>1931</v>
      </c>
      <c r="F95" s="2899"/>
      <c r="G95" s="2899"/>
      <c r="H95" s="2900"/>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53" t="s">
        <v>1933</v>
      </c>
      <c r="B100" s="2954"/>
      <c r="C100" s="2954"/>
      <c r="D100" s="2955"/>
      <c r="E100" s="2194"/>
      <c r="F100" s="2964" t="s">
        <v>1934</v>
      </c>
      <c r="G100" s="2965"/>
      <c r="H100" s="2965"/>
      <c r="I100" s="2966"/>
    </row>
    <row r="101" spans="1:35" ht="15.75">
      <c r="A101" s="2967" t="s">
        <v>1935</v>
      </c>
      <c r="B101" s="2968"/>
      <c r="C101" s="720">
        <f>C4</f>
        <v>0</v>
      </c>
      <c r="D101" s="721">
        <f>D4</f>
        <v>0</v>
      </c>
      <c r="E101" s="2194"/>
      <c r="F101" s="2863" t="s">
        <v>1936</v>
      </c>
      <c r="G101" s="2864"/>
      <c r="H101" s="2989" t="s">
        <v>1937</v>
      </c>
      <c r="I101" s="2862"/>
    </row>
    <row r="102" spans="1:35" ht="15.75">
      <c r="A102" s="2990" t="s">
        <v>1997</v>
      </c>
      <c r="B102" s="2289" t="str">
        <f>IF(H19="元","总价（元）","总价（万元）")</f>
        <v>总价（元）</v>
      </c>
      <c r="C102" s="720" t="e">
        <f ca="1">C19</f>
        <v>#REF!</v>
      </c>
      <c r="D102" s="721" t="e">
        <f ca="1">D19</f>
        <v>#REF!</v>
      </c>
      <c r="E102" s="2194"/>
      <c r="F102" s="2991"/>
      <c r="G102" s="2992"/>
      <c r="H102" s="2861">
        <f>典型户型修正!B25</f>
        <v>0</v>
      </c>
      <c r="I102" s="2862"/>
    </row>
    <row r="103" spans="1:35" ht="15.75">
      <c r="A103" s="2990"/>
      <c r="B103" s="2289" t="s">
        <v>1939</v>
      </c>
      <c r="C103" s="722" t="e">
        <f ca="1">C20</f>
        <v>#REF!</v>
      </c>
      <c r="D103" s="723" t="e">
        <f ca="1">D20</f>
        <v>#REF!</v>
      </c>
      <c r="E103" s="2194"/>
      <c r="F103" s="2890" t="s">
        <v>1940</v>
      </c>
      <c r="G103" s="2891"/>
      <c r="H103" s="2290" t="str">
        <f>C109</f>
        <v>总价（元）</v>
      </c>
      <c r="I103" s="1862">
        <f>H124</f>
        <v>0</v>
      </c>
    </row>
    <row r="104" spans="1:35" ht="15">
      <c r="A104" s="2990" t="s">
        <v>1998</v>
      </c>
      <c r="B104" s="2291" t="str">
        <f>B102</f>
        <v>总价（元）</v>
      </c>
      <c r="C104" s="1190" t="e">
        <f ca="1">ROUND(IF('数据-取费表'!B4="总价",G19,IF(H19="元",G20*'数据-取费表'!E5,G20*'数据-取费表'!E5/10000)),0)</f>
        <v>#REF!</v>
      </c>
      <c r="D104" s="725"/>
      <c r="E104" s="2194"/>
      <c r="F104" s="2890"/>
      <c r="G104" s="2891"/>
      <c r="H104" s="2290" t="s">
        <v>1939</v>
      </c>
      <c r="I104" s="1050" t="e">
        <f>I124</f>
        <v>#DIV/0!</v>
      </c>
    </row>
    <row r="105" spans="1:35" ht="15.75">
      <c r="A105" s="2990"/>
      <c r="B105" s="2289" t="s">
        <v>1939</v>
      </c>
      <c r="C105" s="1191" t="e">
        <f ca="1">ROUND(IF('数据-取费表'!B4="楼面单价",G20,IF(H19="元",G19/'数据-取费表'!E5,G19*10000/'数据-取费表'!E5)),0)</f>
        <v>#REF!</v>
      </c>
      <c r="D105" s="725"/>
      <c r="E105" s="2194"/>
      <c r="F105" s="2962"/>
      <c r="G105" s="2963"/>
      <c r="H105" s="2947"/>
      <c r="I105" s="2948"/>
    </row>
    <row r="106" spans="1:35" ht="15.75">
      <c r="A106" s="2983" t="s">
        <v>1999</v>
      </c>
      <c r="B106" s="2329" t="str">
        <f>B102</f>
        <v>总价（元）</v>
      </c>
      <c r="C106" s="724">
        <f>H124</f>
        <v>0</v>
      </c>
      <c r="D106" s="1189"/>
      <c r="E106" s="2194"/>
      <c r="F106" s="2951" t="s">
        <v>1943</v>
      </c>
      <c r="G106" s="2952"/>
      <c r="H106" s="2293" t="str">
        <f>C111</f>
        <v>总额（元）</v>
      </c>
      <c r="I106" s="1862">
        <f>SUMIF(I107:I109,"&lt;9E307")</f>
        <v>0</v>
      </c>
    </row>
    <row r="107" spans="1:35" ht="15.75" thickBot="1">
      <c r="A107" s="2946"/>
      <c r="B107" s="2292" t="s">
        <v>1939</v>
      </c>
      <c r="C107" s="726" t="e">
        <f>I124</f>
        <v>#DIV/0!</v>
      </c>
      <c r="D107" s="727"/>
      <c r="E107" s="2194"/>
      <c r="F107" s="2879" t="s">
        <v>1945</v>
      </c>
      <c r="G107" s="2880"/>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86" t="s">
        <v>1942</v>
      </c>
      <c r="B108" s="2987"/>
      <c r="C108" s="2987"/>
      <c r="D108" s="2988"/>
      <c r="E108" s="2194"/>
      <c r="F108" s="2879" t="s">
        <v>1946</v>
      </c>
      <c r="G108" s="2880"/>
      <c r="H108" s="2293" t="str">
        <f>C113</f>
        <v>总额（元）</v>
      </c>
      <c r="I108" s="1050">
        <f>C38</f>
        <v>0</v>
      </c>
      <c r="K108" s="2294"/>
    </row>
    <row r="109" spans="1:35" ht="15">
      <c r="A109" s="2877" t="s">
        <v>2000</v>
      </c>
      <c r="B109" s="2878"/>
      <c r="C109" s="2290" t="str">
        <f>B102</f>
        <v>总价（元）</v>
      </c>
      <c r="D109" s="1051">
        <f>H124</f>
        <v>0</v>
      </c>
      <c r="E109" s="2194"/>
      <c r="F109" s="2879" t="s">
        <v>1948</v>
      </c>
      <c r="G109" s="2880"/>
      <c r="H109" s="2293" t="str">
        <f>C114</f>
        <v>总额（元）</v>
      </c>
      <c r="I109" s="1050">
        <f>C39</f>
        <v>0</v>
      </c>
    </row>
    <row r="110" spans="1:35" ht="15.75">
      <c r="A110" s="2877"/>
      <c r="B110" s="2878"/>
      <c r="C110" s="2290" t="s">
        <v>1939</v>
      </c>
      <c r="D110" s="1052" t="e">
        <f>I124</f>
        <v>#DIV/0!</v>
      </c>
      <c r="E110" s="2194"/>
      <c r="F110" s="2962"/>
      <c r="G110" s="2963"/>
      <c r="H110" s="2949"/>
      <c r="I110" s="2950"/>
    </row>
    <row r="111" spans="1:35" ht="28.5" customHeight="1">
      <c r="A111" s="2884" t="s">
        <v>1947</v>
      </c>
      <c r="B111" s="2885"/>
      <c r="C111" s="2293" t="str">
        <f>IF(H19="元","总额（元）","总额（万元）")</f>
        <v>总额（元）</v>
      </c>
      <c r="D111" s="1051">
        <f>IF(D37="正常操作",I107+I108+I109,I108+I109)</f>
        <v>0</v>
      </c>
      <c r="E111" s="2194"/>
      <c r="F111" s="2865" t="str">
        <f>IF(项目基本情况!F5="已注销","——","3.房地产抵押价值")</f>
        <v>3.房地产抵押价值</v>
      </c>
      <c r="G111" s="2866"/>
      <c r="H111" s="2330" t="str">
        <f>C115</f>
        <v>总价（元）</v>
      </c>
      <c r="I111" s="1862">
        <f>IF(F111="——","——",I103-I106)</f>
        <v>0</v>
      </c>
    </row>
    <row r="112" spans="1:35" ht="15">
      <c r="A112" s="2879" t="s">
        <v>1945</v>
      </c>
      <c r="B112" s="2880"/>
      <c r="C112" s="2293" t="str">
        <f>C111</f>
        <v>总额（元）</v>
      </c>
      <c r="D112" s="637">
        <f>IF(D37="同一抵押权人同一抵押物续贷",C37&amp;"（未扣减，详见特别提示）",C37)</f>
        <v>0</v>
      </c>
      <c r="E112" s="2194"/>
      <c r="F112" s="2981"/>
      <c r="G112" s="2982"/>
      <c r="H112" s="2290" t="s">
        <v>1939</v>
      </c>
      <c r="I112" s="2296" t="e">
        <f>D116</f>
        <v>#DIV/0!</v>
      </c>
    </row>
    <row r="113" spans="1:26" ht="15.75">
      <c r="A113" s="2879" t="s">
        <v>1946</v>
      </c>
      <c r="B113" s="2880"/>
      <c r="C113" s="2293" t="str">
        <f>C111</f>
        <v>总额（元）</v>
      </c>
      <c r="D113" s="637">
        <f>C38</f>
        <v>0</v>
      </c>
      <c r="E113" s="2194"/>
      <c r="F113" s="2865" t="str">
        <f>IF(项目基本情况!F5="已注销及未注销","4.抵押担保权已注销时的房地产抵押价值",IF(项目基本情况!F5="已注销","3.抵押担保权已注销时的房地产抵押价值","——"))</f>
        <v>——</v>
      </c>
      <c r="G113" s="2866"/>
      <c r="H113" s="2330" t="str">
        <f>C117</f>
        <v>总价（元）</v>
      </c>
      <c r="I113" s="1862" t="str">
        <f>IF(F113="——","——",I103-I108-I109)</f>
        <v>——</v>
      </c>
    </row>
    <row r="114" spans="1:26" ht="15">
      <c r="A114" s="2879" t="s">
        <v>1948</v>
      </c>
      <c r="B114" s="2880"/>
      <c r="C114" s="2293" t="str">
        <f>C111</f>
        <v>总额（元）</v>
      </c>
      <c r="D114" s="637">
        <f>C39</f>
        <v>0</v>
      </c>
      <c r="E114" s="2194"/>
      <c r="F114" s="2981"/>
      <c r="G114" s="2982"/>
      <c r="H114" s="2290" t="s">
        <v>1939</v>
      </c>
      <c r="I114" s="1050" t="str">
        <f>D118</f>
        <v>——</v>
      </c>
    </row>
    <row r="115" spans="1:26" ht="15.75">
      <c r="A115" s="2877" t="str">
        <f>IF(项目基本情况!F5="已注销","——","3.房地产抵押价值")</f>
        <v>3.房地产抵押价值</v>
      </c>
      <c r="B115" s="2878"/>
      <c r="C115" s="2290" t="str">
        <f>B102</f>
        <v>总价（元）</v>
      </c>
      <c r="D115" s="1051">
        <f>IF(A115="——","——",D109-D111)</f>
        <v>0</v>
      </c>
      <c r="E115" s="2194"/>
      <c r="F115" s="2865" t="str">
        <f>IF(项目基本情况!G5="抵押净值",IF(OR(项目基本情况!F5="已注销",项目基本情况!F5="房地产抵押价值"),"4.抵押净值","5.抵押净值"),"——")</f>
        <v>——</v>
      </c>
      <c r="G115" s="2866"/>
      <c r="H115" s="2290" t="str">
        <f>C119</f>
        <v>总价（元）</v>
      </c>
      <c r="I115" s="1862" t="str">
        <f>IF(F115="——","——",N60)</f>
        <v>——</v>
      </c>
    </row>
    <row r="116" spans="1:26" ht="15.75" thickBot="1">
      <c r="A116" s="2877"/>
      <c r="B116" s="2878"/>
      <c r="C116" s="2290" t="s">
        <v>2001</v>
      </c>
      <c r="D116" s="1052" t="e">
        <f>ROUND(IF(D115=D109,D110,IF(H19="元",D115/B124,D115*10000/B124)),0)</f>
        <v>#DIV/0!</v>
      </c>
      <c r="E116" s="2194"/>
      <c r="F116" s="2867"/>
      <c r="G116" s="2868"/>
      <c r="H116" s="2298" t="s">
        <v>2001</v>
      </c>
      <c r="I116" s="1864" t="str">
        <f>D120</f>
        <v>——</v>
      </c>
    </row>
    <row r="117" spans="1:26" ht="15.75">
      <c r="A117" s="2877" t="str">
        <f>IF(项目基本情况!F5="已注销及未注销","4.抵押担保权已注销时的房地产抵押价值",IF(项目基本情况!F5="已注销","3.抵押担保权已注销时的房地产抵押价值","——"))</f>
        <v>——</v>
      </c>
      <c r="B117" s="2878"/>
      <c r="C117" s="2290" t="str">
        <f>B102</f>
        <v>总价（元）</v>
      </c>
      <c r="D117" s="1051" t="str">
        <f>IF(A117="——","——",D109-D113-D114)</f>
        <v>——</v>
      </c>
      <c r="E117" s="2194"/>
      <c r="F117" s="2977"/>
      <c r="G117" s="2977"/>
      <c r="H117" s="2933"/>
      <c r="I117" s="2933"/>
      <c r="N117" s="55"/>
      <c r="O117" s="55"/>
    </row>
    <row r="118" spans="1:26" s="1845" customFormat="1" ht="15">
      <c r="A118" s="2877"/>
      <c r="B118" s="2878"/>
      <c r="C118" s="2290" t="s">
        <v>2001</v>
      </c>
      <c r="D118" s="1052" t="str">
        <f>IF(A117="——","——",IF(H19="元",ROUND(D117/B124,0),ROUND(D117*10000/B124,0)))</f>
        <v>——</v>
      </c>
      <c r="E118" s="2194"/>
      <c r="F118" s="2985" t="str">
        <f>IF(B32="总价","（以上估价结果中楼面单价为总价除以建筑面积得出）","（以上估价结果中总价为楼面单价乘以建筑面积得出）")</f>
        <v>（以上估价结果中总价为楼面单价乘以建筑面积得出）</v>
      </c>
      <c r="G118" s="2985"/>
      <c r="H118" s="2985"/>
      <c r="I118" s="2985"/>
      <c r="J118" s="798"/>
      <c r="K118" s="798"/>
      <c r="L118" s="798"/>
      <c r="M118" s="798"/>
      <c r="N118" s="55"/>
      <c r="O118" s="55"/>
      <c r="P118" s="798"/>
      <c r="Q118" s="798"/>
      <c r="R118" s="798"/>
      <c r="S118" s="798"/>
      <c r="T118" s="798"/>
      <c r="U118" s="798"/>
      <c r="V118" s="798"/>
      <c r="W118" s="798"/>
      <c r="X118" s="798"/>
      <c r="Y118" s="798"/>
      <c r="Z118" s="798"/>
    </row>
    <row r="119" spans="1:26" s="1845" customFormat="1" ht="15">
      <c r="A119" s="2877" t="str">
        <f>IF(项目基本情况!G5="抵押净值",IF(OR(项目基本情况!F5="已注销",项目基本情况!F5="房地产抵押价值"),"4.抵押净值","5.抵押净值"),"——")</f>
        <v>——</v>
      </c>
      <c r="B119" s="2878"/>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2"/>
      <c r="B120" s="2883"/>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34" t="s">
        <v>2002</v>
      </c>
      <c r="B121" s="2935"/>
      <c r="C121" s="2935"/>
      <c r="D121" s="2935"/>
      <c r="E121" s="2935"/>
      <c r="F121" s="2935"/>
      <c r="G121" s="2935"/>
      <c r="H121" s="2935"/>
      <c r="I121" s="2935"/>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8" t="s">
        <v>1950</v>
      </c>
      <c r="B122" s="2888" t="s">
        <v>2003</v>
      </c>
      <c r="C122" s="2888" t="s">
        <v>2004</v>
      </c>
      <c r="D122" s="2960" t="s">
        <v>1953</v>
      </c>
      <c r="E122" s="2961"/>
      <c r="F122" s="2859" t="s">
        <v>2005</v>
      </c>
      <c r="G122" s="2859"/>
      <c r="H122" s="2859" t="s">
        <v>1954</v>
      </c>
      <c r="I122" s="2959"/>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8"/>
      <c r="B123" s="2889"/>
      <c r="C123" s="2889"/>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8" t="s">
        <v>1958</v>
      </c>
      <c r="B125" s="2859"/>
      <c r="C125" s="2859"/>
      <c r="D125" s="2892" t="str">
        <f>IF(H19="元",NUMBERSTRING(INT(D124),2)&amp;"元整",NUMBERSTRING(INT(D124*10000),2)&amp;"元整")</f>
        <v>零元整</v>
      </c>
      <c r="E125" s="2939"/>
      <c r="F125" s="2892" t="str">
        <f>IF(H19="元",NUMBERSTRING(INT(F124),2)&amp;"元整",NUMBERSTRING(INT(F124*10000),2)&amp;"元整")</f>
        <v>零元整</v>
      </c>
      <c r="G125" s="2939"/>
      <c r="H125" s="2892" t="str">
        <f>IF(H19="元",NUMBERSTRING(INT(H124),2)&amp;"元整",NUMBERSTRING(INT(H124*10000),2)&amp;"元整")</f>
        <v>零元整</v>
      </c>
      <c r="I125" s="2893"/>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0" t="str">
        <f>IF(项目基本情况!D5="房地产市场价值","——",MID(A111,3,LEN(A111)-2))</f>
        <v>——</v>
      </c>
      <c r="B126" s="2870"/>
      <c r="C126" s="2941"/>
      <c r="D126" s="2869">
        <f>I106</f>
        <v>0</v>
      </c>
      <c r="E126" s="2870"/>
      <c r="F126" s="2870"/>
      <c r="G126" s="2870"/>
      <c r="H126" s="2870"/>
      <c r="I126" s="2871"/>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2" t="s">
        <v>1958</v>
      </c>
      <c r="B127" s="2943"/>
      <c r="C127" s="2944"/>
      <c r="D127" s="2872">
        <f>H110</f>
        <v>0</v>
      </c>
      <c r="E127" s="2873"/>
      <c r="F127" s="2873"/>
      <c r="G127" s="2873"/>
      <c r="H127" s="2873"/>
      <c r="I127" s="2874"/>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5" t="str">
        <f>IF(项目基本情况!D5="房地产市场价值","——",MID(A115,3,LEN(A115)-2))</f>
        <v>——</v>
      </c>
      <c r="B128" s="2876"/>
      <c r="C128" s="2876"/>
      <c r="D128" s="2869">
        <f>I111</f>
        <v>0</v>
      </c>
      <c r="E128" s="2870"/>
      <c r="F128" s="2870"/>
      <c r="G128" s="2870"/>
      <c r="H128" s="2870"/>
      <c r="I128" s="2871"/>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8" t="s">
        <v>1958</v>
      </c>
      <c r="B129" s="2859"/>
      <c r="C129" s="2859"/>
      <c r="D129" s="2872" t="e">
        <f>I112</f>
        <v>#DIV/0!</v>
      </c>
      <c r="E129" s="2873"/>
      <c r="F129" s="2873"/>
      <c r="G129" s="2873"/>
      <c r="H129" s="2873"/>
      <c r="I129" s="2874"/>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5" t="str">
        <f>IF(项目基本情况!D5="房地产市场价值","——",MID(A117,3,LEN(A117)-2))</f>
        <v>——</v>
      </c>
      <c r="B130" s="2876"/>
      <c r="C130" s="2876"/>
      <c r="D130" s="2974" t="str">
        <f>I113</f>
        <v>——</v>
      </c>
      <c r="E130" s="2975"/>
      <c r="F130" s="2975"/>
      <c r="G130" s="2975"/>
      <c r="H130" s="2975"/>
      <c r="I130" s="2976"/>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8" t="s">
        <v>1958</v>
      </c>
      <c r="B131" s="2859"/>
      <c r="C131" s="2860"/>
      <c r="D131" s="2932" t="str">
        <f>I114</f>
        <v>——</v>
      </c>
      <c r="E131" s="2932"/>
      <c r="F131" s="2932"/>
      <c r="G131" s="2932"/>
      <c r="H131" s="2932"/>
      <c r="I131" s="2932"/>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5" t="str">
        <f>IF(项目基本情况!D5="房地产市场价值","——",MID(F115,3,LEN(F115)-2))</f>
        <v>——</v>
      </c>
      <c r="B132" s="2876"/>
      <c r="C132" s="2869"/>
      <c r="D132" s="2881" t="str">
        <f>I115</f>
        <v>——</v>
      </c>
      <c r="E132" s="2881"/>
      <c r="F132" s="2881"/>
      <c r="G132" s="2881"/>
      <c r="H132" s="2881"/>
      <c r="I132" s="288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6" t="s">
        <v>1958</v>
      </c>
      <c r="B133" s="2887"/>
      <c r="C133" s="2887"/>
      <c r="D133" s="2894">
        <f>H117</f>
        <v>0</v>
      </c>
      <c r="E133" s="2895"/>
      <c r="F133" s="2895"/>
      <c r="G133" s="2895"/>
      <c r="H133" s="2895"/>
      <c r="I133" s="2896"/>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6" t="str">
        <f>IF(B32="总价","（以上估价结果中楼面单价为总价除以建筑面积得出）","（以上估价结果中总价为楼面单价乘以建筑面积得出）")</f>
        <v>（以上估价结果中总价为楼面单价乘以建筑面积得出）</v>
      </c>
      <c r="B135" s="2856"/>
      <c r="C135" s="2856"/>
      <c r="D135" s="2856"/>
      <c r="E135" s="2856"/>
      <c r="F135" s="2856"/>
      <c r="G135" s="2856"/>
      <c r="H135" s="2856"/>
      <c r="I135" s="2856"/>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1622330</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51881</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4"/>
    </row>
    <row r="9" spans="1:7" s="175" customFormat="1" ht="13.5" customHeight="1">
      <c r="A9" s="1304" t="s">
        <v>953</v>
      </c>
      <c r="B9" s="181" t="s">
        <v>2022</v>
      </c>
      <c r="C9" s="1537">
        <f>ROUND(D9*E9,0)</f>
        <v>5003</v>
      </c>
      <c r="D9" s="1538">
        <f>IF('数据-取费表'!B10="住宅",IF(B1="仅计算典型户型",'数据-取费表'!E5,'数据-取费表'!B5),0)</f>
        <v>31.27</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6254</v>
      </c>
      <c r="D19" s="1541">
        <f>IF(B1="仅计算典型户型",'数据-取费表'!E5,'数据-取费表'!B5)</f>
        <v>31.27</v>
      </c>
      <c r="E19" s="195">
        <f>'数据-取费表'!E15</f>
        <v>200</v>
      </c>
      <c r="F19" s="196"/>
      <c r="G19" s="2334"/>
    </row>
    <row r="20" spans="1:7" s="175" customFormat="1" ht="13.5" customHeight="1">
      <c r="A20" s="204" t="s">
        <v>2035</v>
      </c>
      <c r="B20" s="173" t="s">
        <v>2036</v>
      </c>
      <c r="C20" s="183">
        <f>ROUND((C5+C19)*F20,0)</f>
        <v>31103</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102308</v>
      </c>
      <c r="D22" s="185">
        <f ca="1">C26</f>
        <v>1.4E-3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608</v>
      </c>
      <c r="D24" s="188"/>
      <c r="E24" s="188"/>
      <c r="F24" s="189"/>
      <c r="G24" s="190" t="s">
        <v>2048</v>
      </c>
    </row>
    <row r="25" spans="1:7" s="175" customFormat="1" ht="24">
      <c r="A25" s="176" t="s">
        <v>2020</v>
      </c>
      <c r="B25" s="177" t="s">
        <v>2049</v>
      </c>
      <c r="C25" s="1455">
        <f ca="1">ROUND(IF('数据-取费表'!B23&lt;=1,C20*F22*'数据-取费表'!B24/2,C20*(POWER((1+F22),'数据-取费表'!B24/2)-1)),0)</f>
        <v>1477</v>
      </c>
      <c r="D25" s="188"/>
      <c r="E25" s="191"/>
      <c r="F25" s="189"/>
      <c r="G25" s="192" t="s">
        <v>2050</v>
      </c>
    </row>
    <row r="26" spans="1:7" s="175" customFormat="1">
      <c r="A26" s="176" t="s">
        <v>2051</v>
      </c>
      <c r="B26" s="177" t="s">
        <v>2052</v>
      </c>
      <c r="C26" s="188">
        <f ca="1">ROUND(IF('数据-取费表'!B23&lt;=1,F21*F22*'数据-取费表'!B24/2,F21*(POWER((1+F22),'数据-取费表'!B24/2)-1)),4)</f>
        <v>1.4E-3</v>
      </c>
      <c r="D26" s="188"/>
      <c r="E26" s="191"/>
      <c r="F26" s="189"/>
      <c r="G26" s="193"/>
    </row>
    <row r="27" spans="1:7" s="175" customFormat="1" ht="25.5">
      <c r="A27" s="1305" t="s">
        <v>2053</v>
      </c>
      <c r="B27" s="194" t="s">
        <v>2054</v>
      </c>
      <c r="C27" s="195">
        <f>C28</f>
        <v>213571</v>
      </c>
      <c r="D27" s="185">
        <f>C29</f>
        <v>6.0000000000000001E-3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213571</v>
      </c>
      <c r="D28" s="185"/>
      <c r="E28" s="186"/>
      <c r="F28" s="196"/>
      <c r="G28" s="197"/>
    </row>
    <row r="29" spans="1:7" s="175" customFormat="1" ht="13.5" customHeight="1">
      <c r="A29" s="176" t="s">
        <v>2018</v>
      </c>
      <c r="B29" s="198" t="s">
        <v>2057</v>
      </c>
      <c r="C29" s="188">
        <f>ROUND(C21*F27*'数据-取费表'!B22/'数据-取费表'!B21,4)</f>
        <v>6.0000000000000001E-3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1521760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88963</v>
      </c>
      <c r="D33" s="183"/>
      <c r="E33" s="1532"/>
      <c r="F33" s="191"/>
      <c r="G33" s="184"/>
    </row>
    <row r="34" spans="1:7" s="206" customFormat="1" ht="13.5" customHeight="1">
      <c r="A34" s="176" t="s">
        <v>2044</v>
      </c>
      <c r="B34" s="177" t="s">
        <v>2066</v>
      </c>
      <c r="C34" s="199">
        <f>IF(B1="仅计算典型户型",'数据-取费表'!F18,'数据-取费表'!E18)</f>
        <v>72234</v>
      </c>
      <c r="D34" s="1533"/>
      <c r="E34" s="199"/>
      <c r="F34" s="1544" t="str">
        <f>IF('数据-取费表'!B25=0,"",'数据-取费表'!E20)</f>
        <v/>
      </c>
      <c r="G34" s="179"/>
    </row>
    <row r="35" spans="1:7" ht="13.5" customHeight="1">
      <c r="A35" s="176" t="s">
        <v>2018</v>
      </c>
      <c r="B35" s="177" t="s">
        <v>2067</v>
      </c>
      <c r="C35" s="199">
        <f>ROUND(C34*F35,0)</f>
        <v>3612</v>
      </c>
      <c r="D35" s="199"/>
      <c r="E35" s="199"/>
      <c r="F35" s="1545">
        <f>'数据-取费表'!E21</f>
        <v>0.05</v>
      </c>
      <c r="G35" s="179" t="s">
        <v>2068</v>
      </c>
    </row>
    <row r="36" spans="1:7" ht="24">
      <c r="A36" s="176" t="s">
        <v>2020</v>
      </c>
      <c r="B36" s="177" t="s">
        <v>2069</v>
      </c>
      <c r="C36" s="199">
        <f>ROUND(IF('数据-取费表'!B10="住宅",C34*F36,0),0)</f>
        <v>5779</v>
      </c>
      <c r="D36" s="199"/>
      <c r="E36" s="199"/>
      <c r="F36" s="1545">
        <f>'数据-取费表'!E22</f>
        <v>0.08</v>
      </c>
      <c r="G36" s="207" t="s">
        <v>2070</v>
      </c>
    </row>
    <row r="37" spans="1:7" s="206" customFormat="1" ht="13.5" customHeight="1">
      <c r="A37" s="176" t="s">
        <v>2051</v>
      </c>
      <c r="B37" s="177" t="s">
        <v>2071</v>
      </c>
      <c r="C37" s="199">
        <f>ROUND(E37*D37,0)</f>
        <v>6254</v>
      </c>
      <c r="D37" s="1533">
        <f>IF(B1="仅计算典型户型",'数据-取费表'!E5,'数据-取费表'!B5)</f>
        <v>31.27</v>
      </c>
      <c r="E37" s="199">
        <f>'数据-取费表'!E23</f>
        <v>200</v>
      </c>
      <c r="F37" s="1545"/>
      <c r="G37" s="208" t="s">
        <v>2072</v>
      </c>
    </row>
    <row r="38" spans="1:7" ht="13.5" customHeight="1">
      <c r="A38" s="176" t="s">
        <v>2073</v>
      </c>
      <c r="B38" s="177" t="s">
        <v>2074</v>
      </c>
      <c r="C38" s="199">
        <f>ROUND(C34*F38,0)</f>
        <v>1084</v>
      </c>
      <c r="D38" s="199"/>
      <c r="E38" s="199"/>
      <c r="F38" s="1545">
        <f>'数据-取费表'!E24</f>
        <v>1.4999999999999999E-2</v>
      </c>
      <c r="G38" s="179" t="s">
        <v>2068</v>
      </c>
    </row>
    <row r="39" spans="1:7" s="175" customFormat="1" ht="13.5" customHeight="1">
      <c r="A39" s="204" t="s">
        <v>2033</v>
      </c>
      <c r="B39" s="173" t="s">
        <v>2036</v>
      </c>
      <c r="C39" s="183">
        <f>ROUND(C33*F20,0)</f>
        <v>2669</v>
      </c>
      <c r="D39" s="183"/>
      <c r="E39" s="183"/>
      <c r="F39" s="187"/>
      <c r="G39" s="184" t="s">
        <v>2075</v>
      </c>
    </row>
    <row r="40" spans="1:7" s="175" customFormat="1" ht="13.5" customHeight="1">
      <c r="A40" s="204" t="s">
        <v>2035</v>
      </c>
      <c r="B40" s="173" t="s">
        <v>2039</v>
      </c>
      <c r="C40" s="1819">
        <f>F21</f>
        <v>0.03</v>
      </c>
      <c r="D40" s="186" t="s">
        <v>2076</v>
      </c>
      <c r="E40" s="183"/>
      <c r="F40" s="187"/>
      <c r="G40" s="184" t="s">
        <v>2077</v>
      </c>
    </row>
    <row r="41" spans="1:7" s="175" customFormat="1" ht="13.5" customHeight="1">
      <c r="A41" s="204" t="s">
        <v>2038</v>
      </c>
      <c r="B41" s="173" t="s">
        <v>2043</v>
      </c>
      <c r="C41" s="183">
        <f ca="1">ROUND(SUM(C42:C43),0)</f>
        <v>4353</v>
      </c>
      <c r="D41" s="185">
        <f ca="1">C44</f>
        <v>1.4E-3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4226</v>
      </c>
      <c r="D42" s="188"/>
      <c r="E42" s="188"/>
      <c r="F42" s="189"/>
      <c r="G42" s="2995" t="s">
        <v>2078</v>
      </c>
    </row>
    <row r="43" spans="1:7" ht="13.5" customHeight="1">
      <c r="A43" s="176" t="s">
        <v>2018</v>
      </c>
      <c r="B43" s="177" t="s">
        <v>2047</v>
      </c>
      <c r="C43" s="188">
        <f ca="1">ROUND(IF('数据-取费表'!B23&lt;=1,C39*F22*'数据-取费表'!B22/2,C39*(POWER((1+F22),'数据-取费表'!B22/2)-1)),0)</f>
        <v>127</v>
      </c>
      <c r="D43" s="188"/>
      <c r="E43" s="188"/>
      <c r="F43" s="189"/>
      <c r="G43" s="2996"/>
    </row>
    <row r="44" spans="1:7" ht="13.5" customHeight="1">
      <c r="A44" s="176" t="s">
        <v>2020</v>
      </c>
      <c r="B44" s="177" t="s">
        <v>2049</v>
      </c>
      <c r="C44" s="188">
        <f ca="1">ROUND(IF('数据-取费表'!B23&lt;=1,C40*F22*'数据-取费表'!B22/2,C40*(POWER((1+F22),'数据-取费表'!B22/2)-1)),4)</f>
        <v>1.4E-3</v>
      </c>
      <c r="D44" s="188"/>
      <c r="E44" s="188"/>
      <c r="F44" s="189"/>
      <c r="G44" s="2997"/>
    </row>
    <row r="45" spans="1:7" s="175" customFormat="1" ht="13.5" customHeight="1">
      <c r="A45" s="204" t="s">
        <v>2042</v>
      </c>
      <c r="B45" s="194" t="s">
        <v>2054</v>
      </c>
      <c r="C45" s="195">
        <f>C46</f>
        <v>18326</v>
      </c>
      <c r="D45" s="185">
        <f>C47</f>
        <v>6.0000000000000001E-3</v>
      </c>
      <c r="E45" s="186" t="s">
        <v>2076</v>
      </c>
      <c r="F45" s="196"/>
      <c r="G45" s="197" t="s">
        <v>2079</v>
      </c>
    </row>
    <row r="46" spans="1:7" s="175" customFormat="1" ht="13.5" customHeight="1">
      <c r="A46" s="176" t="s">
        <v>2044</v>
      </c>
      <c r="B46" s="198" t="s">
        <v>2080</v>
      </c>
      <c r="C46" s="199">
        <f>ROUND((C33+C39)*F27,0)</f>
        <v>18326</v>
      </c>
      <c r="D46" s="209"/>
      <c r="E46" s="186"/>
      <c r="F46" s="196"/>
      <c r="G46" s="197"/>
    </row>
    <row r="47" spans="1:7" s="175" customFormat="1" ht="13.5" customHeight="1">
      <c r="A47" s="176" t="s">
        <v>2018</v>
      </c>
      <c r="B47" s="198" t="s">
        <v>2081</v>
      </c>
      <c r="C47" s="188">
        <f>ROUND(C40*F27,4)</f>
        <v>6.0000000000000001E-3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125713</v>
      </c>
      <c r="D49" s="183"/>
      <c r="E49" s="183"/>
      <c r="F49" s="210"/>
      <c r="G49" s="184" t="s">
        <v>2086</v>
      </c>
    </row>
    <row r="50" spans="1:7" s="206" customFormat="1" ht="24">
      <c r="A50" s="1305" t="s">
        <v>2087</v>
      </c>
      <c r="B50" s="173" t="s">
        <v>2088</v>
      </c>
      <c r="C50" s="183"/>
      <c r="D50" s="183"/>
      <c r="E50" s="183"/>
      <c r="F50" s="210">
        <f>IF('数据-取费表'!B25=0,'数据-取费表'!E20,1)</f>
        <v>0.8</v>
      </c>
      <c r="G50" s="197" t="s">
        <v>2089</v>
      </c>
    </row>
    <row r="51" spans="1:7" ht="16.5" customHeight="1">
      <c r="A51" s="1305" t="s">
        <v>2090</v>
      </c>
      <c r="B51" s="173" t="s">
        <v>2091</v>
      </c>
      <c r="C51" s="183">
        <f ca="1">ROUND(C49*F50,0)</f>
        <v>100570</v>
      </c>
      <c r="D51" s="183"/>
      <c r="E51" s="183"/>
      <c r="F51" s="210"/>
      <c r="G51" s="184" t="s">
        <v>2092</v>
      </c>
    </row>
    <row r="52" spans="1:7" s="172" customFormat="1" ht="16.5" thickBot="1">
      <c r="A52" s="211" t="s">
        <v>2093</v>
      </c>
      <c r="B52" s="212"/>
      <c r="C52" s="213">
        <f ca="1">C31+C51</f>
        <v>1622330</v>
      </c>
      <c r="D52" s="212"/>
      <c r="E52" s="212"/>
      <c r="F52" s="212"/>
      <c r="G52" s="214"/>
    </row>
    <row r="55" spans="1:7" ht="15">
      <c r="B55" s="216" t="s">
        <v>2094</v>
      </c>
      <c r="C55" s="217"/>
    </row>
    <row r="56" spans="1:7">
      <c r="B56" s="219" t="s">
        <v>2095</v>
      </c>
      <c r="C56" s="220">
        <f ca="1">ROUND(C51/C52,3)</f>
        <v>6.2E-2</v>
      </c>
    </row>
    <row r="57" spans="1:7">
      <c r="B57" s="219" t="s">
        <v>2096</v>
      </c>
      <c r="C57" s="221">
        <f ca="1">1-C56</f>
        <v>0.93799999999999994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0.05</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0.03</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0.03</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B27" sqref="B2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2823</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174617</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5584</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11414</v>
      </c>
      <c r="D5" s="2336" t="s">
        <v>2106</v>
      </c>
      <c r="E5" s="1214"/>
      <c r="F5" s="1383"/>
      <c r="G5" s="1238"/>
      <c r="H5" s="316">
        <v>1</v>
      </c>
      <c r="I5" s="317" t="s">
        <v>2105</v>
      </c>
      <c r="J5" s="318">
        <f ca="1">J6+J10+J12</f>
        <v>0</v>
      </c>
      <c r="K5" s="2336" t="s">
        <v>2106</v>
      </c>
      <c r="L5" s="1214"/>
      <c r="M5" s="1383"/>
    </row>
    <row r="6" spans="1:37" ht="18" customHeight="1">
      <c r="A6" s="1384" t="s">
        <v>2107</v>
      </c>
      <c r="B6" s="2024" t="s">
        <v>2108</v>
      </c>
      <c r="C6" s="318">
        <f>ROUND(F6*F8*F7*(1-F9),0)</f>
        <v>11400</v>
      </c>
      <c r="D6" s="80" t="s">
        <v>2803</v>
      </c>
      <c r="E6" s="319" t="s">
        <v>2109</v>
      </c>
      <c r="F6" s="320">
        <f>'数据-取费表'!B29</f>
        <v>1000</v>
      </c>
      <c r="G6" s="1238"/>
      <c r="H6" s="1384" t="s">
        <v>2107</v>
      </c>
      <c r="I6" s="2024"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14</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100570</v>
      </c>
      <c r="D13" s="1422" t="s">
        <v>2124</v>
      </c>
      <c r="E13" s="1422" t="s">
        <v>2125</v>
      </c>
      <c r="F13" s="1423">
        <f>'数据-取费表'!E20</f>
        <v>0.8</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72234</v>
      </c>
      <c r="D14" s="1888" t="s">
        <v>2128</v>
      </c>
      <c r="E14" s="1889"/>
      <c r="F14" s="979"/>
      <c r="G14" s="1239"/>
      <c r="H14" s="337" t="s">
        <v>2107</v>
      </c>
      <c r="I14" s="319" t="s">
        <v>2129</v>
      </c>
      <c r="J14" s="14">
        <f ca="1">C29</f>
        <v>125713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3612</v>
      </c>
      <c r="D15" s="339" t="s">
        <v>2132</v>
      </c>
      <c r="E15" s="339" t="s">
        <v>2133</v>
      </c>
      <c r="F15" s="340">
        <f>'数据-取费表'!E21</f>
        <v>0.05</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5779</v>
      </c>
      <c r="D16" s="319" t="s">
        <v>2132</v>
      </c>
      <c r="E16" s="319" t="s">
        <v>2133</v>
      </c>
      <c r="F16" s="342">
        <f>IF('数据-取费表'!B10="住宅",'数据-取费表'!E22,0)</f>
        <v>0.08</v>
      </c>
      <c r="G16" s="1239"/>
      <c r="H16" s="1420" t="s">
        <v>14</v>
      </c>
      <c r="I16" s="1421" t="s">
        <v>2138</v>
      </c>
      <c r="J16" s="327">
        <f ca="1">ROUND(J17+J22+J23+J24,0)</f>
        <v>1886</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6254</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1084</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88963</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2669</v>
      </c>
      <c r="D20" s="344" t="s">
        <v>2158</v>
      </c>
      <c r="E20" s="319" t="s">
        <v>2159</v>
      </c>
      <c r="F20" s="342">
        <f>'数据-取费表'!E25</f>
        <v>0.03</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0.03</v>
      </c>
      <c r="D21" s="344" t="s">
        <v>2165</v>
      </c>
      <c r="E21" s="319" t="s">
        <v>2166</v>
      </c>
      <c r="F21" s="342">
        <f>'数据-取费表'!E26</f>
        <v>0.03</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1886</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4353</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2E-3</v>
      </c>
    </row>
    <row r="24" spans="1:37" s="341" customFormat="1" ht="18" customHeight="1" thickBot="1">
      <c r="A24" s="337" t="s">
        <v>2177</v>
      </c>
      <c r="B24" s="319" t="s">
        <v>2178</v>
      </c>
      <c r="C24" s="14">
        <f ca="1">ROUND(IF('数据-取费表'!B23&lt;=1,F21*F24*F23/2,F21*(POWER((1+F24),F23/2)-1)),4)</f>
        <v>1.4E-3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-1886</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18326</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0.05</v>
      </c>
    </row>
    <row r="27" spans="1:37" ht="18" customHeight="1">
      <c r="A27" s="337" t="s">
        <v>2192</v>
      </c>
      <c r="B27" s="319" t="s">
        <v>2193</v>
      </c>
      <c r="C27" s="14">
        <f>ROUND(F21*F26,4)</f>
        <v>6.0000000000000001E-3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125713</v>
      </c>
      <c r="D29" s="1433"/>
      <c r="E29" s="1431"/>
      <c r="F29" s="1434"/>
      <c r="G29" s="791"/>
      <c r="H29" s="356" t="s">
        <v>24</v>
      </c>
      <c r="I29" s="357" t="s">
        <v>2203</v>
      </c>
      <c r="J29" s="358">
        <f ca="1">ROUND(J26/(1+F40)^F41,0)</f>
        <v>0</v>
      </c>
      <c r="K29" s="359" t="s">
        <v>2204</v>
      </c>
      <c r="L29" s="360"/>
      <c r="M29" s="361">
        <f>IF(D1="仅计算典型户型",'数据-取费表'!E5,'数据-取费表'!B5)</f>
        <v>31.27</v>
      </c>
    </row>
    <row r="30" spans="1:37" ht="18" customHeight="1" thickTop="1">
      <c r="A30" s="1420" t="s">
        <v>14</v>
      </c>
      <c r="B30" s="1421" t="s">
        <v>2205</v>
      </c>
      <c r="C30" s="327">
        <f ca="1">ROUND(C31+C36+C37+C38,0)</f>
        <v>2772</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570.70000000000005</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6034</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1886</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201</v>
      </c>
      <c r="D37" s="1893" t="s">
        <v>2175</v>
      </c>
      <c r="E37" s="319" t="s">
        <v>2176</v>
      </c>
      <c r="F37" s="351">
        <f>'数据-取费表'!B45</f>
        <v>2E-3</v>
      </c>
      <c r="G37" s="791"/>
      <c r="H37" s="1230"/>
      <c r="I37" s="216" t="s">
        <v>2217</v>
      </c>
      <c r="J37" s="371"/>
      <c r="K37" s="1234"/>
      <c r="L37" s="1230"/>
      <c r="M37" s="1230"/>
    </row>
    <row r="38" spans="1:18" ht="18" customHeight="1" thickBot="1">
      <c r="A38" s="1430" t="s">
        <v>2168</v>
      </c>
      <c r="B38" s="1431" t="s">
        <v>2157</v>
      </c>
      <c r="C38" s="1432">
        <f ca="1">ROUND(C5*F38,0)</f>
        <v>114</v>
      </c>
      <c r="D38" s="1433" t="s">
        <v>2180</v>
      </c>
      <c r="E38" s="1431" t="s">
        <v>2176</v>
      </c>
      <c r="F38" s="1426">
        <f>'数据-取费表'!B46</f>
        <v>0.01</v>
      </c>
      <c r="G38" s="791"/>
      <c r="H38" s="1230"/>
      <c r="I38" s="365" t="s">
        <v>2218</v>
      </c>
      <c r="J38" s="220">
        <f ca="1">ROUND(J34/C39,3)</f>
        <v>0.69799999999999995</v>
      </c>
      <c r="K38" s="1235"/>
      <c r="L38" s="1230"/>
      <c r="M38" s="1230"/>
    </row>
    <row r="39" spans="1:18" ht="18" customHeight="1" thickTop="1">
      <c r="A39" s="1420" t="s">
        <v>22</v>
      </c>
      <c r="B39" s="1435" t="s">
        <v>2219</v>
      </c>
      <c r="C39" s="327">
        <f ca="1">C5-C30</f>
        <v>8642</v>
      </c>
      <c r="D39" s="1436" t="s">
        <v>2220</v>
      </c>
      <c r="E39" s="1437"/>
      <c r="F39" s="1438"/>
      <c r="G39" s="791"/>
      <c r="H39" s="1230"/>
      <c r="I39" s="365" t="s">
        <v>2221</v>
      </c>
      <c r="J39" s="220">
        <f ca="1">1-J38</f>
        <v>0.30200000000000005</v>
      </c>
      <c r="K39" s="1235"/>
      <c r="L39" s="1230"/>
      <c r="M39" s="1230"/>
    </row>
    <row r="40" spans="1:18" s="791" customFormat="1" ht="18" customHeight="1">
      <c r="A40" s="316" t="s">
        <v>23</v>
      </c>
      <c r="B40" s="317" t="s">
        <v>2222</v>
      </c>
      <c r="C40" s="318">
        <f ca="1">ROUND(C39*(1-((1+F42)/(1+F40))^F41)/(F40-F42),0)</f>
        <v>174617</v>
      </c>
      <c r="D40" s="346" t="s">
        <v>2190</v>
      </c>
      <c r="E40" s="319" t="s">
        <v>2191</v>
      </c>
      <c r="F40" s="329">
        <f>'数据-取费表'!B16</f>
        <v>0.05</v>
      </c>
      <c r="H40" s="1236"/>
      <c r="I40" s="216" t="s">
        <v>2223</v>
      </c>
      <c r="J40" s="217"/>
      <c r="K40" s="1235"/>
      <c r="L40" s="1236"/>
      <c r="M40" s="1236"/>
      <c r="Q40" s="795"/>
    </row>
    <row r="41" spans="1:18" s="791" customFormat="1" ht="18" customHeight="1">
      <c r="A41" s="321"/>
      <c r="B41" s="322"/>
      <c r="C41" s="323"/>
      <c r="D41" s="354" t="s">
        <v>2224</v>
      </c>
      <c r="E41" s="1825" t="s">
        <v>2877</v>
      </c>
      <c r="F41" s="355">
        <f>IF('数据-取费表'!B28="租赁期内按合同租金",'数据-取费表'!B34,IF(E41="收益年期(n)",'数据-取费表'!B33,'数据-取费表'!B13))</f>
        <v>36.229999999999997</v>
      </c>
      <c r="H41" s="1237"/>
      <c r="I41" s="219" t="s">
        <v>2095</v>
      </c>
      <c r="J41" s="220">
        <f ca="1">ROUND(C13/C40,3)</f>
        <v>0.57599999999999996</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0.42400000000000004</v>
      </c>
      <c r="K42" s="1234"/>
      <c r="L42" s="1237"/>
      <c r="M42" s="1237"/>
      <c r="Q42" s="795"/>
    </row>
    <row r="43" spans="1:18" s="791" customFormat="1" ht="18" customHeight="1" thickBot="1">
      <c r="A43" s="356" t="s">
        <v>24</v>
      </c>
      <c r="B43" s="357" t="s">
        <v>2225</v>
      </c>
      <c r="C43" s="358">
        <f ca="1">ROUND(C40/F43,0)</f>
        <v>5584</v>
      </c>
      <c r="D43" s="359" t="s">
        <v>2226</v>
      </c>
      <c r="E43" s="360" t="s">
        <v>2227</v>
      </c>
      <c r="F43" s="361">
        <f>IF(D1="仅计算典型户型",'数据-取费表'!E5,'数据-取费表'!B5)</f>
        <v>31.27</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174617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-209231</v>
      </c>
      <c r="D47" s="2344" t="str">
        <f>C2</f>
        <v>元</v>
      </c>
      <c r="E47" s="776"/>
      <c r="F47" s="776"/>
      <c r="I47" s="2345" t="s">
        <v>2238</v>
      </c>
      <c r="J47" s="1343"/>
      <c r="K47" s="1344"/>
      <c r="L47" s="1357">
        <f>IF(M48="住宅",0,IF(L49&gt;J52,L61,J61))</f>
        <v>0</v>
      </c>
      <c r="O47" s="1371" t="s">
        <v>959</v>
      </c>
      <c r="P47" s="1368" t="s">
        <v>2239</v>
      </c>
      <c r="Q47" s="1369">
        <f ca="1">C29</f>
        <v>125713</v>
      </c>
      <c r="R47" s="1370" t="s">
        <v>2234</v>
      </c>
    </row>
    <row r="48" spans="1:18" s="791" customFormat="1" ht="15.75" thickBot="1">
      <c r="A48" s="312" t="s">
        <v>2240</v>
      </c>
      <c r="B48" s="313" t="s">
        <v>2241</v>
      </c>
      <c r="C48" s="313" t="s">
        <v>2242</v>
      </c>
      <c r="D48" s="313" t="s">
        <v>2243</v>
      </c>
      <c r="E48" s="1297" t="s">
        <v>2244</v>
      </c>
      <c r="F48" s="1298"/>
      <c r="I48" s="2346" t="s">
        <v>2245</v>
      </c>
      <c r="J48" s="2347"/>
      <c r="K48" s="2348"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c r="K49" s="2351" t="s">
        <v>2250</v>
      </c>
      <c r="L49" s="1128">
        <f>'数据-取费表'!B13</f>
        <v>36.229999999999997</v>
      </c>
      <c r="O49" s="1371" t="s">
        <v>961</v>
      </c>
      <c r="P49" s="1368" t="s">
        <v>2251</v>
      </c>
      <c r="Q49" s="1372">
        <f>J53</f>
        <v>0</v>
      </c>
      <c r="R49" s="1370"/>
    </row>
    <row r="50" spans="1:18" s="791" customFormat="1" ht="15.75" thickBot="1">
      <c r="A50" s="345" t="s">
        <v>2107</v>
      </c>
      <c r="B50" s="2024" t="s">
        <v>2252</v>
      </c>
      <c r="C50" s="318">
        <f>ROUND(F50*F52*F51*(1-F53),0)</f>
        <v>0</v>
      </c>
      <c r="D50" s="93" t="s">
        <v>2804</v>
      </c>
      <c r="E50" s="2352" t="s">
        <v>2253</v>
      </c>
      <c r="F50" s="1299"/>
      <c r="I50" s="2349" t="s">
        <v>2254</v>
      </c>
      <c r="J50" s="1128">
        <f>'数据-取费表'!B26</f>
        <v>2006</v>
      </c>
      <c r="K50" s="2353" t="s">
        <v>2255</v>
      </c>
      <c r="L50" s="1346"/>
      <c r="O50" s="1371" t="s">
        <v>962</v>
      </c>
      <c r="P50" s="1368" t="s">
        <v>2256</v>
      </c>
      <c r="Q50" s="1369">
        <f>J54</f>
        <v>36.229999999999997</v>
      </c>
      <c r="R50" s="1370" t="s">
        <v>2257</v>
      </c>
    </row>
    <row r="51" spans="1:18" s="791" customFormat="1" ht="15.75" thickBot="1">
      <c r="A51" s="321"/>
      <c r="B51" s="322"/>
      <c r="C51" s="323"/>
      <c r="D51" s="324"/>
      <c r="E51" s="339" t="s">
        <v>2110</v>
      </c>
      <c r="F51" s="1296">
        <f>F7</f>
        <v>1</v>
      </c>
      <c r="I51" s="2349" t="s">
        <v>2258</v>
      </c>
      <c r="J51" s="1347">
        <f>SUMPRODUCT((I64:I66=J48)*(J63:L63=J49)*(J64:L66))</f>
        <v>0</v>
      </c>
      <c r="K51" s="2353" t="s">
        <v>2259</v>
      </c>
      <c r="L51" s="1346"/>
      <c r="O51" s="1367" t="s">
        <v>963</v>
      </c>
      <c r="P51" s="1368" t="str">
        <f>IF(C2="元","收益价值(元)","收益价值(万元)")</f>
        <v>收益价值(元)</v>
      </c>
      <c r="Q51" s="1369">
        <f ca="1">ROUND(IF(C2="元",Q45+Q46,(Q45+Q46)/10000),0)</f>
        <v>174617</v>
      </c>
      <c r="R51" s="1370" t="s">
        <v>964</v>
      </c>
    </row>
    <row r="52" spans="1:18" s="791" customFormat="1" ht="16.5" thickBot="1">
      <c r="A52" s="321"/>
      <c r="B52" s="322"/>
      <c r="C52" s="323"/>
      <c r="D52" s="324"/>
      <c r="E52" s="319" t="s">
        <v>2112</v>
      </c>
      <c r="F52" s="320">
        <f>F8</f>
        <v>12</v>
      </c>
      <c r="I52" s="2354" t="s">
        <v>2260</v>
      </c>
      <c r="J52" s="1348">
        <f>IF(J50="",J51,J50+J51-YEAR('数据-取费表'!B2))</f>
        <v>-12</v>
      </c>
      <c r="K52" s="2355" t="s">
        <v>2261</v>
      </c>
      <c r="L52" s="1349">
        <f ca="1">ROUND(-PV('数据-取费表'!B15,L49,(C40-C13*J35)),0)</f>
        <v>3693679</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2" t="s">
        <v>2816</v>
      </c>
      <c r="J54" s="1351">
        <f>IF(M48="住宅",IF(E1="——",MAX(J52,L49),IF(E1="在建（套用方法）",MAX(J52,L49-'数据-取费表'!B25),MAX(J52,L49-'数据-取费表'!B21))),IF(E1="——",MIN(J52,L49),IF(E1="在建（套用方法）",MIN(J52,L49-'数据-取费表'!B25),IF(E1="土地（套用方法）",MIN(J52,L49-'数据-取费表'!B21)))))</f>
        <v>36.229999999999997</v>
      </c>
      <c r="K54" s="2998" t="s">
        <v>2802</v>
      </c>
      <c r="L54" s="2999"/>
      <c r="O54" s="1367" t="s">
        <v>957</v>
      </c>
      <c r="P54" s="1368" t="s">
        <v>2233</v>
      </c>
      <c r="Q54" s="1369">
        <f ca="1">C40+J29</f>
        <v>174617</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100570</v>
      </c>
      <c r="D57" s="1294"/>
      <c r="E57" s="1295"/>
      <c r="F57" s="1302"/>
      <c r="I57" s="2363" t="s">
        <v>2270</v>
      </c>
      <c r="J57" s="1355"/>
      <c r="K57" s="2349" t="s">
        <v>2271</v>
      </c>
      <c r="L57" s="1128">
        <f>IF(L49&lt;J52,"——",L49-J52)</f>
        <v>48.23</v>
      </c>
      <c r="O57" s="1371" t="s">
        <v>960</v>
      </c>
      <c r="P57" s="1368" t="s">
        <v>2272</v>
      </c>
      <c r="Q57" s="1372">
        <f>L53</f>
        <v>0</v>
      </c>
      <c r="R57" s="1370"/>
    </row>
    <row r="58" spans="1:18" s="791" customFormat="1" ht="29.25" thickBot="1">
      <c r="A58" s="1301"/>
      <c r="B58" s="319" t="s">
        <v>2202</v>
      </c>
      <c r="C58" s="188">
        <f ca="1">C29</f>
        <v>125713</v>
      </c>
      <c r="D58" s="1294"/>
      <c r="E58" s="1295"/>
      <c r="F58" s="1302"/>
      <c r="I58" s="2364" t="s">
        <v>2273</v>
      </c>
      <c r="J58" s="1354" t="str">
        <f>IF(OR(M48="住宅",J52&lt;L49,J57="是"),"——",J52-L49)</f>
        <v>——</v>
      </c>
      <c r="K58" s="2349" t="s">
        <v>2274</v>
      </c>
      <c r="L58" s="1128">
        <f ca="1">IF(L49&lt;J52,"——",IF(L56="比较法",L50,IF(L56="基准地价",L51,L52)))</f>
        <v>3693679</v>
      </c>
      <c r="O58" s="1371" t="s">
        <v>961</v>
      </c>
      <c r="P58" s="1368" t="s">
        <v>2275</v>
      </c>
      <c r="Q58" s="1369" t="e">
        <f>L59</f>
        <v>#DIV/0!</v>
      </c>
      <c r="R58" s="1370" t="s">
        <v>2276</v>
      </c>
    </row>
    <row r="59" spans="1:18" s="791" customFormat="1" ht="29.25" thickBot="1">
      <c r="A59" s="332" t="s">
        <v>14</v>
      </c>
      <c r="B59" s="333" t="s">
        <v>2205</v>
      </c>
      <c r="C59" s="334">
        <f ca="1">ROUND(C60+C65+C66+C67,0)</f>
        <v>2087</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174617</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957</v>
      </c>
      <c r="P63" s="1368" t="s">
        <v>2233</v>
      </c>
      <c r="Q63" s="1369">
        <f ca="1">C40+J29</f>
        <v>174617</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1886</v>
      </c>
      <c r="D65" s="1893" t="s">
        <v>2215</v>
      </c>
      <c r="E65" s="319" t="s">
        <v>2159</v>
      </c>
      <c r="F65" s="350">
        <f t="shared" si="0"/>
        <v>1.4999999999999999E-2</v>
      </c>
      <c r="I65" s="2367" t="s">
        <v>2295</v>
      </c>
      <c r="J65" s="1874">
        <v>50</v>
      </c>
      <c r="K65" s="1874">
        <v>35</v>
      </c>
      <c r="L65" s="1874">
        <v>60</v>
      </c>
      <c r="M65" s="1873">
        <v>0</v>
      </c>
      <c r="O65" s="1371" t="s">
        <v>959</v>
      </c>
      <c r="P65" s="1368" t="s">
        <v>2269</v>
      </c>
      <c r="Q65" s="1373">
        <f ca="1">L52</f>
        <v>3693679</v>
      </c>
      <c r="R65" s="1374" t="s">
        <v>2296</v>
      </c>
    </row>
    <row r="66" spans="1:18" s="791" customFormat="1" ht="20.25" thickBot="1">
      <c r="A66" s="337" t="s">
        <v>20</v>
      </c>
      <c r="B66" s="319" t="s">
        <v>2174</v>
      </c>
      <c r="C66" s="14">
        <f ca="1">ROUND(C57*F66,0)</f>
        <v>201</v>
      </c>
      <c r="D66" s="1893" t="s">
        <v>2175</v>
      </c>
      <c r="E66" s="319" t="s">
        <v>2176</v>
      </c>
      <c r="F66" s="351">
        <f t="shared" si="0"/>
        <v>2E-3</v>
      </c>
      <c r="I66" s="2367" t="s">
        <v>2297</v>
      </c>
      <c r="J66" s="1874">
        <v>40</v>
      </c>
      <c r="K66" s="1874">
        <v>30</v>
      </c>
      <c r="L66" s="1874">
        <v>50</v>
      </c>
      <c r="M66" s="1872">
        <v>0.02</v>
      </c>
      <c r="O66" s="1371" t="s">
        <v>960</v>
      </c>
      <c r="P66" s="1375" t="s">
        <v>2298</v>
      </c>
      <c r="Q66" s="1369">
        <f ca="1">ROUND(Q67-Q68*Q69,0)</f>
        <v>2608</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8642</v>
      </c>
      <c r="R67" s="1370" t="s">
        <v>2234</v>
      </c>
    </row>
    <row r="68" spans="1:18" ht="15.75" thickBot="1">
      <c r="A68" s="332" t="s">
        <v>22</v>
      </c>
      <c r="B68" s="89" t="s">
        <v>2184</v>
      </c>
      <c r="C68" s="334">
        <f ca="1">C49-C59</f>
        <v>-2087</v>
      </c>
      <c r="D68" s="1888" t="s">
        <v>2185</v>
      </c>
      <c r="E68" s="1892"/>
      <c r="F68" s="353"/>
      <c r="H68" s="791"/>
      <c r="I68" s="791"/>
      <c r="J68" s="791"/>
      <c r="K68" s="791"/>
      <c r="L68" s="791"/>
      <c r="M68" s="791"/>
      <c r="O68" s="1371" t="s">
        <v>966</v>
      </c>
      <c r="P68" s="1375" t="s">
        <v>2300</v>
      </c>
      <c r="Q68" s="1369">
        <f ca="1">C13</f>
        <v>100570</v>
      </c>
      <c r="R68" s="1370" t="s">
        <v>2234</v>
      </c>
    </row>
    <row r="69" spans="1:18" ht="15.75" thickBot="1">
      <c r="A69" s="316" t="s">
        <v>23</v>
      </c>
      <c r="B69" s="317" t="s">
        <v>2222</v>
      </c>
      <c r="C69" s="318">
        <f ca="1">ROUND(C68*(1-((1+F71)/(1+F69))^F70)/(F69-F71),0)</f>
        <v>-34614</v>
      </c>
      <c r="D69" s="346" t="s">
        <v>2190</v>
      </c>
      <c r="E69" s="319" t="s">
        <v>2191</v>
      </c>
      <c r="F69" s="329">
        <f>F40</f>
        <v>0.05</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36.229999999999997</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-1107</v>
      </c>
      <c r="D72" s="359" t="s">
        <v>2226</v>
      </c>
      <c r="E72" s="360" t="s">
        <v>2227</v>
      </c>
      <c r="F72" s="361">
        <f>F43</f>
        <v>31.27</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174617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6" t="s">
        <v>1024</v>
      </c>
      <c r="B1" s="3017"/>
      <c r="C1" s="3018"/>
      <c r="D1" s="3019">
        <f>SUM(I10,I15,I20,I21,I23)</f>
        <v>0</v>
      </c>
      <c r="E1" s="3019"/>
      <c r="F1" s="3019"/>
      <c r="G1" s="3019"/>
      <c r="H1" s="3019"/>
      <c r="I1" s="3020"/>
    </row>
    <row r="2" spans="1:9">
      <c r="A2" s="3006" t="s">
        <v>1025</v>
      </c>
      <c r="B2" s="3007" t="s">
        <v>974</v>
      </c>
      <c r="C2" s="3007"/>
      <c r="D2" s="1389" t="s">
        <v>975</v>
      </c>
      <c r="E2" s="1389" t="s">
        <v>976</v>
      </c>
      <c r="F2" s="1389" t="s">
        <v>977</v>
      </c>
      <c r="G2" s="1389" t="s">
        <v>978</v>
      </c>
      <c r="H2" s="1389" t="s">
        <v>979</v>
      </c>
      <c r="I2" s="1390" t="s">
        <v>980</v>
      </c>
    </row>
    <row r="3" spans="1:9">
      <c r="A3" s="3006"/>
      <c r="B3" s="3007" t="s">
        <v>981</v>
      </c>
      <c r="C3" s="3007"/>
      <c r="D3" s="1391"/>
      <c r="E3" s="1389"/>
      <c r="F3" s="1392"/>
      <c r="G3" s="1392"/>
      <c r="H3" s="1393"/>
      <c r="I3" s="1394">
        <f>ROUND(D3*E3*F3*G3*H3/10000,0)</f>
        <v>0</v>
      </c>
    </row>
    <row r="4" spans="1:9">
      <c r="A4" s="3006"/>
      <c r="B4" s="3007" t="s">
        <v>982</v>
      </c>
      <c r="C4" s="3007"/>
      <c r="D4" s="1391"/>
      <c r="E4" s="1389"/>
      <c r="F4" s="1392"/>
      <c r="G4" s="1392"/>
      <c r="H4" s="1393"/>
      <c r="I4" s="1394">
        <f t="shared" ref="I4:I9" si="0">ROUND(D4*E4*F4*G4*H4/10000,0)</f>
        <v>0</v>
      </c>
    </row>
    <row r="5" spans="1:9">
      <c r="A5" s="3006"/>
      <c r="B5" s="3007" t="s">
        <v>983</v>
      </c>
      <c r="C5" s="3007"/>
      <c r="D5" s="1391"/>
      <c r="E5" s="1389"/>
      <c r="F5" s="1392"/>
      <c r="G5" s="1392"/>
      <c r="H5" s="1393"/>
      <c r="I5" s="1394">
        <f t="shared" si="0"/>
        <v>0</v>
      </c>
    </row>
    <row r="6" spans="1:9">
      <c r="A6" s="3006"/>
      <c r="B6" s="3007" t="s">
        <v>984</v>
      </c>
      <c r="C6" s="3007"/>
      <c r="D6" s="1391"/>
      <c r="E6" s="1389"/>
      <c r="F6" s="1392"/>
      <c r="G6" s="1392"/>
      <c r="H6" s="1393"/>
      <c r="I6" s="1394">
        <f t="shared" si="0"/>
        <v>0</v>
      </c>
    </row>
    <row r="7" spans="1:9">
      <c r="A7" s="3006"/>
      <c r="B7" s="3007" t="s">
        <v>985</v>
      </c>
      <c r="C7" s="3007"/>
      <c r="D7" s="1391"/>
      <c r="E7" s="1389"/>
      <c r="F7" s="1392"/>
      <c r="G7" s="1392"/>
      <c r="H7" s="1393"/>
      <c r="I7" s="1394">
        <f t="shared" si="0"/>
        <v>0</v>
      </c>
    </row>
    <row r="8" spans="1:9">
      <c r="A8" s="3006"/>
      <c r="B8" s="3007" t="s">
        <v>986</v>
      </c>
      <c r="C8" s="3007"/>
      <c r="D8" s="1391"/>
      <c r="E8" s="1389"/>
      <c r="F8" s="1392"/>
      <c r="G8" s="1392"/>
      <c r="H8" s="1393"/>
      <c r="I8" s="1394">
        <f t="shared" si="0"/>
        <v>0</v>
      </c>
    </row>
    <row r="9" spans="1:9">
      <c r="A9" s="3006"/>
      <c r="B9" s="3007" t="s">
        <v>987</v>
      </c>
      <c r="C9" s="3007"/>
      <c r="D9" s="1391"/>
      <c r="E9" s="1389"/>
      <c r="F9" s="1392"/>
      <c r="G9" s="1392"/>
      <c r="H9" s="1393"/>
      <c r="I9" s="1394">
        <f t="shared" si="0"/>
        <v>0</v>
      </c>
    </row>
    <row r="10" spans="1:9">
      <c r="A10" s="3006"/>
      <c r="B10" s="3008" t="s">
        <v>988</v>
      </c>
      <c r="C10" s="3008"/>
      <c r="D10" s="1395">
        <v>527</v>
      </c>
      <c r="E10" s="1395" t="e">
        <f>ROUND(D1*10000/D10/H9,0)</f>
        <v>#DIV/0!</v>
      </c>
      <c r="F10" s="1396"/>
      <c r="G10" s="1396"/>
      <c r="H10" s="1397"/>
      <c r="I10" s="1398">
        <f>SUM(I3:I9)</f>
        <v>0</v>
      </c>
    </row>
    <row r="11" spans="1:9" ht="14.25">
      <c r="A11" s="3006" t="s">
        <v>1026</v>
      </c>
      <c r="B11" s="3007" t="s">
        <v>989</v>
      </c>
      <c r="C11" s="3007"/>
      <c r="D11" s="1391" t="s">
        <v>990</v>
      </c>
      <c r="E11" s="1391" t="s">
        <v>991</v>
      </c>
      <c r="F11" s="1392" t="s">
        <v>992</v>
      </c>
      <c r="G11" s="1392" t="s">
        <v>979</v>
      </c>
      <c r="H11" s="1399" t="s">
        <v>993</v>
      </c>
      <c r="I11" s="1390" t="s">
        <v>980</v>
      </c>
    </row>
    <row r="12" spans="1:9">
      <c r="A12" s="3006"/>
      <c r="B12" s="3007" t="s">
        <v>994</v>
      </c>
      <c r="C12" s="3007"/>
      <c r="D12" s="1391"/>
      <c r="E12" s="1391"/>
      <c r="F12" s="1392"/>
      <c r="G12" s="1393"/>
      <c r="H12" s="1400"/>
      <c r="I12" s="1390">
        <f>ROUND(D12*E12*F12*G12/10000,0)</f>
        <v>0</v>
      </c>
    </row>
    <row r="13" spans="1:9">
      <c r="A13" s="3006"/>
      <c r="B13" s="3007" t="s">
        <v>995</v>
      </c>
      <c r="C13" s="3007"/>
      <c r="D13" s="1391"/>
      <c r="E13" s="1391"/>
      <c r="F13" s="1392"/>
      <c r="G13" s="1393"/>
      <c r="H13" s="1400"/>
      <c r="I13" s="1390">
        <f>ROUND(D13*E13*F13*G13/10000,0)</f>
        <v>0</v>
      </c>
    </row>
    <row r="14" spans="1:9">
      <c r="A14" s="3006"/>
      <c r="B14" s="3007" t="s">
        <v>996</v>
      </c>
      <c r="C14" s="3007"/>
      <c r="D14" s="1391"/>
      <c r="E14" s="1391"/>
      <c r="F14" s="1392"/>
      <c r="G14" s="1393"/>
      <c r="H14" s="1400"/>
      <c r="I14" s="1390">
        <f>ROUND(D14*E14*F14*G14/10000,0)</f>
        <v>0</v>
      </c>
    </row>
    <row r="15" spans="1:9">
      <c r="A15" s="3006"/>
      <c r="B15" s="3008" t="s">
        <v>988</v>
      </c>
      <c r="C15" s="3008"/>
      <c r="D15" s="1395"/>
      <c r="E15" s="1395">
        <f>SUM(E12:E14)</f>
        <v>0</v>
      </c>
      <c r="F15" s="1396"/>
      <c r="G15" s="1393"/>
      <c r="H15" s="1400"/>
      <c r="I15" s="1401">
        <f>SUM(I12:I14)</f>
        <v>0</v>
      </c>
    </row>
    <row r="16" spans="1:9" ht="24">
      <c r="A16" s="3006" t="s">
        <v>1027</v>
      </c>
      <c r="B16" s="3007" t="s">
        <v>997</v>
      </c>
      <c r="C16" s="3007"/>
      <c r="D16" s="1391" t="s">
        <v>975</v>
      </c>
      <c r="E16" s="1402" t="s">
        <v>998</v>
      </c>
      <c r="F16" s="1392" t="s">
        <v>999</v>
      </c>
      <c r="G16" s="1393" t="s">
        <v>979</v>
      </c>
      <c r="H16" s="1399" t="s">
        <v>993</v>
      </c>
      <c r="I16" s="1390" t="s">
        <v>980</v>
      </c>
    </row>
    <row r="17" spans="1:9" ht="14.25">
      <c r="A17" s="3006"/>
      <c r="B17" s="3007" t="s">
        <v>1000</v>
      </c>
      <c r="C17" s="3007"/>
      <c r="D17" s="1391"/>
      <c r="E17" s="1391"/>
      <c r="F17" s="1392"/>
      <c r="G17" s="1393"/>
      <c r="H17" s="1403"/>
      <c r="I17" s="1404">
        <f>ROUND(D17*E17*F17*G17/10000,0)</f>
        <v>0</v>
      </c>
    </row>
    <row r="18" spans="1:9" ht="14.25">
      <c r="A18" s="3006"/>
      <c r="B18" s="3007" t="s">
        <v>1001</v>
      </c>
      <c r="C18" s="3007"/>
      <c r="D18" s="1391"/>
      <c r="E18" s="1391"/>
      <c r="F18" s="1392"/>
      <c r="G18" s="1393"/>
      <c r="H18" s="1403"/>
      <c r="I18" s="1404">
        <f>ROUND(D18*E18*F18*G18/10000,0)</f>
        <v>0</v>
      </c>
    </row>
    <row r="19" spans="1:9" ht="14.25">
      <c r="A19" s="3006"/>
      <c r="B19" s="3007" t="s">
        <v>1002</v>
      </c>
      <c r="C19" s="3007"/>
      <c r="D19" s="1391"/>
      <c r="E19" s="1391"/>
      <c r="F19" s="1392"/>
      <c r="G19" s="1393"/>
      <c r="H19" s="1403"/>
      <c r="I19" s="1404">
        <f>ROUND(D19*E19*F19*G19/10000,0)</f>
        <v>0</v>
      </c>
    </row>
    <row r="20" spans="1:9">
      <c r="A20" s="3006"/>
      <c r="B20" s="3008" t="s">
        <v>988</v>
      </c>
      <c r="C20" s="3008"/>
      <c r="D20" s="1395">
        <f>SUM(D17:D19)</f>
        <v>0</v>
      </c>
      <c r="E20" s="1395"/>
      <c r="F20" s="1396"/>
      <c r="G20" s="1393"/>
      <c r="H20" s="1400"/>
      <c r="I20" s="1401">
        <f>SUM(I17:I19)</f>
        <v>0</v>
      </c>
    </row>
    <row r="21" spans="1:9">
      <c r="A21" s="3006" t="s">
        <v>1028</v>
      </c>
      <c r="B21" s="3009"/>
      <c r="C21" s="3009"/>
      <c r="D21" s="3009"/>
      <c r="E21" s="3009"/>
      <c r="F21" s="3009"/>
      <c r="G21" s="3009"/>
      <c r="H21" s="1405">
        <v>0.1</v>
      </c>
      <c r="I21" s="1398">
        <f>ROUND(I10*H21,0)</f>
        <v>0</v>
      </c>
    </row>
    <row r="22" spans="1:9" ht="14.25">
      <c r="A22" s="3010" t="s">
        <v>1029</v>
      </c>
      <c r="B22" s="3011"/>
      <c r="C22" s="3012"/>
      <c r="D22" s="1406" t="s">
        <v>1003</v>
      </c>
      <c r="E22" s="1406" t="s">
        <v>1004</v>
      </c>
      <c r="F22" s="1407" t="s">
        <v>979</v>
      </c>
      <c r="G22" s="1407" t="s">
        <v>1005</v>
      </c>
      <c r="H22" s="1399" t="s">
        <v>993</v>
      </c>
      <c r="I22" s="1390" t="s">
        <v>980</v>
      </c>
    </row>
    <row r="23" spans="1:9" ht="14.25" thickBot="1">
      <c r="A23" s="3013"/>
      <c r="B23" s="3014"/>
      <c r="C23" s="3015"/>
      <c r="D23" s="1408"/>
      <c r="E23" s="1408"/>
      <c r="F23" s="1408"/>
      <c r="G23" s="1409"/>
      <c r="H23" s="1410"/>
      <c r="I23" s="1411">
        <f>ROUND(E23*D23*F23*(1-G23)/10000,0)</f>
        <v>0</v>
      </c>
    </row>
    <row r="26" spans="1:9">
      <c r="A26" s="1412" t="s">
        <v>1006</v>
      </c>
      <c r="B26" s="1412"/>
      <c r="C26" s="1412"/>
      <c r="D26" s="1412"/>
      <c r="E26" s="3003">
        <f>C27-C30-C31-C32</f>
        <v>0</v>
      </c>
      <c r="F26" s="3003"/>
      <c r="G26" s="3003"/>
      <c r="H26" s="1829" t="s">
        <v>1219</v>
      </c>
    </row>
    <row r="27" spans="1:9">
      <c r="A27" s="1413">
        <v>1</v>
      </c>
      <c r="B27" s="1414" t="s">
        <v>1007</v>
      </c>
      <c r="C27" s="1414">
        <f>C28+C29</f>
        <v>0</v>
      </c>
      <c r="D27" s="1414"/>
      <c r="E27" s="3004"/>
      <c r="F27" s="3004"/>
      <c r="G27" s="3004"/>
    </row>
    <row r="28" spans="1:9">
      <c r="A28" s="1415" t="s">
        <v>1008</v>
      </c>
      <c r="B28" s="1414" t="s">
        <v>1009</v>
      </c>
      <c r="C28" s="1414"/>
      <c r="D28" s="1414"/>
      <c r="E28" s="3004"/>
      <c r="F28" s="3004"/>
      <c r="G28" s="3004"/>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5"/>
      <c r="F32" s="3005"/>
      <c r="G32" s="3005"/>
    </row>
    <row r="33" spans="1:7" hidden="1">
      <c r="A33" s="3000" t="s">
        <v>1018</v>
      </c>
      <c r="B33" s="3001"/>
      <c r="C33" s="3001"/>
      <c r="D33" s="3002"/>
      <c r="E33" s="3003"/>
      <c r="F33" s="3003"/>
      <c r="G33" s="3003"/>
    </row>
    <row r="34" spans="1:7" hidden="1">
      <c r="A34" s="1417">
        <v>1</v>
      </c>
      <c r="B34" s="1414" t="s">
        <v>1019</v>
      </c>
      <c r="C34" s="1414"/>
      <c r="D34" s="1414"/>
      <c r="E34" s="3004"/>
      <c r="F34" s="3004"/>
      <c r="G34" s="3004"/>
    </row>
    <row r="35" spans="1:7" hidden="1">
      <c r="A35" s="1417">
        <v>2</v>
      </c>
      <c r="B35" s="1414" t="s">
        <v>1020</v>
      </c>
      <c r="C35" s="1414"/>
      <c r="D35" s="1414"/>
      <c r="E35" s="3004"/>
      <c r="F35" s="3004"/>
      <c r="G35" s="3004"/>
    </row>
    <row r="36" spans="1:7" hidden="1">
      <c r="A36" s="1417">
        <v>3</v>
      </c>
      <c r="B36" s="1414" t="s">
        <v>1021</v>
      </c>
      <c r="C36" s="1414"/>
      <c r="D36" s="1414"/>
      <c r="E36" s="3004"/>
      <c r="F36" s="3004"/>
      <c r="G36" s="3004"/>
    </row>
    <row r="37" spans="1:7" hidden="1">
      <c r="A37" s="1417">
        <v>4</v>
      </c>
      <c r="B37" s="1414" t="s">
        <v>1022</v>
      </c>
      <c r="C37" s="1414"/>
      <c r="D37" s="1414"/>
      <c r="E37" s="3004"/>
      <c r="F37" s="3004"/>
      <c r="G37" s="3004"/>
    </row>
    <row r="38" spans="1:7" hidden="1">
      <c r="A38" s="3000" t="s">
        <v>1023</v>
      </c>
      <c r="B38" s="3001"/>
      <c r="C38" s="3001"/>
      <c r="D38" s="3002"/>
      <c r="E38" s="3003"/>
      <c r="F38" s="3003"/>
      <c r="G38" s="30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4" t="s">
        <v>2307</v>
      </c>
      <c r="D4" s="3025"/>
      <c r="E4" s="3025"/>
      <c r="F4" s="3025"/>
      <c r="G4" s="3025"/>
      <c r="H4" s="3025"/>
      <c r="I4" s="3025"/>
      <c r="J4" s="3025"/>
      <c r="K4" s="3025"/>
      <c r="L4" s="3025"/>
      <c r="M4" s="3025"/>
      <c r="N4" s="3025"/>
      <c r="O4" s="3025"/>
      <c r="P4" s="3025"/>
      <c r="Q4" s="3025"/>
      <c r="R4" s="3025"/>
      <c r="S4" s="3026"/>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21" t="s">
        <v>45</v>
      </c>
      <c r="D25" s="3022"/>
      <c r="E25" s="3022"/>
      <c r="F25" s="3022"/>
      <c r="G25" s="3022"/>
      <c r="H25" s="3022"/>
      <c r="I25" s="3022"/>
      <c r="J25" s="3022"/>
      <c r="K25" s="3022"/>
      <c r="L25" s="3022"/>
      <c r="M25" s="3022"/>
      <c r="N25" s="3022"/>
      <c r="O25" s="3022"/>
      <c r="P25" s="3022"/>
      <c r="Q25" s="302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5" zoomScale="90" zoomScaleNormal="90" workbookViewId="0">
      <selection activeCell="D128" sqref="D12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2823</v>
      </c>
      <c r="D1" s="2380"/>
      <c r="E1" s="2381" t="s">
        <v>2850</v>
      </c>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3004328</v>
      </c>
      <c r="C2" s="163" t="str">
        <f>'数据-取费表'!B3</f>
        <v>元</v>
      </c>
      <c r="D2" s="2383" t="s">
        <v>1253</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f>ROUND(IF(D2="——",C49,IF(C2="万元",B2*10000/D3,B2/D3)),0)</f>
        <v>96077</v>
      </c>
      <c r="C3" s="379" t="s">
        <v>2339</v>
      </c>
      <c r="D3" s="378">
        <f>IF(C1="仅计算典型户型",'数据-取费表'!E5,'数据-取费表'!B5)</f>
        <v>31.27</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60" t="s">
        <v>2341</v>
      </c>
      <c r="D4" s="3061"/>
      <c r="E4" s="3062" t="s">
        <v>2342</v>
      </c>
      <c r="F4" s="3063"/>
      <c r="G4" s="3060" t="s">
        <v>2343</v>
      </c>
      <c r="H4" s="3061"/>
      <c r="I4" s="3060" t="s">
        <v>2344</v>
      </c>
      <c r="J4" s="3061"/>
      <c r="K4" s="23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7" t="s">
        <v>2343</v>
      </c>
      <c r="AC4" s="3057" t="s">
        <v>2344</v>
      </c>
    </row>
    <row r="5" spans="1:29" ht="15">
      <c r="A5" s="383"/>
      <c r="B5" s="384"/>
      <c r="C5" s="3073" t="s">
        <v>2878</v>
      </c>
      <c r="D5" s="3046"/>
      <c r="E5" s="3071" t="str">
        <f>C5</f>
        <v>富力爱丁堡</v>
      </c>
      <c r="F5" s="3072"/>
      <c r="G5" s="3045" t="str">
        <f>E5</f>
        <v>富力爱丁堡</v>
      </c>
      <c r="H5" s="3046"/>
      <c r="I5" s="3073" t="s">
        <v>2896</v>
      </c>
      <c r="J5" s="3046"/>
      <c r="K5" s="2395"/>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2395"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391">
        <v>43129</v>
      </c>
      <c r="F7" s="392">
        <f>SUMIF(58:58,YEAR(E7)&amp;"-"&amp;MONTH(E7),59:59)</f>
        <v>102</v>
      </c>
      <c r="G7" s="391">
        <v>43069</v>
      </c>
      <c r="H7" s="390">
        <f>SUMIF(58:58,YEAR(G7)&amp;"-"&amp;MONTH(G7),59:59)</f>
        <v>104</v>
      </c>
      <c r="I7" s="391">
        <v>43031</v>
      </c>
      <c r="J7" s="390">
        <f>SUMIF(58:58,YEAR(I7)&amp;"-"&amp;MONTH(I7),59:59)</f>
        <v>104</v>
      </c>
      <c r="K7" s="2396"/>
      <c r="L7" s="1245"/>
      <c r="M7" s="1246"/>
      <c r="N7" s="1246"/>
      <c r="O7" s="1246"/>
      <c r="P7" s="3047" t="s">
        <v>2354</v>
      </c>
      <c r="Q7" s="3055"/>
      <c r="R7" s="749" t="s">
        <v>34</v>
      </c>
      <c r="S7" s="750">
        <f t="shared" ref="S7:S15" si="0">F7</f>
        <v>102</v>
      </c>
      <c r="T7" s="749" t="s">
        <v>34</v>
      </c>
      <c r="U7" s="750">
        <f t="shared" ref="U7:U15" si="1">H7</f>
        <v>104</v>
      </c>
      <c r="V7" s="749" t="s">
        <v>34</v>
      </c>
      <c r="W7" s="750">
        <f t="shared" ref="W7:W15" si="2">J7</f>
        <v>104</v>
      </c>
      <c r="X7" s="751"/>
      <c r="Y7" s="3047" t="s">
        <v>2354</v>
      </c>
      <c r="Z7" s="3048"/>
      <c r="AA7" s="752">
        <f>D7/F7</f>
        <v>0.98039215686274506</v>
      </c>
      <c r="AB7" s="752">
        <f>D7/H7</f>
        <v>0.96153846153846156</v>
      </c>
      <c r="AC7" s="752">
        <f>D7/J7</f>
        <v>0.96153846153846156</v>
      </c>
    </row>
    <row r="8" spans="1:29" s="35" customFormat="1" ht="15.75" thickBot="1">
      <c r="A8" s="387" t="s">
        <v>2355</v>
      </c>
      <c r="B8" s="388"/>
      <c r="C8" s="394" t="s">
        <v>2356</v>
      </c>
      <c r="D8" s="390">
        <v>100</v>
      </c>
      <c r="E8" s="2397" t="s">
        <v>2848</v>
      </c>
      <c r="F8" s="392">
        <f>SUMIF(61:61,E8,62:62)-SUMIF(61:61,C8,62:62)+100</f>
        <v>100</v>
      </c>
      <c r="G8" s="394" t="s">
        <v>2848</v>
      </c>
      <c r="H8" s="390">
        <f>SUMIF(61:61,G8,62:62)-SUMIF(61:61,C8,62:62)+100</f>
        <v>100</v>
      </c>
      <c r="I8" s="2397" t="s">
        <v>2848</v>
      </c>
      <c r="J8" s="390">
        <f>SUMIF(61:61,I8,62:62)-SUMIF(61:61,C8,62:62)+100</f>
        <v>100</v>
      </c>
      <c r="K8" s="2396"/>
      <c r="L8" s="1245"/>
      <c r="M8" s="1246"/>
      <c r="N8" s="1246"/>
      <c r="O8" s="1246"/>
      <c r="P8" s="3047" t="s">
        <v>2357</v>
      </c>
      <c r="Q8" s="3048"/>
      <c r="R8" s="749" t="s">
        <v>34</v>
      </c>
      <c r="S8" s="750">
        <f t="shared" si="0"/>
        <v>100</v>
      </c>
      <c r="T8" s="749" t="s">
        <v>34</v>
      </c>
      <c r="U8" s="750">
        <f t="shared" si="1"/>
        <v>100</v>
      </c>
      <c r="V8" s="749" t="s">
        <v>34</v>
      </c>
      <c r="W8" s="750">
        <f t="shared" si="2"/>
        <v>100</v>
      </c>
      <c r="X8" s="751"/>
      <c r="Y8" s="3047" t="s">
        <v>2357</v>
      </c>
      <c r="Z8" s="3048"/>
      <c r="AA8" s="752">
        <f t="shared" ref="AA8:AA46" si="3">D8/F8</f>
        <v>1</v>
      </c>
      <c r="AB8" s="752">
        <f t="shared" ref="AB8:AB46" si="4">D8/H8</f>
        <v>1</v>
      </c>
      <c r="AC8" s="752">
        <f t="shared" ref="AC8:AC46" si="5">D8/J8</f>
        <v>1</v>
      </c>
    </row>
    <row r="9" spans="1:29" s="35" customFormat="1">
      <c r="A9" s="395" t="s">
        <v>2358</v>
      </c>
      <c r="B9" s="28" t="s">
        <v>2359</v>
      </c>
      <c r="C9" s="2752" t="s">
        <v>2849</v>
      </c>
      <c r="D9" s="51">
        <v>100</v>
      </c>
      <c r="E9" s="397" t="s">
        <v>2826</v>
      </c>
      <c r="F9" s="398">
        <f>SUMIF(63:63,E9,64:64)-SUMIF(63:63,C9,64:64)+100</f>
        <v>100</v>
      </c>
      <c r="G9" s="399" t="s">
        <v>2826</v>
      </c>
      <c r="H9" s="51">
        <f>SUMIF(63:63,G9,64:64)-SUMIF(63:63,C9,64:64)+100</f>
        <v>100</v>
      </c>
      <c r="I9" s="399" t="s">
        <v>2826</v>
      </c>
      <c r="J9" s="51">
        <f>SUMIF(63:63,I9,64:64)-SUMIF(63:63,C9,64:64)+100</f>
        <v>100</v>
      </c>
      <c r="K9" s="2396"/>
      <c r="L9" s="1245"/>
      <c r="M9" s="1246"/>
      <c r="N9" s="1246"/>
      <c r="O9" s="1246"/>
      <c r="P9" s="3056"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75" thickBot="1">
      <c r="A10" s="401"/>
      <c r="B10" s="402" t="s">
        <v>2362</v>
      </c>
      <c r="C10" s="403" t="s">
        <v>2851</v>
      </c>
      <c r="D10" s="52">
        <v>100</v>
      </c>
      <c r="E10" s="404" t="s">
        <v>2851</v>
      </c>
      <c r="F10" s="405">
        <f>SUMIF(65:65,E10,66:66)-SUMIF(65:65,C10,66:66)+100</f>
        <v>100</v>
      </c>
      <c r="G10" s="403" t="s">
        <v>2851</v>
      </c>
      <c r="H10" s="52">
        <f>SUMIF(65:65,G10,66:66)-SUMIF(65:65,C10,66:66)+100</f>
        <v>100</v>
      </c>
      <c r="I10" s="403" t="s">
        <v>2851</v>
      </c>
      <c r="J10" s="52">
        <f>SUMIF(65:65,I10,66:66)-SUMIF(65:65,C10,66:66)+100</f>
        <v>100</v>
      </c>
      <c r="K10" s="406"/>
      <c r="L10" s="1248"/>
      <c r="M10" s="1249"/>
      <c r="N10" s="1249"/>
      <c r="O10" s="1249"/>
      <c r="P10" s="305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hidden="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6"/>
      <c r="Q11" s="1887" t="str">
        <f t="shared" si="6"/>
        <v>容积率</v>
      </c>
      <c r="R11" s="749" t="s">
        <v>28</v>
      </c>
      <c r="S11" s="750">
        <f t="shared" si="0"/>
        <v>100</v>
      </c>
      <c r="T11" s="749" t="s">
        <v>28</v>
      </c>
      <c r="U11" s="750">
        <f t="shared" si="1"/>
        <v>100</v>
      </c>
      <c r="V11" s="749" t="s">
        <v>28</v>
      </c>
      <c r="W11" s="750">
        <f t="shared" si="2"/>
        <v>100</v>
      </c>
      <c r="X11" s="751"/>
      <c r="Y11" s="2859"/>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56"/>
      <c r="Q12" s="1887">
        <f t="shared" si="6"/>
        <v>111</v>
      </c>
      <c r="R12" s="749" t="s">
        <v>28</v>
      </c>
      <c r="S12" s="750">
        <f t="shared" si="0"/>
        <v>100</v>
      </c>
      <c r="T12" s="749" t="s">
        <v>28</v>
      </c>
      <c r="U12" s="750">
        <f t="shared" si="1"/>
        <v>100</v>
      </c>
      <c r="V12" s="749" t="s">
        <v>28</v>
      </c>
      <c r="W12" s="750">
        <f t="shared" si="2"/>
        <v>100</v>
      </c>
      <c r="X12" s="751"/>
      <c r="Y12" s="2859"/>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56"/>
      <c r="Q13" s="1887">
        <f t="shared" si="6"/>
        <v>111</v>
      </c>
      <c r="R13" s="749" t="s">
        <v>28</v>
      </c>
      <c r="S13" s="750">
        <f t="shared" si="0"/>
        <v>100</v>
      </c>
      <c r="T13" s="749" t="s">
        <v>28</v>
      </c>
      <c r="U13" s="750">
        <f t="shared" si="1"/>
        <v>100</v>
      </c>
      <c r="V13" s="749" t="s">
        <v>28</v>
      </c>
      <c r="W13" s="750">
        <f t="shared" si="2"/>
        <v>100</v>
      </c>
      <c r="X13" s="751"/>
      <c r="Y13" s="2859"/>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56"/>
      <c r="Q14" s="1887">
        <f t="shared" si="6"/>
        <v>111</v>
      </c>
      <c r="R14" s="749" t="s">
        <v>28</v>
      </c>
      <c r="S14" s="750">
        <f t="shared" si="0"/>
        <v>100</v>
      </c>
      <c r="T14" s="749" t="s">
        <v>28</v>
      </c>
      <c r="U14" s="750">
        <f t="shared" si="1"/>
        <v>100</v>
      </c>
      <c r="V14" s="749" t="s">
        <v>28</v>
      </c>
      <c r="W14" s="750">
        <f t="shared" si="2"/>
        <v>100</v>
      </c>
      <c r="X14" s="751"/>
      <c r="Y14" s="2859"/>
      <c r="Z14" s="23">
        <f t="shared" si="7"/>
        <v>111</v>
      </c>
      <c r="AA14" s="752">
        <f t="shared" si="3"/>
        <v>1</v>
      </c>
      <c r="AB14" s="752">
        <f t="shared" si="4"/>
        <v>1</v>
      </c>
      <c r="AC14" s="752">
        <f t="shared" si="5"/>
        <v>1</v>
      </c>
    </row>
    <row r="15" spans="1:29" ht="70.5" customHeight="1">
      <c r="A15" s="419" t="s">
        <v>2364</v>
      </c>
      <c r="B15" s="26" t="s">
        <v>1739</v>
      </c>
      <c r="C15" s="2402" t="str">
        <f>估价对象房地状况!C3</f>
        <v>周边有新城国际、白家庄西里、核桃园北里、向军北里等社区，居住社区成熟度较好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4" t="s">
        <v>2365</v>
      </c>
      <c r="Q15" s="1899" t="str">
        <f t="shared" si="6"/>
        <v>居住社区成熟度</v>
      </c>
      <c r="R15" s="753" t="s">
        <v>28</v>
      </c>
      <c r="S15" s="754">
        <f t="shared" si="0"/>
        <v>100</v>
      </c>
      <c r="T15" s="753" t="s">
        <v>28</v>
      </c>
      <c r="U15" s="754">
        <f t="shared" si="1"/>
        <v>100</v>
      </c>
      <c r="V15" s="753" t="s">
        <v>28</v>
      </c>
      <c r="W15" s="754">
        <f t="shared" si="2"/>
        <v>100</v>
      </c>
      <c r="X15" s="1900"/>
      <c r="Y15" s="3036"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35"/>
      <c r="Q16" s="1899"/>
      <c r="R16" s="753"/>
      <c r="S16" s="754"/>
      <c r="T16" s="753"/>
      <c r="U16" s="754"/>
      <c r="V16" s="753"/>
      <c r="W16" s="754"/>
      <c r="X16" s="1900"/>
      <c r="Y16" s="3037"/>
      <c r="Z16" s="1902"/>
      <c r="AA16" s="1903">
        <v>1</v>
      </c>
      <c r="AB16" s="1903">
        <v>1</v>
      </c>
      <c r="AC16" s="1903">
        <v>1</v>
      </c>
    </row>
    <row r="17" spans="1:29" ht="66.75" customHeight="1">
      <c r="A17" s="408"/>
      <c r="B17" s="431" t="s">
        <v>1750</v>
      </c>
      <c r="C17" s="2405" t="str">
        <f>估价对象房地状况!C6</f>
        <v>周边2公里内有十余条公交线路及地铁10号线（团结湖站），交通便捷度较好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5"/>
      <c r="Q17" s="1899" t="str">
        <f>B17</f>
        <v>交通便捷度</v>
      </c>
      <c r="R17" s="753" t="s">
        <v>28</v>
      </c>
      <c r="S17" s="754">
        <f>F17</f>
        <v>100</v>
      </c>
      <c r="T17" s="753" t="s">
        <v>28</v>
      </c>
      <c r="U17" s="754">
        <f>H17</f>
        <v>100</v>
      </c>
      <c r="V17" s="753" t="s">
        <v>28</v>
      </c>
      <c r="W17" s="754">
        <f>J17</f>
        <v>100</v>
      </c>
      <c r="X17" s="1900"/>
      <c r="Y17" s="3037"/>
      <c r="Z17" s="1902" t="str">
        <f>Q17</f>
        <v>交通便捷度</v>
      </c>
      <c r="AA17" s="1903">
        <f t="shared" si="3"/>
        <v>1</v>
      </c>
      <c r="AB17" s="1903">
        <f t="shared" si="4"/>
        <v>1</v>
      </c>
      <c r="AC17" s="1903">
        <f t="shared" si="5"/>
        <v>1</v>
      </c>
    </row>
    <row r="18" spans="1:29" ht="15">
      <c r="A18" s="408"/>
      <c r="B18" s="436"/>
      <c r="C18" s="437" t="s">
        <v>30</v>
      </c>
      <c r="D18" s="430"/>
      <c r="E18" s="1468" t="s">
        <v>30</v>
      </c>
      <c r="F18" s="433"/>
      <c r="G18" s="2406" t="s">
        <v>30</v>
      </c>
      <c r="H18" s="427"/>
      <c r="I18" s="1468" t="s">
        <v>30</v>
      </c>
      <c r="J18" s="427"/>
      <c r="K18" s="2404"/>
      <c r="L18" s="1253"/>
      <c r="M18" s="1244"/>
      <c r="N18" s="1244"/>
      <c r="O18" s="1244"/>
      <c r="P18" s="3035"/>
      <c r="Q18" s="1899"/>
      <c r="R18" s="753"/>
      <c r="S18" s="754"/>
      <c r="T18" s="753"/>
      <c r="U18" s="754"/>
      <c r="V18" s="753"/>
      <c r="W18" s="754"/>
      <c r="X18" s="1900"/>
      <c r="Y18" s="3037"/>
      <c r="Z18" s="1902"/>
      <c r="AA18" s="1903">
        <v>1</v>
      </c>
      <c r="AB18" s="1903">
        <v>1</v>
      </c>
      <c r="AC18" s="1903">
        <v>1</v>
      </c>
    </row>
    <row r="19" spans="1:29" ht="42.75">
      <c r="A19" s="408"/>
      <c r="B19" s="431" t="s">
        <v>1748</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5"/>
      <c r="Q19" s="1899" t="str">
        <f>B19</f>
        <v>公共配套设施</v>
      </c>
      <c r="R19" s="753" t="s">
        <v>28</v>
      </c>
      <c r="S19" s="754">
        <f>F19</f>
        <v>100</v>
      </c>
      <c r="T19" s="753" t="s">
        <v>28</v>
      </c>
      <c r="U19" s="754">
        <f>H19</f>
        <v>100</v>
      </c>
      <c r="V19" s="753" t="s">
        <v>28</v>
      </c>
      <c r="W19" s="754">
        <f>J19</f>
        <v>100</v>
      </c>
      <c r="X19" s="1900"/>
      <c r="Y19" s="3037"/>
      <c r="Z19" s="1902" t="str">
        <f>Q19</f>
        <v>公共配套设施</v>
      </c>
      <c r="AA19" s="1903">
        <f t="shared" si="3"/>
        <v>1</v>
      </c>
      <c r="AB19" s="1903">
        <f t="shared" si="4"/>
        <v>1</v>
      </c>
      <c r="AC19" s="1903">
        <f t="shared" si="5"/>
        <v>1</v>
      </c>
    </row>
    <row r="20" spans="1:29" ht="15">
      <c r="A20" s="408"/>
      <c r="B20" s="436"/>
      <c r="C20" s="426" t="s">
        <v>30</v>
      </c>
      <c r="D20" s="427"/>
      <c r="E20" s="428" t="s">
        <v>30</v>
      </c>
      <c r="F20" s="429"/>
      <c r="G20" s="2403" t="s">
        <v>30</v>
      </c>
      <c r="H20" s="427"/>
      <c r="I20" s="428" t="s">
        <v>30</v>
      </c>
      <c r="J20" s="427"/>
      <c r="K20" s="2404"/>
      <c r="L20" s="1253"/>
      <c r="M20" s="1244"/>
      <c r="N20" s="1244"/>
      <c r="O20" s="1244"/>
      <c r="P20" s="3035"/>
      <c r="Q20" s="1899"/>
      <c r="R20" s="753"/>
      <c r="S20" s="754"/>
      <c r="T20" s="753"/>
      <c r="U20" s="754"/>
      <c r="V20" s="753"/>
      <c r="W20" s="754"/>
      <c r="X20" s="1900"/>
      <c r="Y20" s="3037"/>
      <c r="Z20" s="1902"/>
      <c r="AA20" s="1903">
        <v>1</v>
      </c>
      <c r="AB20" s="1903">
        <v>1</v>
      </c>
      <c r="AC20" s="1903">
        <v>1</v>
      </c>
    </row>
    <row r="21" spans="1:29" ht="15">
      <c r="A21" s="408"/>
      <c r="B21" s="2407" t="s">
        <v>1751</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5"/>
      <c r="Q21" s="1899" t="str">
        <f>B21</f>
        <v>基础设施水平</v>
      </c>
      <c r="R21" s="753" t="s">
        <v>28</v>
      </c>
      <c r="S21" s="754">
        <f>F21</f>
        <v>100</v>
      </c>
      <c r="T21" s="753" t="s">
        <v>28</v>
      </c>
      <c r="U21" s="754">
        <f>H21</f>
        <v>100</v>
      </c>
      <c r="V21" s="753" t="s">
        <v>28</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7"/>
      <c r="C22" s="437" t="s">
        <v>2846</v>
      </c>
      <c r="D22" s="427"/>
      <c r="E22" s="426" t="s">
        <v>2846</v>
      </c>
      <c r="F22" s="429"/>
      <c r="G22" s="426" t="s">
        <v>2846</v>
      </c>
      <c r="H22" s="427"/>
      <c r="I22" s="426" t="s">
        <v>2846</v>
      </c>
      <c r="J22" s="427"/>
      <c r="K22" s="2408"/>
      <c r="L22" s="1253"/>
      <c r="M22" s="1244"/>
      <c r="N22" s="1244"/>
      <c r="O22" s="1244"/>
      <c r="P22" s="3035"/>
      <c r="Q22" s="1899"/>
      <c r="R22" s="753"/>
      <c r="S22" s="754"/>
      <c r="T22" s="753"/>
      <c r="U22" s="754"/>
      <c r="V22" s="753"/>
      <c r="W22" s="754"/>
      <c r="X22" s="1900"/>
      <c r="Y22" s="3037"/>
      <c r="Z22" s="1902"/>
      <c r="AA22" s="1903">
        <v>1</v>
      </c>
      <c r="AB22" s="1903">
        <v>1</v>
      </c>
      <c r="AC22" s="1903">
        <v>1</v>
      </c>
    </row>
    <row r="23" spans="1:29" ht="54.75" customHeight="1">
      <c r="A23" s="408"/>
      <c r="B23" s="431" t="s">
        <v>1755</v>
      </c>
      <c r="C23" s="2405" t="str">
        <f>估价对象房地状况!C9</f>
        <v>有工人体育场、团结湖公园等，自然及人文环境较好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5"/>
      <c r="Q23" s="1899" t="str">
        <f>B23</f>
        <v>自然及人文环境</v>
      </c>
      <c r="R23" s="753" t="s">
        <v>28</v>
      </c>
      <c r="S23" s="754">
        <f>F23</f>
        <v>100</v>
      </c>
      <c r="T23" s="753" t="s">
        <v>28</v>
      </c>
      <c r="U23" s="754">
        <f>H23</f>
        <v>100</v>
      </c>
      <c r="V23" s="753" t="s">
        <v>28</v>
      </c>
      <c r="W23" s="754">
        <f>J23</f>
        <v>100</v>
      </c>
      <c r="X23" s="1900"/>
      <c r="Y23" s="3037"/>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3" t="s">
        <v>31</v>
      </c>
      <c r="H24" s="427"/>
      <c r="I24" s="428" t="s">
        <v>31</v>
      </c>
      <c r="J24" s="427"/>
      <c r="K24" s="2404"/>
      <c r="L24" s="1253"/>
      <c r="M24" s="1244"/>
      <c r="N24" s="1244"/>
      <c r="O24" s="1244"/>
      <c r="P24" s="3035"/>
      <c r="Q24" s="1899"/>
      <c r="R24" s="753"/>
      <c r="S24" s="754"/>
      <c r="T24" s="753"/>
      <c r="U24" s="754"/>
      <c r="V24" s="753"/>
      <c r="W24" s="754"/>
      <c r="X24" s="1900"/>
      <c r="Y24" s="3037"/>
      <c r="Z24" s="1902"/>
      <c r="AA24" s="1903">
        <v>1</v>
      </c>
      <c r="AB24" s="1903">
        <v>1</v>
      </c>
      <c r="AC24" s="1903">
        <v>1</v>
      </c>
    </row>
    <row r="25" spans="1:29" ht="15" hidden="1">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35"/>
      <c r="Q25" s="1899" t="str">
        <f t="shared" ref="Q25:Q46" si="11">B25</f>
        <v>楼层-1</v>
      </c>
      <c r="R25" s="753" t="s">
        <v>28</v>
      </c>
      <c r="S25" s="754">
        <f>F25</f>
        <v>100</v>
      </c>
      <c r="T25" s="753" t="s">
        <v>28</v>
      </c>
      <c r="U25" s="754">
        <f>H25</f>
        <v>100</v>
      </c>
      <c r="V25" s="753" t="s">
        <v>28</v>
      </c>
      <c r="W25" s="754">
        <f>J25</f>
        <v>100</v>
      </c>
      <c r="X25" s="1900"/>
      <c r="Y25" s="3037"/>
      <c r="Z25" s="1902" t="str">
        <f>Q25</f>
        <v>楼层-1</v>
      </c>
      <c r="AA25" s="1903">
        <f t="shared" si="3"/>
        <v>1</v>
      </c>
      <c r="AB25" s="1903">
        <f t="shared" si="4"/>
        <v>1</v>
      </c>
      <c r="AC25" s="1903">
        <f t="shared" si="5"/>
        <v>1</v>
      </c>
    </row>
    <row r="26" spans="1:29" ht="15">
      <c r="A26" s="408"/>
      <c r="B26" s="402" t="s">
        <v>2367</v>
      </c>
      <c r="C26" s="441" t="s">
        <v>2866</v>
      </c>
      <c r="D26" s="415">
        <v>100</v>
      </c>
      <c r="E26" s="2409" t="s">
        <v>2889</v>
      </c>
      <c r="F26" s="442">
        <f>SUMIF(88:88,E26,89:89)-SUMIF(88:88,C26,89:89)+100</f>
        <v>95</v>
      </c>
      <c r="G26" s="2410" t="s">
        <v>2866</v>
      </c>
      <c r="H26" s="415">
        <f>SUMIF(88:88,G26,89:89)-SUMIF(88:88,C26,89:89)+100</f>
        <v>100</v>
      </c>
      <c r="I26" s="2409" t="s">
        <v>2889</v>
      </c>
      <c r="J26" s="415">
        <f>SUMIF(88:88,I26,89:89)-SUMIF(88:88,C26,89:89)+100</f>
        <v>95</v>
      </c>
      <c r="K26" s="406">
        <v>5</v>
      </c>
      <c r="L26" s="1253"/>
      <c r="M26" s="1244"/>
      <c r="N26" s="1244"/>
      <c r="O26" s="1244"/>
      <c r="P26" s="3035"/>
      <c r="Q26" s="1899" t="str">
        <f t="shared" si="11"/>
        <v>朝向</v>
      </c>
      <c r="R26" s="753" t="s">
        <v>28</v>
      </c>
      <c r="S26" s="754">
        <f>F26</f>
        <v>95</v>
      </c>
      <c r="T26" s="753" t="s">
        <v>28</v>
      </c>
      <c r="U26" s="754">
        <f>H26</f>
        <v>100</v>
      </c>
      <c r="V26" s="753" t="s">
        <v>28</v>
      </c>
      <c r="W26" s="754">
        <f>J26</f>
        <v>95</v>
      </c>
      <c r="X26" s="1900"/>
      <c r="Y26" s="3037"/>
      <c r="Z26" s="1902" t="str">
        <f>Q26</f>
        <v>朝向</v>
      </c>
      <c r="AA26" s="1903">
        <f t="shared" si="3"/>
        <v>1.0526315789473684</v>
      </c>
      <c r="AB26" s="1903">
        <f t="shared" si="4"/>
        <v>1</v>
      </c>
      <c r="AC26" s="1903">
        <f t="shared" si="5"/>
        <v>1.0526315789473684</v>
      </c>
    </row>
    <row r="27" spans="1:29" s="35" customFormat="1" ht="28.5">
      <c r="A27" s="411"/>
      <c r="B27" s="2398" t="s">
        <v>2368</v>
      </c>
      <c r="C27" s="412" t="str">
        <f>C90</f>
        <v>城市次干道路——白家庄路</v>
      </c>
      <c r="D27" s="443">
        <v>100</v>
      </c>
      <c r="E27" s="1473" t="str">
        <f>C27</f>
        <v>城市次干道路——白家庄路</v>
      </c>
      <c r="F27" s="445">
        <f>SUMIF(90:90,E27,91:91)-SUMIF(90:90,C27,91:91)+100</f>
        <v>100</v>
      </c>
      <c r="G27" s="412" t="str">
        <f>C27</f>
        <v>城市次干道路——白家庄路</v>
      </c>
      <c r="H27" s="443">
        <f>SUMIF(90:90,G27,91:91)-SUMIF(90:90,C27,91:91)+100</f>
        <v>100</v>
      </c>
      <c r="I27" s="2764" t="s">
        <v>2886</v>
      </c>
      <c r="J27" s="443">
        <f>SUMIF(90:90,I27,91:91)-SUMIF(90:90,C27,91:91)+100</f>
        <v>98</v>
      </c>
      <c r="K27" s="2399"/>
      <c r="L27" s="1245"/>
      <c r="M27" s="1246"/>
      <c r="N27" s="1246"/>
      <c r="O27" s="1246"/>
      <c r="P27" s="3035"/>
      <c r="Q27" s="1887" t="str">
        <f t="shared" si="11"/>
        <v>道路级别</v>
      </c>
      <c r="R27" s="749" t="s">
        <v>28</v>
      </c>
      <c r="S27" s="750">
        <f>F27</f>
        <v>100</v>
      </c>
      <c r="T27" s="749" t="s">
        <v>28</v>
      </c>
      <c r="U27" s="750">
        <f>H27</f>
        <v>100</v>
      </c>
      <c r="V27" s="749" t="s">
        <v>28</v>
      </c>
      <c r="W27" s="750">
        <f>J27</f>
        <v>98</v>
      </c>
      <c r="X27" s="751"/>
      <c r="Y27" s="3037"/>
      <c r="Z27" s="23" t="str">
        <f>Q27</f>
        <v>道路级别</v>
      </c>
      <c r="AA27" s="1903">
        <f>D27/F27</f>
        <v>1</v>
      </c>
      <c r="AB27" s="1903">
        <f>D27/H27</f>
        <v>1</v>
      </c>
      <c r="AC27" s="1903">
        <f>D27/J27</f>
        <v>1.0204081632653061</v>
      </c>
    </row>
    <row r="28" spans="1:29" ht="15.75" thickBot="1">
      <c r="A28" s="408"/>
      <c r="B28" s="2753" t="s">
        <v>2867</v>
      </c>
      <c r="C28" s="2758" t="str">
        <f>C92</f>
        <v>5/21</v>
      </c>
      <c r="D28" s="415">
        <v>100</v>
      </c>
      <c r="E28" s="414" t="str">
        <f>D92</f>
        <v>中层/14</v>
      </c>
      <c r="F28" s="442">
        <f>SUMIF(92:92,E28,93:93)-SUMIF(92:92,C28,93:93)+100</f>
        <v>101</v>
      </c>
      <c r="G28" s="414" t="str">
        <f>E92</f>
        <v>中层/10</v>
      </c>
      <c r="H28" s="415">
        <f>SUMIF(92:92,G28,93:93)-SUMIF(92:92,C28,93:93)+100</f>
        <v>101</v>
      </c>
      <c r="I28" s="414" t="str">
        <f>F92</f>
        <v>中层/32</v>
      </c>
      <c r="J28" s="415">
        <f>SUMIF(92:92,I28,93:93)-SUMIF(92:92,C28,93:93)+100</f>
        <v>102</v>
      </c>
      <c r="K28" s="2399"/>
      <c r="L28" s="1253"/>
      <c r="M28" s="1244"/>
      <c r="N28" s="1244"/>
      <c r="O28" s="1244"/>
      <c r="P28" s="3035"/>
      <c r="Q28" s="1899" t="str">
        <f t="shared" si="11"/>
        <v>楼层</v>
      </c>
      <c r="R28" s="753" t="s">
        <v>28</v>
      </c>
      <c r="S28" s="754">
        <f t="shared" ref="S28:S46" si="12">F28</f>
        <v>101</v>
      </c>
      <c r="T28" s="753" t="s">
        <v>28</v>
      </c>
      <c r="U28" s="754">
        <f t="shared" ref="U28:U46" si="13">H28</f>
        <v>101</v>
      </c>
      <c r="V28" s="753" t="s">
        <v>28</v>
      </c>
      <c r="W28" s="754">
        <f t="shared" ref="W28:W46" si="14">J28</f>
        <v>102</v>
      </c>
      <c r="X28" s="1900"/>
      <c r="Y28" s="3037"/>
      <c r="Z28" s="1902" t="str">
        <f t="shared" ref="Z28:Z46" si="15">Q28</f>
        <v>楼层</v>
      </c>
      <c r="AA28" s="1903">
        <f t="shared" si="3"/>
        <v>0.99009900990099009</v>
      </c>
      <c r="AB28" s="1903">
        <f t="shared" si="4"/>
        <v>0.99009900990099009</v>
      </c>
      <c r="AC28" s="1903">
        <f t="shared" si="5"/>
        <v>0.98039215686274506</v>
      </c>
    </row>
    <row r="29" spans="1:29" ht="15" hidden="1">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35"/>
      <c r="Q29" s="1899">
        <f t="shared" si="11"/>
        <v>111</v>
      </c>
      <c r="R29" s="753" t="s">
        <v>28</v>
      </c>
      <c r="S29" s="754">
        <f t="shared" si="12"/>
        <v>100</v>
      </c>
      <c r="T29" s="753" t="s">
        <v>28</v>
      </c>
      <c r="U29" s="754">
        <f t="shared" si="13"/>
        <v>100</v>
      </c>
      <c r="V29" s="753" t="s">
        <v>28</v>
      </c>
      <c r="W29" s="754">
        <f t="shared" si="14"/>
        <v>100</v>
      </c>
      <c r="X29" s="1900"/>
      <c r="Y29" s="3037"/>
      <c r="Z29" s="1902">
        <f t="shared" si="15"/>
        <v>111</v>
      </c>
      <c r="AA29" s="1903">
        <f t="shared" si="3"/>
        <v>1</v>
      </c>
      <c r="AB29" s="1903">
        <f t="shared" si="4"/>
        <v>1</v>
      </c>
      <c r="AC29" s="1903">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35"/>
      <c r="Q30" s="1899">
        <f t="shared" si="11"/>
        <v>111</v>
      </c>
      <c r="R30" s="753" t="s">
        <v>28</v>
      </c>
      <c r="S30" s="754">
        <f t="shared" si="12"/>
        <v>100</v>
      </c>
      <c r="T30" s="753" t="s">
        <v>28</v>
      </c>
      <c r="U30" s="754">
        <f t="shared" si="13"/>
        <v>100</v>
      </c>
      <c r="V30" s="753" t="s">
        <v>28</v>
      </c>
      <c r="W30" s="754">
        <f t="shared" si="14"/>
        <v>100</v>
      </c>
      <c r="X30" s="1900"/>
      <c r="Y30" s="3037"/>
      <c r="Z30" s="1902">
        <f t="shared" si="15"/>
        <v>111</v>
      </c>
      <c r="AA30" s="1903">
        <f t="shared" si="3"/>
        <v>1</v>
      </c>
      <c r="AB30" s="1903">
        <f t="shared" si="4"/>
        <v>1</v>
      </c>
      <c r="AC30" s="1903">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35"/>
      <c r="Q31" s="1899">
        <f t="shared" si="11"/>
        <v>111</v>
      </c>
      <c r="R31" s="753" t="s">
        <v>28</v>
      </c>
      <c r="S31" s="754">
        <f t="shared" si="12"/>
        <v>100</v>
      </c>
      <c r="T31" s="753" t="s">
        <v>28</v>
      </c>
      <c r="U31" s="754">
        <f t="shared" si="13"/>
        <v>100</v>
      </c>
      <c r="V31" s="753" t="s">
        <v>28</v>
      </c>
      <c r="W31" s="754">
        <f t="shared" si="14"/>
        <v>100</v>
      </c>
      <c r="X31" s="1900"/>
      <c r="Y31" s="3037"/>
      <c r="Z31" s="1902">
        <f t="shared" si="15"/>
        <v>111</v>
      </c>
      <c r="AA31" s="1903">
        <f t="shared" si="3"/>
        <v>1</v>
      </c>
      <c r="AB31" s="1903">
        <f t="shared" si="4"/>
        <v>1</v>
      </c>
      <c r="AC31" s="1903">
        <f t="shared" si="5"/>
        <v>1</v>
      </c>
    </row>
    <row r="32" spans="1:29" ht="15">
      <c r="A32" s="419" t="s">
        <v>2369</v>
      </c>
      <c r="B32" s="28" t="s">
        <v>2370</v>
      </c>
      <c r="C32" s="2412" t="s">
        <v>2864</v>
      </c>
      <c r="D32" s="448">
        <v>100</v>
      </c>
      <c r="E32" s="2413" t="s">
        <v>2864</v>
      </c>
      <c r="F32" s="442">
        <f>SUMIF(100:100,E32,101:101)-SUMIF(100:100,C32,101:101)+100</f>
        <v>100</v>
      </c>
      <c r="G32" s="2412" t="s">
        <v>2864</v>
      </c>
      <c r="H32" s="448">
        <f>SUMIF(100:100,G32,101:101)-SUMIF(100:100,C32,101:101)+100</f>
        <v>100</v>
      </c>
      <c r="I32" s="2413" t="s">
        <v>2894</v>
      </c>
      <c r="J32" s="415">
        <f>SUMIF(100:100,I32,101:101)-SUMIF(100:100,C32,101:101)+100</f>
        <v>98</v>
      </c>
      <c r="K32" s="406">
        <v>2</v>
      </c>
      <c r="L32" s="1253"/>
      <c r="M32" s="1244"/>
      <c r="N32" s="1244"/>
      <c r="O32" s="1244"/>
      <c r="P32" s="3038" t="s">
        <v>2371</v>
      </c>
      <c r="Q32" s="1899" t="str">
        <f t="shared" si="11"/>
        <v>建筑类型</v>
      </c>
      <c r="R32" s="753" t="s">
        <v>28</v>
      </c>
      <c r="S32" s="754">
        <f t="shared" si="12"/>
        <v>100</v>
      </c>
      <c r="T32" s="753" t="s">
        <v>28</v>
      </c>
      <c r="U32" s="754">
        <f t="shared" si="13"/>
        <v>100</v>
      </c>
      <c r="V32" s="753" t="s">
        <v>28</v>
      </c>
      <c r="W32" s="754">
        <f t="shared" si="14"/>
        <v>98</v>
      </c>
      <c r="X32" s="1900"/>
      <c r="Y32" s="3041" t="s">
        <v>2371</v>
      </c>
      <c r="Z32" s="1902" t="str">
        <f t="shared" si="15"/>
        <v>建筑类型</v>
      </c>
      <c r="AA32" s="1903">
        <f t="shared" si="3"/>
        <v>1</v>
      </c>
      <c r="AB32" s="1903">
        <f t="shared" si="4"/>
        <v>1</v>
      </c>
      <c r="AC32" s="1903">
        <f t="shared" si="5"/>
        <v>1.0204081632653061</v>
      </c>
    </row>
    <row r="33" spans="1:29" s="452" customFormat="1" ht="15">
      <c r="A33" s="449"/>
      <c r="B33" s="402" t="s">
        <v>2372</v>
      </c>
      <c r="C33" s="450">
        <f>项目基本情况!C12</f>
        <v>31.27</v>
      </c>
      <c r="D33" s="52">
        <v>100</v>
      </c>
      <c r="E33" s="410">
        <v>101.07</v>
      </c>
      <c r="F33" s="405">
        <f>LOOKUP(E33,103:103,104:104)-LOOKUP(C33,103:103,104:104)+100</f>
        <v>98</v>
      </c>
      <c r="G33" s="409">
        <v>194.3</v>
      </c>
      <c r="H33" s="52">
        <f>LOOKUP(G33,103:103,104:104)-LOOKUP(C33,103:103,104:104)+100</f>
        <v>96</v>
      </c>
      <c r="I33" s="410">
        <v>121.25</v>
      </c>
      <c r="J33" s="52">
        <f>LOOKUP(I33,103:103,104:104)-LOOKUP(C33,103:103,104:104)+100</f>
        <v>97</v>
      </c>
      <c r="K33" s="2399"/>
      <c r="L33" s="1251"/>
      <c r="M33" s="1254"/>
      <c r="N33" s="1254"/>
      <c r="O33" s="1254"/>
      <c r="P33" s="3039"/>
      <c r="Q33" s="755" t="str">
        <f t="shared" si="11"/>
        <v>项目建筑规模</v>
      </c>
      <c r="R33" s="756" t="s">
        <v>28</v>
      </c>
      <c r="S33" s="757">
        <f t="shared" si="12"/>
        <v>98</v>
      </c>
      <c r="T33" s="756" t="s">
        <v>28</v>
      </c>
      <c r="U33" s="757">
        <f t="shared" si="13"/>
        <v>96</v>
      </c>
      <c r="V33" s="756" t="s">
        <v>28</v>
      </c>
      <c r="W33" s="757">
        <f t="shared" si="14"/>
        <v>97</v>
      </c>
      <c r="X33" s="758"/>
      <c r="Y33" s="3041"/>
      <c r="Z33" s="759" t="str">
        <f t="shared" si="15"/>
        <v>项目建筑规模</v>
      </c>
      <c r="AA33" s="1903">
        <f t="shared" si="3"/>
        <v>1.0204081632653061</v>
      </c>
      <c r="AB33" s="1903">
        <f t="shared" si="4"/>
        <v>1.0416666666666667</v>
      </c>
      <c r="AC33" s="1903">
        <f t="shared" si="5"/>
        <v>1.0309278350515463</v>
      </c>
    </row>
    <row r="34" spans="1:29" ht="15">
      <c r="A34" s="453"/>
      <c r="B34" s="402" t="s">
        <v>2373</v>
      </c>
      <c r="C34" s="2414" t="s">
        <v>2862</v>
      </c>
      <c r="D34" s="415">
        <v>100</v>
      </c>
      <c r="E34" s="2415" t="s">
        <v>2862</v>
      </c>
      <c r="F34" s="442">
        <f>SUMIF(105:105,E34,106:106)-SUMIF(105:105,C34,106:106)+100</f>
        <v>100</v>
      </c>
      <c r="G34" s="2414" t="s">
        <v>2862</v>
      </c>
      <c r="H34" s="415">
        <f>SUMIF(105:105,G34,106:106)-SUMIF(105:105,C34,106:106)+100</f>
        <v>100</v>
      </c>
      <c r="I34" s="2415" t="s">
        <v>2862</v>
      </c>
      <c r="J34" s="415">
        <f>SUMIF(105:105,I34,106:106)-SUMIF(105:105,C34,106:106)+100</f>
        <v>100</v>
      </c>
      <c r="K34" s="406"/>
      <c r="L34" s="1253"/>
      <c r="M34" s="1244"/>
      <c r="N34" s="1244"/>
      <c r="O34" s="1244"/>
      <c r="P34" s="3039"/>
      <c r="Q34" s="1899" t="str">
        <f t="shared" si="11"/>
        <v>建筑结构</v>
      </c>
      <c r="R34" s="753" t="s">
        <v>28</v>
      </c>
      <c r="S34" s="754">
        <f t="shared" si="12"/>
        <v>100</v>
      </c>
      <c r="T34" s="753" t="s">
        <v>28</v>
      </c>
      <c r="U34" s="754">
        <f t="shared" si="13"/>
        <v>100</v>
      </c>
      <c r="V34" s="753" t="s">
        <v>28</v>
      </c>
      <c r="W34" s="754">
        <f t="shared" si="14"/>
        <v>100</v>
      </c>
      <c r="X34" s="1900"/>
      <c r="Y34" s="3041"/>
      <c r="Z34" s="1902" t="str">
        <f t="shared" si="15"/>
        <v>建筑结构</v>
      </c>
      <c r="AA34" s="1903">
        <f t="shared" si="3"/>
        <v>1</v>
      </c>
      <c r="AB34" s="1903">
        <f t="shared" si="4"/>
        <v>1</v>
      </c>
      <c r="AC34" s="1903">
        <f t="shared" si="5"/>
        <v>1</v>
      </c>
    </row>
    <row r="35" spans="1:29" ht="15">
      <c r="A35" s="453"/>
      <c r="B35" s="402" t="s">
        <v>2374</v>
      </c>
      <c r="C35" s="2410" t="s">
        <v>2860</v>
      </c>
      <c r="D35" s="415">
        <v>100</v>
      </c>
      <c r="E35" s="2409" t="s">
        <v>2860</v>
      </c>
      <c r="F35" s="442">
        <f>SUMIF(107:107,E35,108:108)-SUMIF(107:107,C35,108:108)+100</f>
        <v>100</v>
      </c>
      <c r="G35" s="2410" t="s">
        <v>2860</v>
      </c>
      <c r="H35" s="415">
        <f>SUMIF(107:107,G35,108:108)-SUMIF(107:107,C35,108:108)+100</f>
        <v>100</v>
      </c>
      <c r="I35" s="2409" t="s">
        <v>2860</v>
      </c>
      <c r="J35" s="415">
        <f>SUMIF(107:107,I35,108:108)-SUMIF(107:107,C35,108:108)+100</f>
        <v>100</v>
      </c>
      <c r="K35" s="406"/>
      <c r="L35" s="1253"/>
      <c r="M35" s="1244"/>
      <c r="N35" s="1244"/>
      <c r="O35" s="1244"/>
      <c r="P35" s="3039"/>
      <c r="Q35" s="1899" t="str">
        <f t="shared" si="11"/>
        <v>建筑品质</v>
      </c>
      <c r="R35" s="753" t="s">
        <v>28</v>
      </c>
      <c r="S35" s="754">
        <f t="shared" si="12"/>
        <v>100</v>
      </c>
      <c r="T35" s="753" t="s">
        <v>28</v>
      </c>
      <c r="U35" s="754">
        <f t="shared" si="13"/>
        <v>100</v>
      </c>
      <c r="V35" s="753" t="s">
        <v>28</v>
      </c>
      <c r="W35" s="754">
        <f t="shared" si="14"/>
        <v>100</v>
      </c>
      <c r="X35" s="1900"/>
      <c r="Y35" s="3041"/>
      <c r="Z35" s="1902" t="str">
        <f t="shared" si="15"/>
        <v>建筑品质</v>
      </c>
      <c r="AA35" s="1903">
        <f t="shared" si="3"/>
        <v>1</v>
      </c>
      <c r="AB35" s="1903">
        <f t="shared" si="4"/>
        <v>1</v>
      </c>
      <c r="AC35" s="1903">
        <f t="shared" si="5"/>
        <v>1</v>
      </c>
    </row>
    <row r="36" spans="1:29" ht="15">
      <c r="A36" s="453"/>
      <c r="B36" s="402" t="s">
        <v>2375</v>
      </c>
      <c r="C36" s="2410" t="s">
        <v>2858</v>
      </c>
      <c r="D36" s="415">
        <v>100</v>
      </c>
      <c r="E36" s="2409" t="s">
        <v>2858</v>
      </c>
      <c r="F36" s="442">
        <f>SUMIF(109:109,E36,110:110)-SUMIF(109:109,C36,110:110)+100</f>
        <v>100</v>
      </c>
      <c r="G36" s="2410" t="s">
        <v>2858</v>
      </c>
      <c r="H36" s="415">
        <f>SUMIF(109:109,G36,110:110)-SUMIF(109:109,C36,110:110)+100</f>
        <v>100</v>
      </c>
      <c r="I36" s="2409" t="s">
        <v>2858</v>
      </c>
      <c r="J36" s="415">
        <f>SUMIF(109:109,I36,110:110)-SUMIF(109:109,C36,110:110)+100</f>
        <v>100</v>
      </c>
      <c r="K36" s="406"/>
      <c r="L36" s="1253"/>
      <c r="M36" s="1244"/>
      <c r="N36" s="1244"/>
      <c r="O36" s="1244"/>
      <c r="P36" s="3039"/>
      <c r="Q36" s="1899" t="str">
        <f t="shared" si="11"/>
        <v>公共部分装修</v>
      </c>
      <c r="R36" s="753" t="s">
        <v>28</v>
      </c>
      <c r="S36" s="754">
        <f t="shared" si="12"/>
        <v>100</v>
      </c>
      <c r="T36" s="753" t="s">
        <v>28</v>
      </c>
      <c r="U36" s="754">
        <f t="shared" si="13"/>
        <v>100</v>
      </c>
      <c r="V36" s="753" t="s">
        <v>28</v>
      </c>
      <c r="W36" s="754">
        <f t="shared" si="14"/>
        <v>100</v>
      </c>
      <c r="X36" s="1900"/>
      <c r="Y36" s="3041"/>
      <c r="Z36" s="1902" t="str">
        <f t="shared" si="15"/>
        <v>公共部分装修</v>
      </c>
      <c r="AA36" s="1903">
        <f t="shared" si="3"/>
        <v>1</v>
      </c>
      <c r="AB36" s="1903">
        <f t="shared" si="4"/>
        <v>1</v>
      </c>
      <c r="AC36" s="1903">
        <f t="shared" si="5"/>
        <v>1</v>
      </c>
    </row>
    <row r="37" spans="1:29" s="35" customFormat="1" ht="15" hidden="1">
      <c r="A37" s="454"/>
      <c r="B37" s="402" t="s">
        <v>2376</v>
      </c>
      <c r="C37" s="455">
        <v>0.85</v>
      </c>
      <c r="D37" s="52">
        <v>100</v>
      </c>
      <c r="E37" s="456">
        <v>0.85</v>
      </c>
      <c r="F37" s="405">
        <f>LOOKUP(E37,112:112,113:113)-LOOKUP(C37,112:112,113:113)+100</f>
        <v>100</v>
      </c>
      <c r="G37" s="457">
        <v>0.85</v>
      </c>
      <c r="H37" s="52">
        <f>LOOKUP(G37,112:112,113:113)-LOOKUP(C37,112:112,113:113)+100</f>
        <v>100</v>
      </c>
      <c r="I37" s="456">
        <v>0.85</v>
      </c>
      <c r="J37" s="52">
        <f>LOOKUP(I37,112:112,113:113)-LOOKUP(C37,112:112,113:113)+100</f>
        <v>100</v>
      </c>
      <c r="K37" s="406"/>
      <c r="L37" s="1245"/>
      <c r="M37" s="1246"/>
      <c r="N37" s="1246"/>
      <c r="O37" s="1246"/>
      <c r="P37" s="3039"/>
      <c r="Q37" s="1887" t="str">
        <f t="shared" si="11"/>
        <v>成新度</v>
      </c>
      <c r="R37" s="749" t="s">
        <v>28</v>
      </c>
      <c r="S37" s="750">
        <f t="shared" si="12"/>
        <v>100</v>
      </c>
      <c r="T37" s="749" t="s">
        <v>28</v>
      </c>
      <c r="U37" s="750">
        <f t="shared" si="13"/>
        <v>100</v>
      </c>
      <c r="V37" s="749" t="s">
        <v>28</v>
      </c>
      <c r="W37" s="750">
        <f t="shared" si="14"/>
        <v>100</v>
      </c>
      <c r="X37" s="751"/>
      <c r="Y37" s="3041"/>
      <c r="Z37" s="23" t="str">
        <f t="shared" si="15"/>
        <v>成新度</v>
      </c>
      <c r="AA37" s="752">
        <f t="shared" si="3"/>
        <v>1</v>
      </c>
      <c r="AB37" s="752">
        <f t="shared" si="4"/>
        <v>1</v>
      </c>
      <c r="AC37" s="752">
        <f t="shared" si="5"/>
        <v>1</v>
      </c>
    </row>
    <row r="38" spans="1:29" ht="15">
      <c r="A38" s="453"/>
      <c r="B38" s="402" t="s">
        <v>2377</v>
      </c>
      <c r="C38" s="2410" t="s">
        <v>2856</v>
      </c>
      <c r="D38" s="415">
        <v>100</v>
      </c>
      <c r="E38" s="2409" t="s">
        <v>2856</v>
      </c>
      <c r="F38" s="442">
        <f>SUMIF(114:114,E38,115:115)-SUMIF(114:114,C38,115:115)+100</f>
        <v>100</v>
      </c>
      <c r="G38" s="2410" t="s">
        <v>2856</v>
      </c>
      <c r="H38" s="415">
        <f>SUMIF(114:114,G38,115:115)-SUMIF(114:114,C38,115:115)+100</f>
        <v>100</v>
      </c>
      <c r="I38" s="2409" t="s">
        <v>2856</v>
      </c>
      <c r="J38" s="415">
        <f>SUMIF(114:114,I38,115:115)-SUMIF(114:114,C38,115:115)+100</f>
        <v>100</v>
      </c>
      <c r="K38" s="406"/>
      <c r="L38" s="1253"/>
      <c r="M38" s="1244"/>
      <c r="N38" s="1244"/>
      <c r="O38" s="1244"/>
      <c r="P38" s="3039" t="s">
        <v>2371</v>
      </c>
      <c r="Q38" s="1899" t="str">
        <f t="shared" si="11"/>
        <v>物业管理</v>
      </c>
      <c r="R38" s="753" t="s">
        <v>28</v>
      </c>
      <c r="S38" s="754">
        <f t="shared" si="12"/>
        <v>100</v>
      </c>
      <c r="T38" s="753" t="s">
        <v>28</v>
      </c>
      <c r="U38" s="754">
        <f t="shared" si="13"/>
        <v>100</v>
      </c>
      <c r="V38" s="753" t="s">
        <v>28</v>
      </c>
      <c r="W38" s="754">
        <f t="shared" si="14"/>
        <v>100</v>
      </c>
      <c r="X38" s="1900"/>
      <c r="Y38" s="3041" t="s">
        <v>2371</v>
      </c>
      <c r="Z38" s="1902" t="str">
        <f t="shared" si="15"/>
        <v>物业管理</v>
      </c>
      <c r="AA38" s="1903">
        <f t="shared" si="3"/>
        <v>1</v>
      </c>
      <c r="AB38" s="1903">
        <f t="shared" si="4"/>
        <v>1</v>
      </c>
      <c r="AC38" s="1903">
        <f t="shared" si="5"/>
        <v>1</v>
      </c>
    </row>
    <row r="39" spans="1:29" ht="15">
      <c r="A39" s="453"/>
      <c r="B39" s="402" t="s">
        <v>2378</v>
      </c>
      <c r="C39" s="2410" t="s">
        <v>2846</v>
      </c>
      <c r="D39" s="415">
        <v>100</v>
      </c>
      <c r="E39" s="2409" t="s">
        <v>2846</v>
      </c>
      <c r="F39" s="442">
        <f>SUMIF(116:116,E39,117:117)-SUMIF(116:116,C39,117:117)+100</f>
        <v>100</v>
      </c>
      <c r="G39" s="2410" t="s">
        <v>2846</v>
      </c>
      <c r="H39" s="415">
        <f>SUMIF(116:116,G39,117:117)-SUMIF(116:116,C39,117:117)+100</f>
        <v>100</v>
      </c>
      <c r="I39" s="2409" t="s">
        <v>2846</v>
      </c>
      <c r="J39" s="415">
        <f>SUMIF(116:116,I39,117:117)-SUMIF(116:116,C39,117:117)+100</f>
        <v>100</v>
      </c>
      <c r="K39" s="406"/>
      <c r="L39" s="1253"/>
      <c r="M39" s="1244"/>
      <c r="N39" s="1244"/>
      <c r="O39" s="1244"/>
      <c r="P39" s="3039"/>
      <c r="Q39" s="1899" t="str">
        <f t="shared" si="11"/>
        <v>市政基础设施</v>
      </c>
      <c r="R39" s="753" t="s">
        <v>28</v>
      </c>
      <c r="S39" s="754">
        <f t="shared" si="12"/>
        <v>100</v>
      </c>
      <c r="T39" s="753" t="s">
        <v>28</v>
      </c>
      <c r="U39" s="754">
        <f t="shared" si="13"/>
        <v>100</v>
      </c>
      <c r="V39" s="753" t="s">
        <v>28</v>
      </c>
      <c r="W39" s="754">
        <f t="shared" si="14"/>
        <v>100</v>
      </c>
      <c r="X39" s="1900"/>
      <c r="Y39" s="3041"/>
      <c r="Z39" s="1902" t="str">
        <f t="shared" si="15"/>
        <v>市政基础设施</v>
      </c>
      <c r="AA39" s="1903">
        <f t="shared" si="3"/>
        <v>1</v>
      </c>
      <c r="AB39" s="1903">
        <f t="shared" si="4"/>
        <v>1</v>
      </c>
      <c r="AC39" s="1903">
        <f t="shared" si="5"/>
        <v>1</v>
      </c>
    </row>
    <row r="40" spans="1:29" ht="15">
      <c r="A40" s="453"/>
      <c r="B40" s="402" t="s">
        <v>2379</v>
      </c>
      <c r="C40" s="2410" t="s">
        <v>2853</v>
      </c>
      <c r="D40" s="415">
        <v>100</v>
      </c>
      <c r="E40" s="2409" t="s">
        <v>2853</v>
      </c>
      <c r="F40" s="442">
        <f>SUMIF(118:118,E40,119:119)-SUMIF(118:118,C40,119:119)+100</f>
        <v>100</v>
      </c>
      <c r="G40" s="2410" t="s">
        <v>2853</v>
      </c>
      <c r="H40" s="415">
        <f>SUMIF(118:118,G40,119:119)-SUMIF(118:118,C40,119:119)+100</f>
        <v>100</v>
      </c>
      <c r="I40" s="2409" t="s">
        <v>2853</v>
      </c>
      <c r="J40" s="415">
        <f>SUMIF(118:118,I40,119:119)-SUMIF(118:118,C40,119:119)+100</f>
        <v>100</v>
      </c>
      <c r="K40" s="406"/>
      <c r="L40" s="1253"/>
      <c r="M40" s="1244"/>
      <c r="N40" s="1244"/>
      <c r="O40" s="1244"/>
      <c r="P40" s="3039"/>
      <c r="Q40" s="1899" t="str">
        <f t="shared" si="11"/>
        <v>房型</v>
      </c>
      <c r="R40" s="753" t="s">
        <v>28</v>
      </c>
      <c r="S40" s="754">
        <f t="shared" si="12"/>
        <v>100</v>
      </c>
      <c r="T40" s="753" t="s">
        <v>28</v>
      </c>
      <c r="U40" s="754">
        <f t="shared" si="13"/>
        <v>100</v>
      </c>
      <c r="V40" s="753" t="s">
        <v>28</v>
      </c>
      <c r="W40" s="754">
        <f t="shared" si="14"/>
        <v>100</v>
      </c>
      <c r="X40" s="1900"/>
      <c r="Y40" s="3041"/>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39"/>
      <c r="Q41" s="755" t="str">
        <f t="shared" si="11"/>
        <v>单套/主力户型建筑面积</v>
      </c>
      <c r="R41" s="756" t="s">
        <v>28</v>
      </c>
      <c r="S41" s="757">
        <f t="shared" si="12"/>
        <v>100</v>
      </c>
      <c r="T41" s="756" t="s">
        <v>28</v>
      </c>
      <c r="U41" s="757">
        <f t="shared" si="13"/>
        <v>100</v>
      </c>
      <c r="V41" s="756" t="s">
        <v>28</v>
      </c>
      <c r="W41" s="757">
        <f t="shared" si="14"/>
        <v>100</v>
      </c>
      <c r="X41" s="758"/>
      <c r="Y41" s="3041"/>
      <c r="Z41" s="759" t="str">
        <f t="shared" si="15"/>
        <v>单套/主力户型建筑面积</v>
      </c>
      <c r="AA41" s="1903">
        <f t="shared" si="3"/>
        <v>1</v>
      </c>
      <c r="AB41" s="1903">
        <f t="shared" si="4"/>
        <v>1</v>
      </c>
      <c r="AC41" s="1903">
        <f t="shared" si="5"/>
        <v>1</v>
      </c>
    </row>
    <row r="42" spans="1:29" ht="15">
      <c r="A42" s="453"/>
      <c r="B42" s="402" t="s">
        <v>2381</v>
      </c>
      <c r="C42" s="2410" t="s">
        <v>2880</v>
      </c>
      <c r="D42" s="415">
        <v>100</v>
      </c>
      <c r="E42" s="2409" t="s">
        <v>2880</v>
      </c>
      <c r="F42" s="442">
        <f>SUMIF(122:122,E42,123:123)-SUMIF(122:122,C42,123:123)+100</f>
        <v>100</v>
      </c>
      <c r="G42" s="2410" t="s">
        <v>2880</v>
      </c>
      <c r="H42" s="415">
        <f>SUMIF(122:122,G42,123:123)-SUMIF(122:122,C42,123:123)+100</f>
        <v>100</v>
      </c>
      <c r="I42" s="2409" t="s">
        <v>2858</v>
      </c>
      <c r="J42" s="415">
        <f>SUMIF(122:122,I42,123:123)-SUMIF(122:122,C42,123:123)+100</f>
        <v>100</v>
      </c>
      <c r="K42" s="406"/>
      <c r="L42" s="1253"/>
      <c r="M42" s="1244"/>
      <c r="N42" s="1244"/>
      <c r="O42" s="1244"/>
      <c r="P42" s="3039"/>
      <c r="Q42" s="1899" t="str">
        <f t="shared" si="11"/>
        <v>内部装修</v>
      </c>
      <c r="R42" s="753" t="s">
        <v>28</v>
      </c>
      <c r="S42" s="754">
        <f t="shared" si="12"/>
        <v>100</v>
      </c>
      <c r="T42" s="753" t="s">
        <v>28</v>
      </c>
      <c r="U42" s="754">
        <f t="shared" si="13"/>
        <v>100</v>
      </c>
      <c r="V42" s="753" t="s">
        <v>28</v>
      </c>
      <c r="W42" s="754">
        <f t="shared" si="14"/>
        <v>100</v>
      </c>
      <c r="X42" s="1900"/>
      <c r="Y42" s="3041"/>
      <c r="Z42" s="1902" t="str">
        <f t="shared" si="15"/>
        <v>内部装修</v>
      </c>
      <c r="AA42" s="1903">
        <f t="shared" si="3"/>
        <v>1</v>
      </c>
      <c r="AB42" s="1903">
        <f t="shared" si="4"/>
        <v>1</v>
      </c>
      <c r="AC42" s="1903">
        <f t="shared" si="5"/>
        <v>1</v>
      </c>
    </row>
    <row r="43" spans="1:29" ht="15">
      <c r="A43" s="453"/>
      <c r="B43" s="402" t="s">
        <v>2382</v>
      </c>
      <c r="C43" s="2410" t="s">
        <v>31</v>
      </c>
      <c r="D43" s="415">
        <v>100</v>
      </c>
      <c r="E43" s="2409" t="s">
        <v>30</v>
      </c>
      <c r="F43" s="442">
        <f>SUMIF(124:124,E43,125:125)-SUMIF(124:124,C43,125:125)+100</f>
        <v>101</v>
      </c>
      <c r="G43" s="2410" t="s">
        <v>30</v>
      </c>
      <c r="H43" s="415">
        <f>SUMIF(124:124,G43,125:125)-SUMIF(124:124,C43,125:125)+100</f>
        <v>101</v>
      </c>
      <c r="I43" s="2409" t="s">
        <v>30</v>
      </c>
      <c r="J43" s="415">
        <f>SUMIF(124:124,I43,125:125)-SUMIF(124:124,C43,125:125)+100</f>
        <v>101</v>
      </c>
      <c r="K43" s="406">
        <v>1</v>
      </c>
      <c r="L43" s="1253"/>
      <c r="M43" s="1244"/>
      <c r="N43" s="1244"/>
      <c r="O43" s="1244"/>
      <c r="P43" s="3039"/>
      <c r="Q43" s="1899" t="str">
        <f t="shared" si="11"/>
        <v>内部装修维护情况</v>
      </c>
      <c r="R43" s="753" t="s">
        <v>28</v>
      </c>
      <c r="S43" s="754">
        <f t="shared" si="12"/>
        <v>101</v>
      </c>
      <c r="T43" s="753" t="s">
        <v>28</v>
      </c>
      <c r="U43" s="754">
        <f t="shared" si="13"/>
        <v>101</v>
      </c>
      <c r="V43" s="753" t="s">
        <v>28</v>
      </c>
      <c r="W43" s="754">
        <f t="shared" si="14"/>
        <v>101</v>
      </c>
      <c r="X43" s="1900"/>
      <c r="Y43" s="3041"/>
      <c r="Z43" s="1902" t="str">
        <f t="shared" si="15"/>
        <v>内部装修维护情况</v>
      </c>
      <c r="AA43" s="1903">
        <f t="shared" si="3"/>
        <v>0.99009900990099009</v>
      </c>
      <c r="AB43" s="1903">
        <f t="shared" si="4"/>
        <v>0.99009900990099009</v>
      </c>
      <c r="AC43" s="1903">
        <f t="shared" si="5"/>
        <v>0.99009900990099009</v>
      </c>
    </row>
    <row r="44" spans="1:29" s="35" customFormat="1" ht="15">
      <c r="A44" s="454"/>
      <c r="B44" s="2753" t="s">
        <v>2852</v>
      </c>
      <c r="C44" s="450">
        <v>2006</v>
      </c>
      <c r="D44" s="52">
        <v>100</v>
      </c>
      <c r="E44" s="450">
        <v>2006</v>
      </c>
      <c r="F44" s="405">
        <f>SUMIF(126:126,E44,127:127)-SUMIF(126:126,C44,127:127)+100</f>
        <v>100</v>
      </c>
      <c r="G44" s="450">
        <v>2006</v>
      </c>
      <c r="H44" s="52">
        <f>SUMIF(126:126,G44,127:127)-SUMIF(126:126,C44,127:127)+100</f>
        <v>100</v>
      </c>
      <c r="I44" s="450">
        <f>D126</f>
        <v>2005</v>
      </c>
      <c r="J44" s="52">
        <f>SUMIF(126:126,I44,127:127)-SUMIF(126:126,C44,127:127)+100</f>
        <v>99.5</v>
      </c>
      <c r="K44" s="2399"/>
      <c r="L44" s="1245"/>
      <c r="M44" s="1246"/>
      <c r="N44" s="1246"/>
      <c r="O44" s="1246"/>
      <c r="P44" s="3039"/>
      <c r="Q44" s="1887" t="str">
        <f t="shared" si="11"/>
        <v>建成年代</v>
      </c>
      <c r="R44" s="749" t="s">
        <v>28</v>
      </c>
      <c r="S44" s="750">
        <f t="shared" si="12"/>
        <v>100</v>
      </c>
      <c r="T44" s="749" t="s">
        <v>28</v>
      </c>
      <c r="U44" s="750">
        <f t="shared" si="13"/>
        <v>100</v>
      </c>
      <c r="V44" s="749" t="s">
        <v>28</v>
      </c>
      <c r="W44" s="750">
        <f t="shared" si="14"/>
        <v>99.5</v>
      </c>
      <c r="X44" s="751"/>
      <c r="Y44" s="3041"/>
      <c r="Z44" s="23" t="str">
        <f t="shared" si="15"/>
        <v>建成年代</v>
      </c>
      <c r="AA44" s="752">
        <f t="shared" si="3"/>
        <v>1</v>
      </c>
      <c r="AB44" s="752">
        <f t="shared" si="4"/>
        <v>1</v>
      </c>
      <c r="AC44" s="752">
        <f t="shared" si="5"/>
        <v>1.0050251256281406</v>
      </c>
    </row>
    <row r="45" spans="1:29" ht="15.75" thickBot="1">
      <c r="A45" s="453"/>
      <c r="B45" s="2753" t="s">
        <v>2885</v>
      </c>
      <c r="C45" s="2763" t="s">
        <v>2882</v>
      </c>
      <c r="D45" s="415">
        <v>100</v>
      </c>
      <c r="E45" s="2763" t="s">
        <v>2883</v>
      </c>
      <c r="F45" s="442">
        <f>SUMIF(128:128,E45,129:129)-SUMIF(128:128,C45,129:129)+100</f>
        <v>105</v>
      </c>
      <c r="G45" s="2763" t="s">
        <v>2884</v>
      </c>
      <c r="H45" s="415">
        <f>SUMIF(128:128,G45,129:129)-SUMIF(128:128,C45,129:129)+100</f>
        <v>105</v>
      </c>
      <c r="I45" s="2763" t="s">
        <v>2884</v>
      </c>
      <c r="J45" s="415">
        <f>SUMIF(128:128,I45,129:129)-SUMIF(128:128,C45,129:129)+100</f>
        <v>105</v>
      </c>
      <c r="K45" s="2399"/>
      <c r="L45" s="1253"/>
      <c r="M45" s="1244"/>
      <c r="N45" s="1244"/>
      <c r="O45" s="1244"/>
      <c r="P45" s="3039"/>
      <c r="Q45" s="1899" t="str">
        <f t="shared" si="11"/>
        <v>户型无法拆分</v>
      </c>
      <c r="R45" s="753" t="s">
        <v>28</v>
      </c>
      <c r="S45" s="754">
        <f t="shared" si="12"/>
        <v>105</v>
      </c>
      <c r="T45" s="753" t="s">
        <v>28</v>
      </c>
      <c r="U45" s="754">
        <f t="shared" si="13"/>
        <v>105</v>
      </c>
      <c r="V45" s="753" t="s">
        <v>28</v>
      </c>
      <c r="W45" s="754">
        <f t="shared" si="14"/>
        <v>105</v>
      </c>
      <c r="X45" s="1900"/>
      <c r="Y45" s="3041"/>
      <c r="Z45" s="1902" t="str">
        <f t="shared" si="15"/>
        <v>户型无法拆分</v>
      </c>
      <c r="AA45" s="1903">
        <f t="shared" si="3"/>
        <v>0.95238095238095233</v>
      </c>
      <c r="AB45" s="1903">
        <f t="shared" si="4"/>
        <v>0.95238095238095233</v>
      </c>
      <c r="AC45" s="1903">
        <f t="shared" si="5"/>
        <v>0.95238095238095233</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40"/>
      <c r="Q46" s="1899">
        <f t="shared" si="11"/>
        <v>111</v>
      </c>
      <c r="R46" s="753" t="s">
        <v>27</v>
      </c>
      <c r="S46" s="754">
        <f t="shared" si="12"/>
        <v>100</v>
      </c>
      <c r="T46" s="753" t="s">
        <v>27</v>
      </c>
      <c r="U46" s="754">
        <f t="shared" si="13"/>
        <v>100</v>
      </c>
      <c r="V46" s="753" t="s">
        <v>27</v>
      </c>
      <c r="W46" s="754">
        <f t="shared" si="14"/>
        <v>100</v>
      </c>
      <c r="X46" s="1900"/>
      <c r="Y46" s="3042"/>
      <c r="Z46" s="1902">
        <f t="shared" si="15"/>
        <v>111</v>
      </c>
      <c r="AA46" s="1903">
        <f t="shared" si="3"/>
        <v>1</v>
      </c>
      <c r="AB46" s="1903">
        <f t="shared" si="4"/>
        <v>1</v>
      </c>
      <c r="AC46" s="1903">
        <f t="shared" si="5"/>
        <v>1</v>
      </c>
    </row>
    <row r="47" spans="1:29" ht="15">
      <c r="A47" s="460" t="s">
        <v>2383</v>
      </c>
      <c r="B47" s="461"/>
      <c r="C47" s="1502" t="s">
        <v>26</v>
      </c>
      <c r="D47" s="1503"/>
      <c r="E47" s="1504">
        <v>90829</v>
      </c>
      <c r="F47" s="1505"/>
      <c r="G47" s="1506">
        <v>104787</v>
      </c>
      <c r="H47" s="1507"/>
      <c r="I47" s="1504">
        <v>100000</v>
      </c>
      <c r="J47" s="1507"/>
      <c r="K47" s="2416"/>
      <c r="L47" s="1256"/>
      <c r="M47" s="1257"/>
      <c r="N47" s="1244"/>
      <c r="O47" s="1257"/>
      <c r="P47" s="3033" t="str">
        <f>A47</f>
        <v>成交单价（元/平方米）</v>
      </c>
      <c r="Q47" s="3033"/>
      <c r="R47" s="3029">
        <f>E47</f>
        <v>90829</v>
      </c>
      <c r="S47" s="3029"/>
      <c r="T47" s="3029">
        <f>G47</f>
        <v>104787</v>
      </c>
      <c r="U47" s="3029"/>
      <c r="V47" s="3029">
        <f>I47</f>
        <v>100000</v>
      </c>
      <c r="W47" s="3029"/>
      <c r="X47" s="738"/>
      <c r="Y47" s="760"/>
      <c r="Z47" s="738"/>
      <c r="AA47" s="738"/>
      <c r="AB47" s="738"/>
      <c r="AC47" s="738"/>
    </row>
    <row r="48" spans="1:29" ht="15.75" thickBot="1">
      <c r="A48" s="467" t="s">
        <v>2384</v>
      </c>
      <c r="B48" s="468"/>
      <c r="C48" s="1508">
        <f>R49</f>
        <v>96077</v>
      </c>
      <c r="D48" s="1509"/>
      <c r="E48" s="1510">
        <f>R48</f>
        <v>89298</v>
      </c>
      <c r="F48" s="1510"/>
      <c r="G48" s="1508">
        <f>T48</f>
        <v>97988</v>
      </c>
      <c r="H48" s="1509"/>
      <c r="I48" s="1510">
        <f>V48</f>
        <v>100945</v>
      </c>
      <c r="J48" s="1509"/>
      <c r="K48" s="2417"/>
      <c r="L48" s="1256"/>
      <c r="M48" s="1257"/>
      <c r="N48" s="1257"/>
      <c r="O48" s="1257"/>
      <c r="P48" s="3033" t="str">
        <f>A48</f>
        <v>比较价值（元/平方米）</v>
      </c>
      <c r="Q48" s="3033"/>
      <c r="R48" s="3029">
        <f>IF(E1="售价",ROUND(PRODUCT(R47,AA7:AA46),0),ROUND(PRODUCT(R47,AA7:AA46),1))</f>
        <v>89298</v>
      </c>
      <c r="S48" s="3029"/>
      <c r="T48" s="3027">
        <f>IF(E1="售价",ROUND(PRODUCT(T47,AB7:AB46),0),ROUND(PRODUCT(T47,AB7:AB46),1))</f>
        <v>97988</v>
      </c>
      <c r="U48" s="3028"/>
      <c r="V48" s="3029">
        <f>IF(E1="售价",ROUND(PRODUCT(V47,AC7:AC46),0),ROUND(PRODUCT(V47,AC7:AC46),1))</f>
        <v>100945</v>
      </c>
      <c r="W48" s="3029"/>
      <c r="X48" s="738"/>
      <c r="Y48" s="738"/>
      <c r="Z48" s="738"/>
      <c r="AA48" s="738"/>
      <c r="AB48" s="738"/>
      <c r="AC48" s="738"/>
    </row>
    <row r="49" spans="1:29" ht="15.75" thickBot="1">
      <c r="A49" s="473" t="s">
        <v>2898</v>
      </c>
      <c r="B49" s="474"/>
      <c r="C49" s="1511">
        <f>R49</f>
        <v>96077</v>
      </c>
      <c r="D49" s="1512"/>
      <c r="E49" s="1512"/>
      <c r="F49" s="1512"/>
      <c r="G49" s="1512"/>
      <c r="H49" s="1512"/>
      <c r="I49" s="1512"/>
      <c r="J49" s="1512"/>
      <c r="K49" s="2418"/>
      <c r="L49" s="1256"/>
      <c r="M49" s="1257"/>
      <c r="N49" s="1257"/>
      <c r="O49" s="1257"/>
      <c r="P49" s="3030" t="str">
        <f>A49</f>
        <v>估价对象住宅用房的比较价值（楼面单价，元/平方米）</v>
      </c>
      <c r="Q49" s="3031"/>
      <c r="R49" s="3032">
        <f>IF(E1="售价",ROUND(AVERAGE(R48:V48),0),ROUND(AVERAGE(R48:V48),1))</f>
        <v>96077</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1.7144840869896205E-2</v>
      </c>
      <c r="F52" s="481" t="str">
        <f>IF(OR(E52&gt;=0.3,E52&lt;=-0.3),"超过30%","")</f>
        <v/>
      </c>
      <c r="G52" s="480">
        <f>IF(G47&lt;G48,G48/G47-1,G47/G48-1)</f>
        <v>6.938604727109432E-2</v>
      </c>
      <c r="H52" s="481" t="str">
        <f>IF(OR(G52&gt;=0.3,G52&lt;=-0.3),"超过30%","")</f>
        <v/>
      </c>
      <c r="I52" s="480">
        <f>IF(I47&lt;I48,I48/I47-1,I47/I48-1)</f>
        <v>9.4499999999999584E-3</v>
      </c>
      <c r="J52" s="481" t="str">
        <f>IF(OR(I52&gt;=0.3,I52&lt;=-0.3),"超过30%","")</f>
        <v/>
      </c>
      <c r="K52" s="1262"/>
      <c r="L52" s="1258"/>
      <c r="M52" s="1257"/>
      <c r="N52" s="1257"/>
      <c r="O52" s="1257"/>
    </row>
    <row r="53" spans="1:29" ht="13.5" customHeight="1">
      <c r="A53" s="1257"/>
      <c r="B53" s="1257"/>
      <c r="C53" s="478" t="s">
        <v>2386</v>
      </c>
      <c r="D53" s="482"/>
      <c r="E53" s="480">
        <f>IF(E48&lt;G48,G48/E48-1,E48/G48-1)</f>
        <v>9.7314609509731476E-2</v>
      </c>
      <c r="F53" s="481" t="str">
        <f>IF(OR(E53&gt;=0.2,E53&lt;=-0.2),"超过20%","")</f>
        <v/>
      </c>
      <c r="G53" s="480">
        <f>IF(G48&lt;I48,I48/G48-1,G48/I48-1)</f>
        <v>3.017716455076136E-2</v>
      </c>
      <c r="H53" s="481" t="str">
        <f>IF(OR(G53&gt;=0.2,G53&lt;=-0.2),"超过20%","")</f>
        <v/>
      </c>
      <c r="I53" s="480">
        <f>IF(I48&lt;E48,E48/I48-1,I48/E48-1)</f>
        <v>0.13042845304486095</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0.15367338625328908</v>
      </c>
      <c r="F54" s="481" t="str">
        <f>IF(OR(E54&gt;=0.3,E54&lt;=-0.3),"超过30%","")</f>
        <v/>
      </c>
      <c r="G54" s="480">
        <f>IF(G47&lt;I47,I47/G47-1,G47/I47-1)</f>
        <v>4.7870000000000079E-2</v>
      </c>
      <c r="H54" s="481" t="str">
        <f>IF(OR(G54&gt;=0.3,G54&lt;=-0.3),"超过30%","")</f>
        <v/>
      </c>
      <c r="I54" s="480">
        <f>IF(I47&lt;E47,E47/I47-1,I47/E47-1)</f>
        <v>0.10096995452994095</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1"/>
      <c r="Q57" s="485"/>
    </row>
    <row r="58" spans="1:29" s="489" customFormat="1" ht="15">
      <c r="A58" s="486" t="s">
        <v>2389</v>
      </c>
      <c r="B58" s="487"/>
      <c r="C58" s="1678" t="str">
        <f>YEAR(C7)&amp;"-"&amp;MONTH(C7)</f>
        <v>2018-6</v>
      </c>
      <c r="D58" s="1679">
        <f>EDATE(C58,-1)</f>
        <v>43221</v>
      </c>
      <c r="E58" s="1679">
        <f t="shared" ref="E58:O58" si="16">EDATE(D58,-1)</f>
        <v>43191</v>
      </c>
      <c r="F58" s="1679">
        <f t="shared" si="16"/>
        <v>43160</v>
      </c>
      <c r="G58" s="1679">
        <f t="shared" si="16"/>
        <v>43132</v>
      </c>
      <c r="H58" s="1679">
        <f t="shared" si="16"/>
        <v>43101</v>
      </c>
      <c r="I58" s="1679">
        <f t="shared" si="16"/>
        <v>43070</v>
      </c>
      <c r="J58" s="1679">
        <f t="shared" si="16"/>
        <v>43040</v>
      </c>
      <c r="K58" s="1679">
        <f t="shared" si="16"/>
        <v>43009</v>
      </c>
      <c r="L58" s="1679">
        <f t="shared" si="16"/>
        <v>42979</v>
      </c>
      <c r="M58" s="1679">
        <f t="shared" si="16"/>
        <v>42948</v>
      </c>
      <c r="N58" s="1679">
        <f t="shared" si="16"/>
        <v>42917</v>
      </c>
      <c r="O58" s="1679">
        <f t="shared" si="16"/>
        <v>42887</v>
      </c>
      <c r="P58" s="2422"/>
    </row>
    <row r="59" spans="1:29" s="35" customFormat="1" ht="15">
      <c r="A59" s="490"/>
      <c r="B59" s="491"/>
      <c r="C59" s="623">
        <v>100</v>
      </c>
      <c r="D59" s="493">
        <v>100</v>
      </c>
      <c r="E59" s="493">
        <v>100</v>
      </c>
      <c r="F59" s="493">
        <v>102</v>
      </c>
      <c r="G59" s="493">
        <v>102</v>
      </c>
      <c r="H59" s="493">
        <v>102</v>
      </c>
      <c r="I59" s="493">
        <v>104</v>
      </c>
      <c r="J59" s="493">
        <v>104</v>
      </c>
      <c r="K59" s="493">
        <v>104</v>
      </c>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2391</v>
      </c>
      <c r="B61" s="491"/>
      <c r="C61" s="503" t="s">
        <v>2392</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2393</v>
      </c>
      <c r="B63" s="509" t="s">
        <v>2359</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v>
      </c>
      <c r="D68" s="532">
        <v>3</v>
      </c>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2409</v>
      </c>
      <c r="D82" s="522" t="s">
        <v>2410</v>
      </c>
      <c r="E82" s="522" t="s">
        <v>2411</v>
      </c>
      <c r="F82" s="522" t="s">
        <v>2412</v>
      </c>
      <c r="G82" s="522" t="s">
        <v>2413</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2415</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2416</v>
      </c>
      <c r="C88" s="2754" t="s">
        <v>2888</v>
      </c>
      <c r="D88" s="2754" t="s">
        <v>2890</v>
      </c>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95</v>
      </c>
      <c r="E89" s="527">
        <f t="shared" si="21"/>
        <v>90</v>
      </c>
      <c r="F89" s="527">
        <f t="shared" si="21"/>
        <v>85</v>
      </c>
      <c r="G89" s="527">
        <f t="shared" si="21"/>
        <v>80</v>
      </c>
      <c r="H89" s="527">
        <f t="shared" si="21"/>
        <v>75</v>
      </c>
      <c r="I89" s="527">
        <f t="shared" si="21"/>
        <v>70</v>
      </c>
      <c r="J89" s="527">
        <f t="shared" si="21"/>
        <v>65</v>
      </c>
      <c r="K89" s="527">
        <f t="shared" si="21"/>
        <v>60</v>
      </c>
      <c r="L89" s="527">
        <f t="shared" si="21"/>
        <v>55</v>
      </c>
      <c r="M89" s="527">
        <f t="shared" si="21"/>
        <v>50</v>
      </c>
      <c r="N89" s="1268"/>
      <c r="O89" s="1268"/>
      <c r="P89" s="2425"/>
      <c r="Q89" s="485"/>
    </row>
    <row r="90" spans="1:17" s="452" customFormat="1" ht="29.25" thickTop="1">
      <c r="A90" s="536"/>
      <c r="B90" s="521" t="str">
        <f>B27</f>
        <v>道路级别</v>
      </c>
      <c r="C90" s="537" t="str">
        <f>估价对象房地状况!C10</f>
        <v>城市次干道路——白家庄路</v>
      </c>
      <c r="D90" s="537" t="str">
        <f>I27</f>
        <v>城市支路——金桐东路</v>
      </c>
      <c r="E90" s="537"/>
      <c r="F90" s="537"/>
      <c r="G90" s="537"/>
      <c r="H90" s="538"/>
      <c r="I90" s="538"/>
      <c r="J90" s="538"/>
      <c r="K90" s="538"/>
      <c r="L90" s="539"/>
      <c r="M90" s="540"/>
      <c r="N90" s="1269"/>
      <c r="O90" s="1269"/>
      <c r="P90" s="2426"/>
      <c r="Q90" s="543"/>
    </row>
    <row r="91" spans="1:17" s="452" customFormat="1" ht="15.75" thickBot="1">
      <c r="A91" s="536"/>
      <c r="B91" s="526"/>
      <c r="C91" s="544">
        <v>100</v>
      </c>
      <c r="D91" s="544">
        <v>98</v>
      </c>
      <c r="E91" s="544"/>
      <c r="F91" s="544"/>
      <c r="G91" s="544"/>
      <c r="H91" s="546"/>
      <c r="I91" s="546"/>
      <c r="J91" s="546"/>
      <c r="K91" s="546"/>
      <c r="L91" s="546"/>
      <c r="M91" s="547"/>
      <c r="N91" s="1269"/>
      <c r="O91" s="1269"/>
      <c r="P91" s="2426"/>
      <c r="Q91" s="543"/>
    </row>
    <row r="92" spans="1:17" ht="15.75" thickTop="1">
      <c r="A92" s="516"/>
      <c r="B92" s="521" t="str">
        <f>B28</f>
        <v>楼层</v>
      </c>
      <c r="C92" s="2757" t="s">
        <v>2891</v>
      </c>
      <c r="D92" s="537" t="s">
        <v>2892</v>
      </c>
      <c r="E92" s="537" t="s">
        <v>2893</v>
      </c>
      <c r="F92" s="537" t="s">
        <v>2897</v>
      </c>
      <c r="G92" s="567"/>
      <c r="H92" s="567"/>
      <c r="I92" s="567"/>
      <c r="J92" s="567"/>
      <c r="K92" s="568"/>
      <c r="L92" s="569"/>
      <c r="M92" s="570"/>
      <c r="N92" s="1267"/>
      <c r="O92" s="1267"/>
      <c r="P92" s="2425"/>
      <c r="Q92" s="485"/>
    </row>
    <row r="93" spans="1:17" ht="15.75" thickBot="1">
      <c r="A93" s="516"/>
      <c r="B93" s="526"/>
      <c r="C93" s="544">
        <v>100</v>
      </c>
      <c r="D93" s="518">
        <v>101</v>
      </c>
      <c r="E93" s="518">
        <v>101</v>
      </c>
      <c r="F93" s="518">
        <v>102</v>
      </c>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2417</v>
      </c>
      <c r="C100" s="2756" t="s">
        <v>2868</v>
      </c>
      <c r="D100" s="2756" t="s">
        <v>2865</v>
      </c>
      <c r="E100" s="2756" t="s">
        <v>2895</v>
      </c>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5"/>
      <c r="Q101" s="485"/>
    </row>
    <row r="102" spans="1:17" ht="15.75" thickTop="1">
      <c r="A102" s="516"/>
      <c r="B102" s="521" t="s">
        <v>2418</v>
      </c>
      <c r="C102" s="562" t="str">
        <f>C103&amp;"(含)"&amp;"-"&amp;D103</f>
        <v>0(含)-60</v>
      </c>
      <c r="D102" s="562" t="str">
        <f t="shared" ref="D102:L102" si="23">D103&amp;"(含)"&amp;"-"&amp;E103</f>
        <v>60(含)-90</v>
      </c>
      <c r="E102" s="562" t="str">
        <f t="shared" si="23"/>
        <v>90(含)-120</v>
      </c>
      <c r="F102" s="562" t="str">
        <f t="shared" si="23"/>
        <v>120(含)-150</v>
      </c>
      <c r="G102" s="562" t="str">
        <f t="shared" si="23"/>
        <v>150(含)-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60</v>
      </c>
      <c r="E103" s="579">
        <v>90</v>
      </c>
      <c r="F103" s="579">
        <v>120</v>
      </c>
      <c r="G103" s="579">
        <v>150</v>
      </c>
      <c r="H103" s="579"/>
      <c r="I103" s="579"/>
      <c r="J103" s="580"/>
      <c r="K103" s="580"/>
      <c r="L103" s="581"/>
      <c r="M103" s="582"/>
      <c r="N103" s="1269"/>
      <c r="O103" s="1269"/>
      <c r="P103" s="2426"/>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8"/>
      <c r="O104" s="1268"/>
      <c r="P104" s="2426"/>
      <c r="Q104" s="543"/>
    </row>
    <row r="105" spans="1:17" ht="15" thickTop="1">
      <c r="A105" s="583"/>
      <c r="B105" s="521" t="s">
        <v>2419</v>
      </c>
      <c r="C105" s="2754" t="s">
        <v>2863</v>
      </c>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2420</v>
      </c>
      <c r="C107" s="2755" t="s">
        <v>2861</v>
      </c>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2421</v>
      </c>
      <c r="C109" s="2754" t="s">
        <v>2859</v>
      </c>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2423</v>
      </c>
      <c r="C114" s="2754" t="s">
        <v>2857</v>
      </c>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2424</v>
      </c>
      <c r="C116" s="2754" t="s">
        <v>2855</v>
      </c>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2425</v>
      </c>
      <c r="C118" s="2755" t="s">
        <v>2854</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2426</v>
      </c>
      <c r="C122" s="2754" t="s">
        <v>2881</v>
      </c>
      <c r="D122" s="2754" t="s">
        <v>2859</v>
      </c>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6"/>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8"/>
      <c r="O125" s="1268"/>
      <c r="P125" s="2425"/>
      <c r="Q125" s="485"/>
    </row>
    <row r="126" spans="1:17" s="452" customFormat="1" ht="15" thickTop="1">
      <c r="A126" s="577"/>
      <c r="B126" s="521" t="str">
        <f>B44</f>
        <v>建成年代</v>
      </c>
      <c r="C126" s="537">
        <v>2006</v>
      </c>
      <c r="D126" s="537">
        <v>2005</v>
      </c>
      <c r="E126" s="537"/>
      <c r="F126" s="537"/>
      <c r="G126" s="537"/>
      <c r="H126" s="538"/>
      <c r="I126" s="538"/>
      <c r="J126" s="538"/>
      <c r="K126" s="538"/>
      <c r="L126" s="539"/>
      <c r="M126" s="540"/>
      <c r="N126" s="1269"/>
      <c r="O126" s="1269"/>
      <c r="P126" s="2426"/>
      <c r="Q126" s="543"/>
    </row>
    <row r="127" spans="1:17" s="452" customFormat="1" ht="15.75" thickBot="1">
      <c r="A127" s="536"/>
      <c r="B127" s="526"/>
      <c r="C127" s="544">
        <v>100</v>
      </c>
      <c r="D127" s="518">
        <v>99.5</v>
      </c>
      <c r="E127" s="518"/>
      <c r="F127" s="518"/>
      <c r="G127" s="544"/>
      <c r="H127" s="546"/>
      <c r="I127" s="546"/>
      <c r="J127" s="546"/>
      <c r="K127" s="546"/>
      <c r="L127" s="546"/>
      <c r="M127" s="547"/>
      <c r="N127" s="1269"/>
      <c r="O127" s="1269"/>
      <c r="P127" s="2426"/>
      <c r="Q127" s="543"/>
    </row>
    <row r="128" spans="1:17" ht="15" thickTop="1">
      <c r="A128" s="583"/>
      <c r="B128" s="521" t="str">
        <f>B45</f>
        <v>户型无法拆分</v>
      </c>
      <c r="C128" s="2754" t="s">
        <v>2882</v>
      </c>
      <c r="D128" s="2754" t="s">
        <v>2884</v>
      </c>
      <c r="E128" s="537"/>
      <c r="F128" s="537"/>
      <c r="G128" s="567"/>
      <c r="H128" s="567"/>
      <c r="I128" s="567"/>
      <c r="J128" s="567"/>
      <c r="K128" s="568"/>
      <c r="L128" s="569"/>
      <c r="M128" s="570"/>
      <c r="N128" s="1267"/>
      <c r="O128" s="1267"/>
      <c r="P128" s="2425"/>
      <c r="Q128" s="485"/>
    </row>
    <row r="129" spans="1:17" ht="15.75" thickBot="1">
      <c r="A129" s="516"/>
      <c r="B129" s="526"/>
      <c r="C129" s="544">
        <v>100</v>
      </c>
      <c r="D129" s="544">
        <v>105</v>
      </c>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2428</v>
      </c>
    </row>
    <row r="137" spans="1:17" ht="15">
      <c r="B137" s="2433" t="s">
        <v>2429</v>
      </c>
      <c r="C137" s="2434"/>
      <c r="D137" s="2434"/>
      <c r="E137" s="2434"/>
      <c r="F137" s="2434"/>
      <c r="G137" s="2435"/>
      <c r="H137" s="2436"/>
      <c r="I137" s="2437" t="s">
        <v>2430</v>
      </c>
      <c r="J137" s="2434"/>
      <c r="K137" s="2438"/>
    </row>
    <row r="138" spans="1:17" ht="15">
      <c r="B138" s="2439"/>
      <c r="C138" s="62" t="s">
        <v>2431</v>
      </c>
      <c r="D138" s="62" t="s">
        <v>2432</v>
      </c>
      <c r="E138" s="2440" t="s">
        <v>2433</v>
      </c>
      <c r="F138" s="2441" t="s">
        <v>2434</v>
      </c>
      <c r="G138" s="62" t="s">
        <v>2432</v>
      </c>
      <c r="H138" s="63" t="s">
        <v>2433</v>
      </c>
      <c r="I138" s="2442"/>
      <c r="J138" s="62" t="s">
        <v>2435</v>
      </c>
      <c r="K138" s="63" t="s">
        <v>2436</v>
      </c>
    </row>
    <row r="139" spans="1:17" ht="15">
      <c r="B139" s="1125">
        <v>6</v>
      </c>
      <c r="C139" s="1133">
        <v>96</v>
      </c>
      <c r="D139" s="2443" t="s">
        <v>2437</v>
      </c>
      <c r="E139" s="1134">
        <v>100</v>
      </c>
      <c r="F139" s="1135">
        <v>102.5</v>
      </c>
      <c r="G139" s="2443" t="s">
        <v>2437</v>
      </c>
      <c r="H139" s="1136">
        <v>105</v>
      </c>
      <c r="I139" s="2444" t="s">
        <v>2438</v>
      </c>
      <c r="J139" s="1133">
        <v>20</v>
      </c>
      <c r="K139" s="1127">
        <f>C145/(J139-2)</f>
        <v>4.0555555555555553E-3</v>
      </c>
    </row>
    <row r="140" spans="1:17" ht="15">
      <c r="B140" s="1126">
        <v>5</v>
      </c>
      <c r="C140" s="1137">
        <v>100</v>
      </c>
      <c r="D140" s="1137"/>
      <c r="E140" s="1138"/>
      <c r="F140" s="1139">
        <v>102</v>
      </c>
      <c r="G140" s="1137"/>
      <c r="H140" s="1140"/>
      <c r="I140" s="2445" t="s">
        <v>2439</v>
      </c>
      <c r="J140" s="217">
        <f>ROUNDUP((J139-1)/2,0)</f>
        <v>10</v>
      </c>
      <c r="K140" s="1128">
        <v>100</v>
      </c>
    </row>
    <row r="141" spans="1:17" ht="15">
      <c r="B141" s="1126">
        <v>4</v>
      </c>
      <c r="C141" s="1137">
        <v>102</v>
      </c>
      <c r="D141" s="1137"/>
      <c r="E141" s="1138"/>
      <c r="F141" s="1139">
        <v>101.5</v>
      </c>
      <c r="G141" s="1137"/>
      <c r="H141" s="1140"/>
      <c r="I141" s="2445" t="s">
        <v>2440</v>
      </c>
      <c r="J141" s="217">
        <v>1</v>
      </c>
      <c r="K141" s="1129">
        <f>ROUND(100+(J141-J140)*K139*100,1)</f>
        <v>96.4</v>
      </c>
    </row>
    <row r="142" spans="1:17" ht="15">
      <c r="B142" s="1126">
        <v>3</v>
      </c>
      <c r="C142" s="1137">
        <v>103</v>
      </c>
      <c r="D142" s="1137"/>
      <c r="E142" s="1138"/>
      <c r="F142" s="1139">
        <v>101</v>
      </c>
      <c r="G142" s="1137"/>
      <c r="H142" s="1140"/>
      <c r="I142" s="2445" t="s">
        <v>2441</v>
      </c>
      <c r="J142" s="217">
        <f>J139</f>
        <v>20</v>
      </c>
      <c r="K142" s="1142">
        <v>95</v>
      </c>
    </row>
    <row r="143" spans="1:17" ht="15">
      <c r="B143" s="1126">
        <v>2</v>
      </c>
      <c r="C143" s="1137">
        <v>100</v>
      </c>
      <c r="D143" s="1137"/>
      <c r="E143" s="1138"/>
      <c r="F143" s="1139">
        <v>100.5</v>
      </c>
      <c r="G143" s="1137"/>
      <c r="H143" s="1140"/>
      <c r="I143" s="2445" t="s">
        <v>2442</v>
      </c>
      <c r="J143" s="1137">
        <v>15</v>
      </c>
      <c r="K143" s="1129">
        <f>ROUND(100+(J143-J140)*K139*100,1)</f>
        <v>102</v>
      </c>
    </row>
    <row r="144" spans="1:17" ht="15">
      <c r="B144" s="1126">
        <v>1</v>
      </c>
      <c r="C144" s="1137">
        <v>98</v>
      </c>
      <c r="D144" s="2446" t="s">
        <v>2443</v>
      </c>
      <c r="E144" s="1138">
        <v>102</v>
      </c>
      <c r="F144" s="1141">
        <v>100</v>
      </c>
      <c r="G144" s="2446" t="s">
        <v>2443</v>
      </c>
      <c r="H144" s="1140">
        <v>105</v>
      </c>
      <c r="I144" s="2445" t="s">
        <v>2442</v>
      </c>
      <c r="J144" s="1137">
        <v>18</v>
      </c>
      <c r="K144" s="1129">
        <f>ROUND(100+(J144-J140)*K139*100,1)</f>
        <v>103.2</v>
      </c>
    </row>
    <row r="145" spans="2:11" ht="15.75" thickBot="1">
      <c r="B145" s="2447" t="s">
        <v>2444</v>
      </c>
      <c r="C145" s="1131">
        <f>ROUND(MAX(C139:C144)/MIN(C139:C144)-1,3)</f>
        <v>7.2999999999999995E-2</v>
      </c>
      <c r="D145" s="1132"/>
      <c r="E145" s="1132"/>
      <c r="F145" s="2448" t="s">
        <v>2445</v>
      </c>
      <c r="G145" s="2449"/>
      <c r="H145" s="2450"/>
      <c r="I145" s="2451" t="s">
        <v>2442</v>
      </c>
      <c r="J145" s="1143">
        <v>8</v>
      </c>
      <c r="K145" s="1130">
        <f>ROUND(100+(J145-J140)*K139*100,1)</f>
        <v>99.2</v>
      </c>
    </row>
    <row r="147" spans="2:11">
      <c r="B147" s="2432" t="s">
        <v>2446</v>
      </c>
    </row>
    <row r="148" spans="2:11">
      <c r="B148" s="2432"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2448</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31.27</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70" t="s">
        <v>2343</v>
      </c>
      <c r="AC4" s="3057" t="s">
        <v>2344</v>
      </c>
    </row>
    <row r="5" spans="1:29" ht="15">
      <c r="A5" s="383"/>
      <c r="B5" s="384"/>
      <c r="C5" s="3045" t="s">
        <v>2347</v>
      </c>
      <c r="D5" s="3046"/>
      <c r="E5" s="3076"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70"/>
      <c r="AC5" s="3058"/>
    </row>
    <row r="6" spans="1:29" ht="15.75" thickBot="1">
      <c r="A6" s="385"/>
      <c r="B6" s="386"/>
      <c r="C6" s="3043" t="s">
        <v>2351</v>
      </c>
      <c r="D6" s="3044"/>
      <c r="E6" s="3074" t="s">
        <v>2351</v>
      </c>
      <c r="F6" s="3075"/>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70"/>
      <c r="AC6" s="3059"/>
    </row>
    <row r="7" spans="1:29" s="35" customFormat="1" ht="15.75" thickBot="1">
      <c r="A7" s="387" t="s">
        <v>2353</v>
      </c>
      <c r="B7" s="388"/>
      <c r="C7" s="389">
        <f>'数据-取费表'!B2</f>
        <v>43277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6"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6"/>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6"/>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6"/>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6"/>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71.25">
      <c r="A15" s="419" t="s">
        <v>2364</v>
      </c>
      <c r="B15" s="26" t="s">
        <v>2449</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4" t="s">
        <v>2365</v>
      </c>
      <c r="Q15" s="1899" t="str">
        <f t="shared" si="6"/>
        <v>商业繁华度</v>
      </c>
      <c r="R15" s="753" t="s">
        <v>25</v>
      </c>
      <c r="S15" s="754">
        <f t="shared" si="0"/>
        <v>100</v>
      </c>
      <c r="T15" s="753" t="s">
        <v>25</v>
      </c>
      <c r="U15" s="754">
        <f t="shared" si="1"/>
        <v>100</v>
      </c>
      <c r="V15" s="753" t="s">
        <v>25</v>
      </c>
      <c r="W15" s="754">
        <f t="shared" si="2"/>
        <v>100</v>
      </c>
      <c r="X15" s="1900"/>
      <c r="Y15" s="3036"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5"/>
      <c r="Q16" s="1899"/>
      <c r="R16" s="753"/>
      <c r="S16" s="754"/>
      <c r="T16" s="753"/>
      <c r="U16" s="754"/>
      <c r="V16" s="753"/>
      <c r="W16" s="754"/>
      <c r="X16" s="1900"/>
      <c r="Y16" s="3037"/>
      <c r="Z16" s="1902"/>
      <c r="AA16" s="1903">
        <v>1</v>
      </c>
      <c r="AB16" s="1903">
        <v>1</v>
      </c>
      <c r="AC16" s="1903">
        <v>1</v>
      </c>
    </row>
    <row r="17" spans="1:29" ht="71.25">
      <c r="A17" s="408"/>
      <c r="B17" s="431" t="s">
        <v>1750</v>
      </c>
      <c r="C17" s="2405" t="str">
        <f>估价对象房地状况!C6</f>
        <v>周边2公里内有十余条公交线路及地铁10号线（团结湖站），交通便捷度较好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5"/>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35"/>
      <c r="Q18" s="1899"/>
      <c r="R18" s="753"/>
      <c r="S18" s="754"/>
      <c r="T18" s="753"/>
      <c r="U18" s="754"/>
      <c r="V18" s="753"/>
      <c r="W18" s="754"/>
      <c r="X18" s="1900"/>
      <c r="Y18" s="3037"/>
      <c r="Z18" s="1902"/>
      <c r="AA18" s="1903">
        <v>1</v>
      </c>
      <c r="AB18" s="1903">
        <v>1</v>
      </c>
      <c r="AC18" s="1903">
        <v>1</v>
      </c>
    </row>
    <row r="19" spans="1:29" ht="42.75">
      <c r="A19" s="408"/>
      <c r="B19" s="431" t="s">
        <v>2450</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5"/>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35"/>
      <c r="Q20" s="1899"/>
      <c r="R20" s="753"/>
      <c r="S20" s="754"/>
      <c r="T20" s="753"/>
      <c r="U20" s="754"/>
      <c r="V20" s="753"/>
      <c r="W20" s="754"/>
      <c r="X20" s="1900"/>
      <c r="Y20" s="3037"/>
      <c r="Z20" s="1902"/>
      <c r="AA20" s="1903">
        <v>1</v>
      </c>
      <c r="AB20" s="1903">
        <v>1</v>
      </c>
      <c r="AC20" s="1903">
        <v>1</v>
      </c>
    </row>
    <row r="21" spans="1:29" ht="15">
      <c r="A21" s="408"/>
      <c r="B21" s="2407" t="s">
        <v>2451</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5"/>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35"/>
      <c r="Q22" s="1899"/>
      <c r="R22" s="753"/>
      <c r="S22" s="754"/>
      <c r="T22" s="753"/>
      <c r="U22" s="754"/>
      <c r="V22" s="753"/>
      <c r="W22" s="754"/>
      <c r="X22" s="1900"/>
      <c r="Y22" s="3037"/>
      <c r="Z22" s="1902"/>
      <c r="AA22" s="1903">
        <v>1</v>
      </c>
      <c r="AB22" s="1903">
        <v>1</v>
      </c>
      <c r="AC22" s="1903">
        <v>1</v>
      </c>
    </row>
    <row r="23" spans="1:29" ht="57">
      <c r="A23" s="408"/>
      <c r="B23" s="431" t="s">
        <v>1755</v>
      </c>
      <c r="C23" s="2456" t="str">
        <f>估价对象房地状况!C9</f>
        <v>有工人体育场、团结湖公园等，自然及人文环境较好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5"/>
      <c r="Q23" s="1899" t="str">
        <f>B23</f>
        <v>自然及人文环境</v>
      </c>
      <c r="R23" s="753" t="s">
        <v>25</v>
      </c>
      <c r="S23" s="754">
        <f>F23</f>
        <v>100</v>
      </c>
      <c r="T23" s="753" t="s">
        <v>25</v>
      </c>
      <c r="U23" s="754">
        <f>H23</f>
        <v>100</v>
      </c>
      <c r="V23" s="753" t="s">
        <v>25</v>
      </c>
      <c r="W23" s="754">
        <f>J23</f>
        <v>100</v>
      </c>
      <c r="X23" s="1900"/>
      <c r="Y23" s="3037"/>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35"/>
      <c r="Q24" s="1899"/>
      <c r="R24" s="753"/>
      <c r="S24" s="754"/>
      <c r="T24" s="753"/>
      <c r="U24" s="754"/>
      <c r="V24" s="753"/>
      <c r="W24" s="754"/>
      <c r="X24" s="1900"/>
      <c r="Y24" s="3037"/>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5"/>
      <c r="Q25" s="1899" t="str">
        <f t="shared" ref="Q25:Q46" si="11">B25</f>
        <v>临街状况</v>
      </c>
      <c r="R25" s="753" t="s">
        <v>25</v>
      </c>
      <c r="S25" s="754">
        <f>F25</f>
        <v>100</v>
      </c>
      <c r="T25" s="753" t="s">
        <v>25</v>
      </c>
      <c r="U25" s="754">
        <f>H25</f>
        <v>100</v>
      </c>
      <c r="V25" s="753" t="s">
        <v>25</v>
      </c>
      <c r="W25" s="754">
        <f>J25</f>
        <v>100</v>
      </c>
      <c r="X25" s="1900"/>
      <c r="Y25" s="3037"/>
      <c r="Z25" s="1902" t="str">
        <f>Q25</f>
        <v>临街状况</v>
      </c>
      <c r="AA25" s="1903">
        <f t="shared" si="3"/>
        <v>1</v>
      </c>
      <c r="AB25" s="1903">
        <f t="shared" si="4"/>
        <v>1</v>
      </c>
      <c r="AC25" s="1903">
        <f t="shared" si="5"/>
        <v>1</v>
      </c>
    </row>
    <row r="26" spans="1:29" ht="15">
      <c r="A26" s="408"/>
      <c r="B26" s="2411"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5"/>
      <c r="Q26" s="1899" t="str">
        <f t="shared" si="11"/>
        <v>平面位置/可视性</v>
      </c>
      <c r="R26" s="753" t="s">
        <v>25</v>
      </c>
      <c r="S26" s="754">
        <f>F26</f>
        <v>100</v>
      </c>
      <c r="T26" s="753" t="s">
        <v>25</v>
      </c>
      <c r="U26" s="754">
        <f>H26</f>
        <v>100</v>
      </c>
      <c r="V26" s="753" t="s">
        <v>25</v>
      </c>
      <c r="W26" s="754">
        <f>J26</f>
        <v>100</v>
      </c>
      <c r="X26" s="1900"/>
      <c r="Y26" s="3037"/>
      <c r="Z26" s="1902" t="str">
        <f>Q26</f>
        <v>平面位置/可视性</v>
      </c>
      <c r="AA26" s="1903">
        <f t="shared" si="3"/>
        <v>1</v>
      </c>
      <c r="AB26" s="1903">
        <f t="shared" si="4"/>
        <v>1</v>
      </c>
      <c r="AC26" s="1903">
        <f t="shared" si="5"/>
        <v>1</v>
      </c>
    </row>
    <row r="27" spans="1:29" s="35" customFormat="1" ht="15">
      <c r="A27" s="411"/>
      <c r="B27" s="431" t="s">
        <v>2454</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35"/>
      <c r="Q27" s="1887" t="str">
        <f t="shared" si="11"/>
        <v>人流量</v>
      </c>
      <c r="R27" s="749" t="s">
        <v>25</v>
      </c>
      <c r="S27" s="750">
        <f>F27</f>
        <v>100</v>
      </c>
      <c r="T27" s="749" t="s">
        <v>25</v>
      </c>
      <c r="U27" s="750">
        <f>H27</f>
        <v>100</v>
      </c>
      <c r="V27" s="749" t="s">
        <v>25</v>
      </c>
      <c r="W27" s="750">
        <f>J27</f>
        <v>100</v>
      </c>
      <c r="X27" s="751"/>
      <c r="Y27" s="3037"/>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5"/>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7"/>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5"/>
      <c r="Q29" s="1899">
        <f t="shared" si="11"/>
        <v>111</v>
      </c>
      <c r="R29" s="753" t="s">
        <v>25</v>
      </c>
      <c r="S29" s="754">
        <f t="shared" si="12"/>
        <v>100</v>
      </c>
      <c r="T29" s="753" t="s">
        <v>25</v>
      </c>
      <c r="U29" s="754">
        <f t="shared" si="13"/>
        <v>100</v>
      </c>
      <c r="V29" s="753" t="s">
        <v>25</v>
      </c>
      <c r="W29" s="754">
        <f t="shared" si="14"/>
        <v>100</v>
      </c>
      <c r="X29" s="1900"/>
      <c r="Y29" s="3037"/>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5"/>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5"/>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
      <c r="A32" s="419" t="s">
        <v>2369</v>
      </c>
      <c r="B32" s="28" t="s">
        <v>2456</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38" t="s">
        <v>2371</v>
      </c>
      <c r="Q32" s="1899" t="str">
        <f t="shared" si="11"/>
        <v>商业类型</v>
      </c>
      <c r="R32" s="753" t="s">
        <v>25</v>
      </c>
      <c r="S32" s="754">
        <f t="shared" si="12"/>
        <v>100</v>
      </c>
      <c r="T32" s="753" t="s">
        <v>25</v>
      </c>
      <c r="U32" s="754">
        <f t="shared" si="13"/>
        <v>100</v>
      </c>
      <c r="V32" s="753" t="s">
        <v>25</v>
      </c>
      <c r="W32" s="754">
        <f t="shared" si="14"/>
        <v>100</v>
      </c>
      <c r="X32" s="1900"/>
      <c r="Y32" s="3041"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9"/>
      <c r="Q33" s="755" t="str">
        <f t="shared" si="11"/>
        <v>项目建筑规模</v>
      </c>
      <c r="R33" s="756" t="s">
        <v>25</v>
      </c>
      <c r="S33" s="757" t="e">
        <f t="shared" si="12"/>
        <v>#N/A</v>
      </c>
      <c r="T33" s="756" t="s">
        <v>25</v>
      </c>
      <c r="U33" s="757" t="e">
        <f t="shared" si="13"/>
        <v>#N/A</v>
      </c>
      <c r="V33" s="756" t="s">
        <v>25</v>
      </c>
      <c r="W33" s="757" t="e">
        <f t="shared" si="14"/>
        <v>#N/A</v>
      </c>
      <c r="X33" s="758"/>
      <c r="Y33" s="3041"/>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39"/>
      <c r="Q34" s="1899" t="str">
        <f t="shared" si="11"/>
        <v>建筑结构</v>
      </c>
      <c r="R34" s="753" t="s">
        <v>25</v>
      </c>
      <c r="S34" s="754">
        <f t="shared" si="12"/>
        <v>100</v>
      </c>
      <c r="T34" s="753" t="s">
        <v>25</v>
      </c>
      <c r="U34" s="754">
        <f t="shared" si="13"/>
        <v>100</v>
      </c>
      <c r="V34" s="753" t="s">
        <v>25</v>
      </c>
      <c r="W34" s="754">
        <f t="shared" si="14"/>
        <v>100</v>
      </c>
      <c r="X34" s="1900"/>
      <c r="Y34" s="3041"/>
      <c r="Z34" s="1902" t="str">
        <f t="shared" si="15"/>
        <v>建筑结构</v>
      </c>
      <c r="AA34" s="1903">
        <f t="shared" si="3"/>
        <v>1</v>
      </c>
      <c r="AB34" s="1903">
        <f t="shared" si="4"/>
        <v>1</v>
      </c>
      <c r="AC34" s="1903">
        <f t="shared" si="5"/>
        <v>1</v>
      </c>
    </row>
    <row r="35" spans="1:29" ht="15">
      <c r="A35" s="453"/>
      <c r="B35" s="402" t="s">
        <v>2457</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39"/>
      <c r="Q35" s="1899" t="str">
        <f t="shared" si="11"/>
        <v>公共部分装修</v>
      </c>
      <c r="R35" s="753" t="s">
        <v>25</v>
      </c>
      <c r="S35" s="754">
        <f t="shared" si="12"/>
        <v>100</v>
      </c>
      <c r="T35" s="753" t="s">
        <v>25</v>
      </c>
      <c r="U35" s="754">
        <f t="shared" si="13"/>
        <v>100</v>
      </c>
      <c r="V35" s="753" t="s">
        <v>25</v>
      </c>
      <c r="W35" s="754">
        <f t="shared" si="14"/>
        <v>100</v>
      </c>
      <c r="X35" s="1900"/>
      <c r="Y35" s="3041"/>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9"/>
      <c r="Q36" s="1899" t="str">
        <f t="shared" si="11"/>
        <v>成新度</v>
      </c>
      <c r="R36" s="753" t="s">
        <v>25</v>
      </c>
      <c r="S36" s="754" t="e">
        <f t="shared" si="12"/>
        <v>#N/A</v>
      </c>
      <c r="T36" s="753" t="s">
        <v>25</v>
      </c>
      <c r="U36" s="754" t="e">
        <f t="shared" si="13"/>
        <v>#N/A</v>
      </c>
      <c r="V36" s="753" t="s">
        <v>25</v>
      </c>
      <c r="W36" s="754" t="e">
        <f t="shared" si="14"/>
        <v>#N/A</v>
      </c>
      <c r="X36" s="1900"/>
      <c r="Y36" s="3041"/>
      <c r="Z36" s="1902" t="str">
        <f t="shared" si="15"/>
        <v>成新度</v>
      </c>
      <c r="AA36" s="1903" t="e">
        <f t="shared" si="3"/>
        <v>#N/A</v>
      </c>
      <c r="AB36" s="1903" t="e">
        <f t="shared" si="4"/>
        <v>#N/A</v>
      </c>
      <c r="AC36" s="1903" t="e">
        <f t="shared" si="5"/>
        <v>#N/A</v>
      </c>
    </row>
    <row r="37" spans="1:29" s="35" customFormat="1" ht="15">
      <c r="A37" s="454"/>
      <c r="B37" s="402" t="s">
        <v>2459</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39"/>
      <c r="Q37" s="1887" t="str">
        <f t="shared" si="11"/>
        <v>市政基础设施</v>
      </c>
      <c r="R37" s="749" t="s">
        <v>25</v>
      </c>
      <c r="S37" s="750">
        <f t="shared" si="12"/>
        <v>100</v>
      </c>
      <c r="T37" s="749" t="s">
        <v>25</v>
      </c>
      <c r="U37" s="750">
        <f t="shared" si="13"/>
        <v>100</v>
      </c>
      <c r="V37" s="749" t="s">
        <v>25</v>
      </c>
      <c r="W37" s="750">
        <f t="shared" si="14"/>
        <v>100</v>
      </c>
      <c r="X37" s="751"/>
      <c r="Y37" s="3041"/>
      <c r="Z37" s="23" t="str">
        <f t="shared" si="15"/>
        <v>市政基础设施</v>
      </c>
      <c r="AA37" s="752">
        <f t="shared" si="3"/>
        <v>1</v>
      </c>
      <c r="AB37" s="752">
        <f t="shared" si="4"/>
        <v>1</v>
      </c>
      <c r="AC37" s="752">
        <f t="shared" si="5"/>
        <v>1</v>
      </c>
    </row>
    <row r="38" spans="1:29" ht="15">
      <c r="A38" s="453"/>
      <c r="B38" s="402" t="s">
        <v>2460</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39" t="s">
        <v>2371</v>
      </c>
      <c r="Q38" s="1899" t="str">
        <f t="shared" si="11"/>
        <v>业态</v>
      </c>
      <c r="R38" s="753" t="s">
        <v>25</v>
      </c>
      <c r="S38" s="754">
        <f t="shared" si="12"/>
        <v>100</v>
      </c>
      <c r="T38" s="753" t="s">
        <v>25</v>
      </c>
      <c r="U38" s="754">
        <f t="shared" si="13"/>
        <v>100</v>
      </c>
      <c r="V38" s="753" t="s">
        <v>25</v>
      </c>
      <c r="W38" s="754">
        <f t="shared" si="14"/>
        <v>100</v>
      </c>
      <c r="X38" s="1900"/>
      <c r="Y38" s="3041" t="s">
        <v>2371</v>
      </c>
      <c r="Z38" s="1902" t="str">
        <f t="shared" si="15"/>
        <v>业态</v>
      </c>
      <c r="AA38" s="1903">
        <f t="shared" si="3"/>
        <v>1</v>
      </c>
      <c r="AB38" s="1903">
        <f t="shared" si="4"/>
        <v>1</v>
      </c>
      <c r="AC38" s="1903">
        <f t="shared" si="5"/>
        <v>1</v>
      </c>
    </row>
    <row r="39" spans="1:29" ht="15">
      <c r="A39" s="453"/>
      <c r="B39" s="402" t="s">
        <v>2461</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39"/>
      <c r="Q39" s="1899" t="str">
        <f t="shared" si="11"/>
        <v>层高</v>
      </c>
      <c r="R39" s="753" t="s">
        <v>25</v>
      </c>
      <c r="S39" s="754">
        <f t="shared" si="12"/>
        <v>100</v>
      </c>
      <c r="T39" s="753" t="s">
        <v>25</v>
      </c>
      <c r="U39" s="754">
        <f t="shared" si="13"/>
        <v>100</v>
      </c>
      <c r="V39" s="753" t="s">
        <v>25</v>
      </c>
      <c r="W39" s="754">
        <f t="shared" si="14"/>
        <v>100</v>
      </c>
      <c r="X39" s="1900"/>
      <c r="Y39" s="3041"/>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9"/>
      <c r="Q40" s="1899" t="str">
        <f t="shared" si="11"/>
        <v>单套建筑面积</v>
      </c>
      <c r="R40" s="753" t="s">
        <v>25</v>
      </c>
      <c r="S40" s="754">
        <f t="shared" si="12"/>
        <v>100</v>
      </c>
      <c r="T40" s="753" t="s">
        <v>25</v>
      </c>
      <c r="U40" s="754">
        <f t="shared" si="13"/>
        <v>100</v>
      </c>
      <c r="V40" s="753" t="s">
        <v>25</v>
      </c>
      <c r="W40" s="754">
        <f t="shared" si="14"/>
        <v>100</v>
      </c>
      <c r="X40" s="1900"/>
      <c r="Y40" s="3041"/>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9"/>
      <c r="Q41" s="755" t="str">
        <f t="shared" si="11"/>
        <v>进深比</v>
      </c>
      <c r="R41" s="756" t="s">
        <v>25</v>
      </c>
      <c r="S41" s="757">
        <f t="shared" si="12"/>
        <v>100</v>
      </c>
      <c r="T41" s="756" t="s">
        <v>25</v>
      </c>
      <c r="U41" s="757">
        <f t="shared" si="13"/>
        <v>100</v>
      </c>
      <c r="V41" s="756" t="s">
        <v>25</v>
      </c>
      <c r="W41" s="757">
        <f t="shared" si="14"/>
        <v>100</v>
      </c>
      <c r="X41" s="758"/>
      <c r="Y41" s="3041"/>
      <c r="Z41" s="759" t="str">
        <f t="shared" si="15"/>
        <v>进深比</v>
      </c>
      <c r="AA41" s="1903">
        <f t="shared" si="3"/>
        <v>1</v>
      </c>
      <c r="AB41" s="1903">
        <f t="shared" si="4"/>
        <v>1</v>
      </c>
      <c r="AC41" s="1903">
        <f t="shared" si="5"/>
        <v>1</v>
      </c>
    </row>
    <row r="42" spans="1:29" ht="15">
      <c r="A42" s="453"/>
      <c r="B42" s="402" t="s">
        <v>2464</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39"/>
      <c r="Q42" s="1899" t="str">
        <f t="shared" si="11"/>
        <v>内部装修</v>
      </c>
      <c r="R42" s="753" t="s">
        <v>25</v>
      </c>
      <c r="S42" s="754">
        <f t="shared" si="12"/>
        <v>100</v>
      </c>
      <c r="T42" s="753" t="s">
        <v>25</v>
      </c>
      <c r="U42" s="754">
        <f t="shared" si="13"/>
        <v>100</v>
      </c>
      <c r="V42" s="753" t="s">
        <v>25</v>
      </c>
      <c r="W42" s="754">
        <f t="shared" si="14"/>
        <v>100</v>
      </c>
      <c r="X42" s="1900"/>
      <c r="Y42" s="3041"/>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39"/>
      <c r="Q43" s="1899" t="str">
        <f t="shared" si="11"/>
        <v>内部装修维护情况</v>
      </c>
      <c r="R43" s="753" t="s">
        <v>25</v>
      </c>
      <c r="S43" s="754">
        <f t="shared" si="12"/>
        <v>100</v>
      </c>
      <c r="T43" s="753" t="s">
        <v>25</v>
      </c>
      <c r="U43" s="754">
        <f t="shared" si="13"/>
        <v>100</v>
      </c>
      <c r="V43" s="753" t="s">
        <v>25</v>
      </c>
      <c r="W43" s="754">
        <f t="shared" si="14"/>
        <v>100</v>
      </c>
      <c r="X43" s="1900"/>
      <c r="Y43" s="3041"/>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9"/>
      <c r="Q44" s="1887">
        <f t="shared" si="11"/>
        <v>111</v>
      </c>
      <c r="R44" s="749" t="s">
        <v>25</v>
      </c>
      <c r="S44" s="750">
        <f t="shared" si="12"/>
        <v>100</v>
      </c>
      <c r="T44" s="749" t="s">
        <v>25</v>
      </c>
      <c r="U44" s="750">
        <f t="shared" si="13"/>
        <v>100</v>
      </c>
      <c r="V44" s="749" t="s">
        <v>25</v>
      </c>
      <c r="W44" s="750">
        <f t="shared" si="14"/>
        <v>100</v>
      </c>
      <c r="X44" s="751"/>
      <c r="Y44" s="3041"/>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9"/>
      <c r="Q45" s="1899">
        <f t="shared" si="11"/>
        <v>111</v>
      </c>
      <c r="R45" s="753" t="s">
        <v>25</v>
      </c>
      <c r="S45" s="754">
        <f t="shared" si="12"/>
        <v>100</v>
      </c>
      <c r="T45" s="753" t="s">
        <v>25</v>
      </c>
      <c r="U45" s="754">
        <f t="shared" si="13"/>
        <v>100</v>
      </c>
      <c r="V45" s="753" t="s">
        <v>25</v>
      </c>
      <c r="W45" s="754">
        <f t="shared" si="14"/>
        <v>100</v>
      </c>
      <c r="X45" s="1900"/>
      <c r="Y45" s="3041"/>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0"/>
      <c r="Q46" s="1899">
        <f t="shared" si="11"/>
        <v>111</v>
      </c>
      <c r="R46" s="753" t="s">
        <v>25</v>
      </c>
      <c r="S46" s="754">
        <f t="shared" si="12"/>
        <v>100</v>
      </c>
      <c r="T46" s="753" t="s">
        <v>25</v>
      </c>
      <c r="U46" s="754">
        <f t="shared" si="13"/>
        <v>100</v>
      </c>
      <c r="V46" s="753" t="s">
        <v>25</v>
      </c>
      <c r="W46" s="754">
        <f t="shared" si="14"/>
        <v>100</v>
      </c>
      <c r="X46" s="1900"/>
      <c r="Y46" s="3042"/>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3" t="str">
        <f>A47</f>
        <v>成交单价（元/平方米）</v>
      </c>
      <c r="Q47" s="3033"/>
      <c r="R47" s="3029">
        <f>E47</f>
        <v>0</v>
      </c>
      <c r="S47" s="3029"/>
      <c r="T47" s="3029">
        <f>G47</f>
        <v>0</v>
      </c>
      <c r="U47" s="3029"/>
      <c r="V47" s="3029">
        <f>I47</f>
        <v>0</v>
      </c>
      <c r="W47" s="3029"/>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33" t="str">
        <f>A48</f>
        <v>比较价值（元/平方米）</v>
      </c>
      <c r="Q48" s="3033"/>
      <c r="R48" s="3029" t="e">
        <f>IF(E1="售价",ROUND(PRODUCT(R47,AA7:AA46),0),ROUND(PRODUCT(R47,AA7:AA46),1))</f>
        <v>#DIV/0!</v>
      </c>
      <c r="S48" s="3029"/>
      <c r="T48" s="3029" t="e">
        <f>IF(E1="售价",ROUND(PRODUCT(T47,AB7:AB46),0),ROUND(PRODUCT(T47,AB7:AB46),1))</f>
        <v>#DIV/0!</v>
      </c>
      <c r="U48" s="3029"/>
      <c r="V48" s="3029" t="e">
        <f>IF(E1="售价",ROUND(PRODUCT(V47,AC7:AC46),0),ROUND(PRODUCT(V47,AC7:AC46),1))</f>
        <v>#DIV/0!</v>
      </c>
      <c r="W48" s="3029"/>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30" t="str">
        <f>A49</f>
        <v>估价对象XX用房的比较价值（楼面单价，元/平方米）</v>
      </c>
      <c r="Q49" s="3031"/>
      <c r="R49" s="3032" t="e">
        <f>IF(E1="售价",ROUND(AVERAGE(R48:V48),0),ROUND(AVERAGE(R48:V48),1))</f>
        <v>#DIV/0!</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2018-6</v>
      </c>
      <c r="D58" s="1679">
        <f>EDATE(C58,-1)</f>
        <v>43221</v>
      </c>
      <c r="E58" s="1679">
        <f t="shared" ref="E58:O58" si="16">EDATE(D58,-1)</f>
        <v>43191</v>
      </c>
      <c r="F58" s="1679">
        <f t="shared" si="16"/>
        <v>43160</v>
      </c>
      <c r="G58" s="1679">
        <f t="shared" si="16"/>
        <v>43132</v>
      </c>
      <c r="H58" s="1679">
        <f t="shared" si="16"/>
        <v>43101</v>
      </c>
      <c r="I58" s="1679">
        <f t="shared" si="16"/>
        <v>43070</v>
      </c>
      <c r="J58" s="1679">
        <f t="shared" si="16"/>
        <v>43040</v>
      </c>
      <c r="K58" s="1679">
        <f t="shared" si="16"/>
        <v>43009</v>
      </c>
      <c r="L58" s="1679">
        <f t="shared" si="16"/>
        <v>42979</v>
      </c>
      <c r="M58" s="1679">
        <f t="shared" si="16"/>
        <v>42948</v>
      </c>
      <c r="N58" s="1679">
        <f t="shared" si="16"/>
        <v>42917</v>
      </c>
      <c r="O58" s="1679">
        <f t="shared" si="16"/>
        <v>42887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2393</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2471</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2472</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2419</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2421</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2473</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2474</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2475</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2426</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2477</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31.27</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81" t="s">
        <v>2346</v>
      </c>
      <c r="Q4" s="3065"/>
      <c r="R4" s="3049" t="s">
        <v>2342</v>
      </c>
      <c r="S4" s="3050"/>
      <c r="T4" s="3049" t="s">
        <v>2343</v>
      </c>
      <c r="U4" s="3050"/>
      <c r="V4" s="3070" t="s">
        <v>2344</v>
      </c>
      <c r="W4" s="3070"/>
      <c r="X4" s="1900"/>
      <c r="Y4" s="3049" t="s">
        <v>2346</v>
      </c>
      <c r="Z4" s="3050"/>
      <c r="AA4" s="3057" t="s">
        <v>2342</v>
      </c>
      <c r="AB4" s="3057" t="s">
        <v>2343</v>
      </c>
      <c r="AC4" s="3057" t="s">
        <v>2344</v>
      </c>
    </row>
    <row r="5" spans="1:29" ht="15">
      <c r="A5" s="383"/>
      <c r="B5" s="384"/>
      <c r="C5" s="3045" t="s">
        <v>2347</v>
      </c>
      <c r="D5" s="3046"/>
      <c r="E5" s="3076" t="s">
        <v>2348</v>
      </c>
      <c r="F5" s="3072"/>
      <c r="G5" s="3045" t="s">
        <v>2349</v>
      </c>
      <c r="H5" s="3046"/>
      <c r="I5" s="3045" t="s">
        <v>2350</v>
      </c>
      <c r="J5" s="3046"/>
      <c r="K5" s="594"/>
      <c r="L5" s="1243"/>
      <c r="M5" s="1244"/>
      <c r="N5" s="1244"/>
      <c r="O5" s="1244"/>
      <c r="P5" s="3082"/>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594" t="s">
        <v>2352</v>
      </c>
      <c r="L6" s="1243"/>
      <c r="M6" s="1244"/>
      <c r="N6" s="1244"/>
      <c r="O6" s="1244"/>
      <c r="P6" s="3083"/>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5"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5" t="s">
        <v>2357</v>
      </c>
      <c r="Q8" s="3048"/>
      <c r="R8" s="749" t="s">
        <v>25</v>
      </c>
      <c r="S8" s="750">
        <f t="shared" si="0"/>
        <v>0</v>
      </c>
      <c r="T8" s="749" t="s">
        <v>25</v>
      </c>
      <c r="U8" s="750">
        <f t="shared" si="1"/>
        <v>0</v>
      </c>
      <c r="V8" s="749" t="s">
        <v>25</v>
      </c>
      <c r="W8" s="750">
        <f t="shared" si="2"/>
        <v>0</v>
      </c>
      <c r="X8" s="751"/>
      <c r="Y8" s="3047" t="s">
        <v>2357</v>
      </c>
      <c r="Z8" s="3048"/>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1"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1"/>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1"/>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1"/>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1"/>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1"/>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71.25">
      <c r="A15" s="419" t="s">
        <v>2364</v>
      </c>
      <c r="B15" s="613" t="s">
        <v>2478</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5" t="s">
        <v>2365</v>
      </c>
      <c r="Q15" s="1899" t="str">
        <f t="shared" si="6"/>
        <v>办公集聚程度</v>
      </c>
      <c r="R15" s="753" t="s">
        <v>25</v>
      </c>
      <c r="S15" s="754">
        <f t="shared" si="0"/>
        <v>100</v>
      </c>
      <c r="T15" s="753" t="s">
        <v>25</v>
      </c>
      <c r="U15" s="754">
        <f t="shared" si="1"/>
        <v>100</v>
      </c>
      <c r="V15" s="753" t="s">
        <v>25</v>
      </c>
      <c r="W15" s="754">
        <f t="shared" si="2"/>
        <v>100</v>
      </c>
      <c r="X15" s="1900"/>
      <c r="Y15" s="3036"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7"/>
      <c r="Q16" s="1899"/>
      <c r="R16" s="753"/>
      <c r="S16" s="754"/>
      <c r="T16" s="753"/>
      <c r="U16" s="754"/>
      <c r="V16" s="753"/>
      <c r="W16" s="754"/>
      <c r="X16" s="1900"/>
      <c r="Y16" s="3037"/>
      <c r="Z16" s="1902"/>
      <c r="AA16" s="1903">
        <v>1</v>
      </c>
      <c r="AB16" s="1903">
        <v>1</v>
      </c>
      <c r="AC16" s="1903">
        <v>1</v>
      </c>
    </row>
    <row r="17" spans="1:29" ht="71.25">
      <c r="A17" s="408"/>
      <c r="B17" s="615" t="s">
        <v>1750</v>
      </c>
      <c r="C17" s="2467" t="str">
        <f>估价对象房地状况!C6</f>
        <v>周边2公里内有十余条公交线路及地铁10号线（团结湖站），交通便捷度较好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67"/>
      <c r="Q18" s="1899"/>
      <c r="R18" s="753"/>
      <c r="S18" s="754"/>
      <c r="T18" s="753"/>
      <c r="U18" s="754"/>
      <c r="V18" s="753"/>
      <c r="W18" s="754"/>
      <c r="X18" s="1900"/>
      <c r="Y18" s="3037"/>
      <c r="Z18" s="1902"/>
      <c r="AA18" s="1903">
        <v>1</v>
      </c>
      <c r="AB18" s="1903">
        <v>1</v>
      </c>
      <c r="AC18" s="1903">
        <v>1</v>
      </c>
    </row>
    <row r="19" spans="1:29" ht="42.75">
      <c r="A19" s="408"/>
      <c r="B19" s="615" t="s">
        <v>2479</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7"/>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67"/>
      <c r="Q20" s="1899"/>
      <c r="R20" s="753"/>
      <c r="S20" s="754"/>
      <c r="T20" s="753"/>
      <c r="U20" s="754"/>
      <c r="V20" s="753"/>
      <c r="W20" s="754"/>
      <c r="X20" s="1900"/>
      <c r="Y20" s="3037"/>
      <c r="Z20" s="1902"/>
      <c r="AA20" s="1903">
        <v>1</v>
      </c>
      <c r="AB20" s="1903">
        <v>1</v>
      </c>
      <c r="AC20" s="1903">
        <v>1</v>
      </c>
    </row>
    <row r="21" spans="1:29" ht="15">
      <c r="A21" s="408"/>
      <c r="B21" s="617" t="s">
        <v>2480</v>
      </c>
      <c r="C21" s="2467"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7"/>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67"/>
      <c r="Q22" s="1899"/>
      <c r="R22" s="753"/>
      <c r="S22" s="754"/>
      <c r="T22" s="753"/>
      <c r="U22" s="754"/>
      <c r="V22" s="753"/>
      <c r="W22" s="754"/>
      <c r="X22" s="1900"/>
      <c r="Y22" s="3037"/>
      <c r="Z22" s="1902"/>
      <c r="AA22" s="1903">
        <v>1</v>
      </c>
      <c r="AB22" s="1903">
        <v>1</v>
      </c>
      <c r="AC22" s="1903">
        <v>1</v>
      </c>
    </row>
    <row r="23" spans="1:29" ht="57">
      <c r="A23" s="408"/>
      <c r="B23" s="615" t="s">
        <v>2481</v>
      </c>
      <c r="C23" s="2467" t="str">
        <f>估价对象房地状况!C9</f>
        <v>有工人体育场、团结湖公园等，自然及人文环境较好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7"/>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67"/>
      <c r="Q24" s="1899"/>
      <c r="R24" s="753"/>
      <c r="S24" s="754"/>
      <c r="T24" s="753"/>
      <c r="U24" s="754"/>
      <c r="V24" s="753"/>
      <c r="W24" s="754"/>
      <c r="X24" s="1900"/>
      <c r="Y24" s="3037"/>
      <c r="Z24" s="1902"/>
      <c r="AA24" s="1903">
        <v>1</v>
      </c>
      <c r="AB24" s="1903">
        <v>1</v>
      </c>
      <c r="AC24" s="1903">
        <v>1</v>
      </c>
    </row>
    <row r="25" spans="1:29" ht="27">
      <c r="A25" s="383"/>
      <c r="B25" s="615" t="s">
        <v>2482</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67"/>
      <c r="Q25" s="1899" t="str">
        <f>B25</f>
        <v>毗邻道路的类型与等级</v>
      </c>
      <c r="R25" s="753" t="s">
        <v>25</v>
      </c>
      <c r="S25" s="754">
        <f>F25</f>
        <v>100</v>
      </c>
      <c r="T25" s="753" t="s">
        <v>25</v>
      </c>
      <c r="U25" s="754">
        <f>H25</f>
        <v>100</v>
      </c>
      <c r="V25" s="753" t="s">
        <v>25</v>
      </c>
      <c r="W25" s="754">
        <f>J25</f>
        <v>100</v>
      </c>
      <c r="X25" s="1900"/>
      <c r="Y25" s="3037"/>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7"/>
      <c r="Q26" s="1899"/>
      <c r="R26" s="753"/>
      <c r="S26" s="754"/>
      <c r="T26" s="753"/>
      <c r="U26" s="754"/>
      <c r="V26" s="753"/>
      <c r="W26" s="754"/>
      <c r="X26" s="1900"/>
      <c r="Y26" s="3037"/>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7"/>
      <c r="Q27" s="1899" t="str">
        <f t="shared" ref="Q27:Q47" si="11">B27</f>
        <v>楼层</v>
      </c>
      <c r="R27" s="753" t="s">
        <v>25</v>
      </c>
      <c r="S27" s="754">
        <f>F27</f>
        <v>100</v>
      </c>
      <c r="T27" s="753" t="s">
        <v>25</v>
      </c>
      <c r="U27" s="754">
        <f>H27</f>
        <v>100</v>
      </c>
      <c r="V27" s="753" t="s">
        <v>25</v>
      </c>
      <c r="W27" s="754">
        <f>J27</f>
        <v>100</v>
      </c>
      <c r="X27" s="1900"/>
      <c r="Y27" s="3037"/>
      <c r="Z27" s="1902" t="str">
        <f>Q27</f>
        <v>楼层</v>
      </c>
      <c r="AA27" s="1903">
        <f t="shared" si="3"/>
        <v>1</v>
      </c>
      <c r="AB27" s="1903">
        <f t="shared" si="4"/>
        <v>1</v>
      </c>
      <c r="AC27" s="1903">
        <f t="shared" si="5"/>
        <v>1</v>
      </c>
    </row>
    <row r="28" spans="1:29" s="35" customFormat="1" ht="15">
      <c r="A28" s="411"/>
      <c r="B28" s="615" t="s">
        <v>2483</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67"/>
      <c r="Q28" s="1887" t="str">
        <f t="shared" si="11"/>
        <v>朝向</v>
      </c>
      <c r="R28" s="749" t="s">
        <v>25</v>
      </c>
      <c r="S28" s="750">
        <f>F28</f>
        <v>100</v>
      </c>
      <c r="T28" s="749" t="s">
        <v>25</v>
      </c>
      <c r="U28" s="750">
        <f>H28</f>
        <v>100</v>
      </c>
      <c r="V28" s="749" t="s">
        <v>25</v>
      </c>
      <c r="W28" s="750">
        <f>J28</f>
        <v>100</v>
      </c>
      <c r="X28" s="751"/>
      <c r="Y28" s="3037"/>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7"/>
      <c r="Q29" s="1899">
        <f t="shared" si="11"/>
        <v>111</v>
      </c>
      <c r="R29" s="753" t="s">
        <v>25</v>
      </c>
      <c r="S29" s="754">
        <f t="shared" ref="S29:S47" si="12">F29</f>
        <v>100</v>
      </c>
      <c r="T29" s="753" t="s">
        <v>25</v>
      </c>
      <c r="U29" s="754">
        <f t="shared" ref="U29:U47" si="13">H29</f>
        <v>100</v>
      </c>
      <c r="V29" s="753" t="s">
        <v>25</v>
      </c>
      <c r="W29" s="754">
        <f t="shared" ref="W29:W47" si="14">J29</f>
        <v>100</v>
      </c>
      <c r="X29" s="1900"/>
      <c r="Y29" s="3037"/>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7"/>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7"/>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7"/>
      <c r="Q32" s="1899">
        <f t="shared" si="11"/>
        <v>111</v>
      </c>
      <c r="R32" s="753" t="s">
        <v>25</v>
      </c>
      <c r="S32" s="754">
        <f t="shared" si="12"/>
        <v>100</v>
      </c>
      <c r="T32" s="753" t="s">
        <v>25</v>
      </c>
      <c r="U32" s="754">
        <f t="shared" si="13"/>
        <v>100</v>
      </c>
      <c r="V32" s="753" t="s">
        <v>25</v>
      </c>
      <c r="W32" s="754">
        <f t="shared" si="14"/>
        <v>100</v>
      </c>
      <c r="X32" s="1900"/>
      <c r="Y32" s="3037"/>
      <c r="Z32" s="1902">
        <f t="shared" si="15"/>
        <v>111</v>
      </c>
      <c r="AA32" s="1903">
        <f t="shared" si="3"/>
        <v>1</v>
      </c>
      <c r="AB32" s="1903">
        <f t="shared" si="4"/>
        <v>1</v>
      </c>
      <c r="AC32" s="1903">
        <f t="shared" si="5"/>
        <v>1</v>
      </c>
    </row>
    <row r="33" spans="1:29" ht="15">
      <c r="A33" s="419" t="s">
        <v>2369</v>
      </c>
      <c r="B33" s="28" t="s">
        <v>2484</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78" t="s">
        <v>2371</v>
      </c>
      <c r="Q33" s="1899" t="str">
        <f t="shared" si="11"/>
        <v>建筑类型</v>
      </c>
      <c r="R33" s="753" t="s">
        <v>25</v>
      </c>
      <c r="S33" s="754">
        <f t="shared" si="12"/>
        <v>100</v>
      </c>
      <c r="T33" s="753" t="s">
        <v>25</v>
      </c>
      <c r="U33" s="754">
        <f t="shared" si="13"/>
        <v>100</v>
      </c>
      <c r="V33" s="753" t="s">
        <v>25</v>
      </c>
      <c r="W33" s="754">
        <f t="shared" si="14"/>
        <v>100</v>
      </c>
      <c r="X33" s="1900"/>
      <c r="Y33" s="3041"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9"/>
      <c r="Q34" s="755" t="str">
        <f t="shared" si="11"/>
        <v>项目建筑规模</v>
      </c>
      <c r="R34" s="756" t="s">
        <v>25</v>
      </c>
      <c r="S34" s="757" t="e">
        <f t="shared" si="12"/>
        <v>#N/A</v>
      </c>
      <c r="T34" s="756" t="s">
        <v>25</v>
      </c>
      <c r="U34" s="757" t="e">
        <f t="shared" si="13"/>
        <v>#N/A</v>
      </c>
      <c r="V34" s="756" t="s">
        <v>25</v>
      </c>
      <c r="W34" s="757" t="e">
        <f t="shared" si="14"/>
        <v>#N/A</v>
      </c>
      <c r="X34" s="758"/>
      <c r="Y34" s="3041"/>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9"/>
      <c r="Q35" s="1899" t="str">
        <f t="shared" si="11"/>
        <v>建筑结构</v>
      </c>
      <c r="R35" s="753" t="s">
        <v>25</v>
      </c>
      <c r="S35" s="754">
        <f t="shared" si="12"/>
        <v>100</v>
      </c>
      <c r="T35" s="753" t="s">
        <v>25</v>
      </c>
      <c r="U35" s="754">
        <f t="shared" si="13"/>
        <v>100</v>
      </c>
      <c r="V35" s="753" t="s">
        <v>25</v>
      </c>
      <c r="W35" s="754">
        <f t="shared" si="14"/>
        <v>100</v>
      </c>
      <c r="X35" s="1900"/>
      <c r="Y35" s="3041"/>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9"/>
      <c r="Q36" s="1899" t="str">
        <f t="shared" si="11"/>
        <v>公共部分装修</v>
      </c>
      <c r="R36" s="753" t="s">
        <v>25</v>
      </c>
      <c r="S36" s="754">
        <f t="shared" si="12"/>
        <v>100</v>
      </c>
      <c r="T36" s="753" t="s">
        <v>25</v>
      </c>
      <c r="U36" s="754">
        <f t="shared" si="13"/>
        <v>100</v>
      </c>
      <c r="V36" s="753" t="s">
        <v>25</v>
      </c>
      <c r="W36" s="754">
        <f t="shared" si="14"/>
        <v>100</v>
      </c>
      <c r="X36" s="1900"/>
      <c r="Y36" s="3041"/>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9"/>
      <c r="Q37" s="1899" t="str">
        <f t="shared" si="11"/>
        <v>成新度</v>
      </c>
      <c r="R37" s="753" t="s">
        <v>25</v>
      </c>
      <c r="S37" s="754" t="e">
        <f t="shared" si="12"/>
        <v>#N/A</v>
      </c>
      <c r="T37" s="753" t="s">
        <v>25</v>
      </c>
      <c r="U37" s="754" t="e">
        <f t="shared" si="13"/>
        <v>#N/A</v>
      </c>
      <c r="V37" s="753" t="s">
        <v>25</v>
      </c>
      <c r="W37" s="754" t="e">
        <f t="shared" si="14"/>
        <v>#N/A</v>
      </c>
      <c r="X37" s="1900"/>
      <c r="Y37" s="3041"/>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9"/>
      <c r="Q38" s="1887" t="str">
        <f t="shared" si="11"/>
        <v>写字楼等级</v>
      </c>
      <c r="R38" s="749" t="s">
        <v>25</v>
      </c>
      <c r="S38" s="750">
        <f t="shared" si="12"/>
        <v>100</v>
      </c>
      <c r="T38" s="749" t="s">
        <v>25</v>
      </c>
      <c r="U38" s="750">
        <f t="shared" si="13"/>
        <v>100</v>
      </c>
      <c r="V38" s="749" t="s">
        <v>25</v>
      </c>
      <c r="W38" s="750">
        <f t="shared" si="14"/>
        <v>100</v>
      </c>
      <c r="X38" s="751"/>
      <c r="Y38" s="3041"/>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9" t="s">
        <v>2371</v>
      </c>
      <c r="Q39" s="1899" t="str">
        <f t="shared" si="11"/>
        <v>物业管理</v>
      </c>
      <c r="R39" s="753" t="s">
        <v>25</v>
      </c>
      <c r="S39" s="754">
        <f t="shared" si="12"/>
        <v>100</v>
      </c>
      <c r="T39" s="753" t="s">
        <v>25</v>
      </c>
      <c r="U39" s="754">
        <f t="shared" si="13"/>
        <v>100</v>
      </c>
      <c r="V39" s="753" t="s">
        <v>25</v>
      </c>
      <c r="W39" s="754">
        <f t="shared" si="14"/>
        <v>100</v>
      </c>
      <c r="X39" s="1900"/>
      <c r="Y39" s="3041" t="s">
        <v>2371</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9"/>
      <c r="Q40" s="1899" t="str">
        <f t="shared" si="11"/>
        <v>市政基础设施</v>
      </c>
      <c r="R40" s="753" t="s">
        <v>25</v>
      </c>
      <c r="S40" s="754">
        <f t="shared" si="12"/>
        <v>100</v>
      </c>
      <c r="T40" s="753" t="s">
        <v>25</v>
      </c>
      <c r="U40" s="754">
        <f t="shared" si="13"/>
        <v>100</v>
      </c>
      <c r="V40" s="753" t="s">
        <v>25</v>
      </c>
      <c r="W40" s="754">
        <f t="shared" si="14"/>
        <v>100</v>
      </c>
      <c r="X40" s="1900"/>
      <c r="Y40" s="3041"/>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9"/>
      <c r="Q41" s="1899" t="str">
        <f t="shared" si="11"/>
        <v>层高</v>
      </c>
      <c r="R41" s="753" t="s">
        <v>25</v>
      </c>
      <c r="S41" s="754">
        <f t="shared" si="12"/>
        <v>100</v>
      </c>
      <c r="T41" s="753" t="s">
        <v>25</v>
      </c>
      <c r="U41" s="754">
        <f t="shared" si="13"/>
        <v>100</v>
      </c>
      <c r="V41" s="753" t="s">
        <v>25</v>
      </c>
      <c r="W41" s="754">
        <f t="shared" si="14"/>
        <v>100</v>
      </c>
      <c r="X41" s="1900"/>
      <c r="Y41" s="3041"/>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9"/>
      <c r="Q42" s="755" t="str">
        <f t="shared" si="11"/>
        <v>单套建筑面积</v>
      </c>
      <c r="R42" s="756" t="s">
        <v>25</v>
      </c>
      <c r="S42" s="757">
        <f t="shared" si="12"/>
        <v>100</v>
      </c>
      <c r="T42" s="756" t="s">
        <v>25</v>
      </c>
      <c r="U42" s="757">
        <f t="shared" si="13"/>
        <v>100</v>
      </c>
      <c r="V42" s="756" t="s">
        <v>25</v>
      </c>
      <c r="W42" s="757">
        <f t="shared" si="14"/>
        <v>100</v>
      </c>
      <c r="X42" s="758"/>
      <c r="Y42" s="3041"/>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9"/>
      <c r="Q43" s="1899" t="str">
        <f t="shared" si="11"/>
        <v>内部装修</v>
      </c>
      <c r="R43" s="753" t="s">
        <v>25</v>
      </c>
      <c r="S43" s="754">
        <f t="shared" si="12"/>
        <v>100</v>
      </c>
      <c r="T43" s="753" t="s">
        <v>25</v>
      </c>
      <c r="U43" s="754">
        <f t="shared" si="13"/>
        <v>100</v>
      </c>
      <c r="V43" s="753" t="s">
        <v>25</v>
      </c>
      <c r="W43" s="754">
        <f t="shared" si="14"/>
        <v>100</v>
      </c>
      <c r="X43" s="1900"/>
      <c r="Y43" s="3041"/>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79"/>
      <c r="Q44" s="1899" t="str">
        <f t="shared" si="11"/>
        <v>内部装修维护情况</v>
      </c>
      <c r="R44" s="753" t="s">
        <v>25</v>
      </c>
      <c r="S44" s="754">
        <f t="shared" si="12"/>
        <v>100</v>
      </c>
      <c r="T44" s="753" t="s">
        <v>25</v>
      </c>
      <c r="U44" s="754">
        <f t="shared" si="13"/>
        <v>100</v>
      </c>
      <c r="V44" s="753" t="s">
        <v>25</v>
      </c>
      <c r="W44" s="754">
        <f t="shared" si="14"/>
        <v>100</v>
      </c>
      <c r="X44" s="1900"/>
      <c r="Y44" s="3041"/>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9"/>
      <c r="Q45" s="1887">
        <f t="shared" si="11"/>
        <v>111</v>
      </c>
      <c r="R45" s="749" t="s">
        <v>25</v>
      </c>
      <c r="S45" s="750">
        <f t="shared" si="12"/>
        <v>100</v>
      </c>
      <c r="T45" s="749" t="s">
        <v>25</v>
      </c>
      <c r="U45" s="750">
        <f t="shared" si="13"/>
        <v>100</v>
      </c>
      <c r="V45" s="749" t="s">
        <v>25</v>
      </c>
      <c r="W45" s="750">
        <f t="shared" si="14"/>
        <v>100</v>
      </c>
      <c r="X45" s="751"/>
      <c r="Y45" s="3041"/>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9"/>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0"/>
      <c r="Q47" s="1899">
        <f t="shared" si="11"/>
        <v>111</v>
      </c>
      <c r="R47" s="753" t="s">
        <v>25</v>
      </c>
      <c r="S47" s="754">
        <f t="shared" si="12"/>
        <v>100</v>
      </c>
      <c r="T47" s="753" t="s">
        <v>25</v>
      </c>
      <c r="U47" s="754">
        <f t="shared" si="13"/>
        <v>100</v>
      </c>
      <c r="V47" s="753" t="s">
        <v>25</v>
      </c>
      <c r="W47" s="754">
        <f t="shared" si="14"/>
        <v>100</v>
      </c>
      <c r="X47" s="1900"/>
      <c r="Y47" s="3042"/>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31" t="str">
        <f>A48</f>
        <v>成交单价（元/平方米）</v>
      </c>
      <c r="Q48" s="3033"/>
      <c r="R48" s="3029">
        <f>E48</f>
        <v>0</v>
      </c>
      <c r="S48" s="3029"/>
      <c r="T48" s="3029">
        <f>G48</f>
        <v>0</v>
      </c>
      <c r="U48" s="3029"/>
      <c r="V48" s="3029">
        <f>I48</f>
        <v>0</v>
      </c>
      <c r="W48" s="3029"/>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31" t="str">
        <f>A49</f>
        <v>比较价值（元/平方米）</v>
      </c>
      <c r="Q49" s="3033"/>
      <c r="R49" s="3029" t="e">
        <f>IF(E1="售价",ROUND(PRODUCT(R48,AA7:AA47),0),ROUND(PRODUCT(R48,AA7:AA47),1))</f>
        <v>#DIV/0!</v>
      </c>
      <c r="S49" s="3029"/>
      <c r="T49" s="3029" t="e">
        <f>IF(E1="售价",ROUND(PRODUCT(T48,AB7:AB47),0),ROUND(PRODUCT(T48,AB7:AB47),1))</f>
        <v>#DIV/0!</v>
      </c>
      <c r="U49" s="3029"/>
      <c r="V49" s="3029" t="e">
        <f>IF(E1="售价",ROUND(PRODUCT(V48,AC7:AC47),0),ROUND(PRODUCT(V48,AC7:AC47),1))</f>
        <v>#DIV/0!</v>
      </c>
      <c r="W49" s="3029"/>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7" t="str">
        <f>A50</f>
        <v>估价对象XX用房的比较价值（楼面单价，元/平方米）</v>
      </c>
      <c r="Q50" s="3031"/>
      <c r="R50" s="3032" t="e">
        <f>IF(E1="售价",ROUND(AVERAGE(R49:V49),0),ROUND(AVERAGE(R49:V49),1))</f>
        <v>#DIV/0!</v>
      </c>
      <c r="S50" s="3032"/>
      <c r="T50" s="3032"/>
      <c r="U50" s="3032"/>
      <c r="V50" s="3032"/>
      <c r="W50" s="303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2018-6</v>
      </c>
      <c r="D59" s="1679">
        <f>EDATE(C59,-1)</f>
        <v>43221</v>
      </c>
      <c r="E59" s="1679">
        <f t="shared" ref="E59:O59" si="16">EDATE(D59,-1)</f>
        <v>43191</v>
      </c>
      <c r="F59" s="1679">
        <f t="shared" si="16"/>
        <v>43160</v>
      </c>
      <c r="G59" s="1679">
        <f t="shared" si="16"/>
        <v>43132</v>
      </c>
      <c r="H59" s="1679">
        <f t="shared" si="16"/>
        <v>43101</v>
      </c>
      <c r="I59" s="1679">
        <f t="shared" si="16"/>
        <v>43070</v>
      </c>
      <c r="J59" s="1679">
        <f t="shared" si="16"/>
        <v>43040</v>
      </c>
      <c r="K59" s="1679">
        <f t="shared" si="16"/>
        <v>43009</v>
      </c>
      <c r="L59" s="1679">
        <f t="shared" si="16"/>
        <v>42979</v>
      </c>
      <c r="M59" s="1679">
        <f t="shared" si="16"/>
        <v>42948</v>
      </c>
      <c r="N59" s="1679">
        <f t="shared" si="16"/>
        <v>42917</v>
      </c>
      <c r="O59" s="1679">
        <f t="shared" si="16"/>
        <v>42887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2494</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31.27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6"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7" t="s">
        <v>2357</v>
      </c>
      <c r="Q8" s="3048"/>
      <c r="R8" s="749" t="s">
        <v>25</v>
      </c>
      <c r="S8" s="750">
        <f t="shared" si="0"/>
        <v>100</v>
      </c>
      <c r="T8" s="749" t="s">
        <v>25</v>
      </c>
      <c r="U8" s="750">
        <f t="shared" si="1"/>
        <v>100</v>
      </c>
      <c r="V8" s="749" t="s">
        <v>25</v>
      </c>
      <c r="W8" s="750">
        <f t="shared" si="2"/>
        <v>100</v>
      </c>
      <c r="X8" s="751"/>
      <c r="Y8" s="3047" t="s">
        <v>2357</v>
      </c>
      <c r="Z8" s="3048"/>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2364</v>
      </c>
      <c r="B15" s="26" t="s">
        <v>2495</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6" t="s">
        <v>2365</v>
      </c>
      <c r="Q15" s="1899" t="str">
        <f t="shared" si="6"/>
        <v>产业集聚程度</v>
      </c>
      <c r="R15" s="753" t="s">
        <v>25</v>
      </c>
      <c r="S15" s="754">
        <f t="shared" si="0"/>
        <v>100</v>
      </c>
      <c r="T15" s="753" t="s">
        <v>25</v>
      </c>
      <c r="U15" s="754">
        <f t="shared" si="1"/>
        <v>100</v>
      </c>
      <c r="V15" s="753" t="s">
        <v>25</v>
      </c>
      <c r="W15" s="754">
        <f t="shared" si="2"/>
        <v>100</v>
      </c>
      <c r="X15" s="1900"/>
      <c r="Y15" s="3036"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37"/>
      <c r="Q18" s="1899"/>
      <c r="R18" s="753"/>
      <c r="S18" s="754"/>
      <c r="T18" s="753"/>
      <c r="U18" s="754"/>
      <c r="V18" s="753"/>
      <c r="W18" s="754"/>
      <c r="X18" s="1900"/>
      <c r="Y18" s="3037"/>
      <c r="Z18" s="1902"/>
      <c r="AA18" s="1903">
        <v>1</v>
      </c>
      <c r="AB18" s="1903">
        <v>1</v>
      </c>
      <c r="AC18" s="1903">
        <v>1</v>
      </c>
    </row>
    <row r="19" spans="1:29" ht="42.75">
      <c r="A19" s="408"/>
      <c r="B19" s="615" t="s">
        <v>2479</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7"/>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37"/>
      <c r="Q20" s="1899"/>
      <c r="R20" s="753"/>
      <c r="S20" s="754"/>
      <c r="T20" s="753"/>
      <c r="U20" s="754"/>
      <c r="V20" s="753"/>
      <c r="W20" s="754"/>
      <c r="X20" s="1900"/>
      <c r="Y20" s="3037"/>
      <c r="Z20" s="1902"/>
      <c r="AA20" s="1903">
        <v>1</v>
      </c>
      <c r="AB20" s="1903">
        <v>1</v>
      </c>
      <c r="AC20" s="1903">
        <v>1</v>
      </c>
    </row>
    <row r="21" spans="1:29" ht="28.5">
      <c r="A21" s="408"/>
      <c r="B21" s="617" t="s">
        <v>2480</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7"/>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37"/>
      <c r="Q22" s="1899"/>
      <c r="R22" s="753"/>
      <c r="S22" s="754"/>
      <c r="T22" s="753"/>
      <c r="U22" s="754"/>
      <c r="V22" s="753"/>
      <c r="W22" s="754"/>
      <c r="X22" s="1900"/>
      <c r="Y22" s="3037"/>
      <c r="Z22" s="1902"/>
      <c r="AA22" s="1903">
        <v>1</v>
      </c>
      <c r="AB22" s="1903">
        <v>1</v>
      </c>
      <c r="AC22" s="1903">
        <v>1</v>
      </c>
    </row>
    <row r="23" spans="1:29" ht="71.25">
      <c r="A23" s="408"/>
      <c r="B23" s="431" t="s">
        <v>2481</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7"/>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37"/>
      <c r="Q24" s="1899"/>
      <c r="R24" s="753"/>
      <c r="S24" s="754"/>
      <c r="T24" s="753"/>
      <c r="U24" s="754"/>
      <c r="V24" s="753"/>
      <c r="W24" s="754"/>
      <c r="X24" s="1900"/>
      <c r="Y24" s="3037"/>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7"/>
      <c r="Q25" s="1899">
        <f>B25</f>
        <v>111</v>
      </c>
      <c r="R25" s="753" t="s">
        <v>25</v>
      </c>
      <c r="S25" s="754">
        <f>F25</f>
        <v>100</v>
      </c>
      <c r="T25" s="753" t="s">
        <v>25</v>
      </c>
      <c r="U25" s="754">
        <f>H25</f>
        <v>100</v>
      </c>
      <c r="V25" s="753" t="s">
        <v>25</v>
      </c>
      <c r="W25" s="754">
        <f>J25</f>
        <v>100</v>
      </c>
      <c r="X25" s="1900"/>
      <c r="Y25" s="3037"/>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7"/>
      <c r="Q26" s="1899">
        <f t="shared" ref="Q26:Q40" si="11">B26</f>
        <v>111</v>
      </c>
      <c r="R26" s="753" t="s">
        <v>25</v>
      </c>
      <c r="S26" s="754">
        <f>F26</f>
        <v>100</v>
      </c>
      <c r="T26" s="753" t="s">
        <v>25</v>
      </c>
      <c r="U26" s="754">
        <f>H26</f>
        <v>100</v>
      </c>
      <c r="V26" s="753" t="s">
        <v>25</v>
      </c>
      <c r="W26" s="754">
        <f>J26</f>
        <v>100</v>
      </c>
      <c r="X26" s="1900"/>
      <c r="Y26" s="3037"/>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7"/>
      <c r="Q27" s="1887">
        <f t="shared" si="11"/>
        <v>111</v>
      </c>
      <c r="R27" s="749" t="s">
        <v>25</v>
      </c>
      <c r="S27" s="750">
        <f>F27</f>
        <v>100</v>
      </c>
      <c r="T27" s="749" t="s">
        <v>25</v>
      </c>
      <c r="U27" s="750">
        <f>H27</f>
        <v>100</v>
      </c>
      <c r="V27" s="749" t="s">
        <v>25</v>
      </c>
      <c r="W27" s="750">
        <f>J27</f>
        <v>100</v>
      </c>
      <c r="X27" s="751"/>
      <c r="Y27" s="3037"/>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7"/>
      <c r="Q28" s="1899">
        <f t="shared" si="11"/>
        <v>111</v>
      </c>
      <c r="R28" s="753" t="s">
        <v>25</v>
      </c>
      <c r="S28" s="754">
        <f t="shared" ref="S28:S40" si="12">F28</f>
        <v>100</v>
      </c>
      <c r="T28" s="753" t="s">
        <v>25</v>
      </c>
      <c r="U28" s="754">
        <f t="shared" ref="U28:U40" si="13">H28</f>
        <v>100</v>
      </c>
      <c r="V28" s="753" t="s">
        <v>25</v>
      </c>
      <c r="W28" s="754">
        <f t="shared" ref="W28:W40" si="14">J28</f>
        <v>100</v>
      </c>
      <c r="X28" s="1900"/>
      <c r="Y28" s="3037"/>
      <c r="Z28" s="1902">
        <f t="shared" ref="Z28:Z40" si="15">Q28</f>
        <v>111</v>
      </c>
      <c r="AA28" s="1903">
        <f t="shared" si="3"/>
        <v>1</v>
      </c>
      <c r="AB28" s="1903">
        <f t="shared" si="4"/>
        <v>1</v>
      </c>
      <c r="AC28" s="1903">
        <f t="shared" si="5"/>
        <v>1</v>
      </c>
    </row>
    <row r="29" spans="1:29" ht="29.25">
      <c r="A29" s="447" t="s">
        <v>2369</v>
      </c>
      <c r="B29" s="28" t="s">
        <v>2484</v>
      </c>
      <c r="C29" s="2472" t="s">
        <v>2496</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84" t="s">
        <v>2371</v>
      </c>
      <c r="Q29" s="1899" t="str">
        <f t="shared" si="11"/>
        <v>建筑类型</v>
      </c>
      <c r="R29" s="753" t="s">
        <v>25</v>
      </c>
      <c r="S29" s="754">
        <f t="shared" si="12"/>
        <v>100</v>
      </c>
      <c r="T29" s="753" t="s">
        <v>25</v>
      </c>
      <c r="U29" s="754">
        <f t="shared" si="13"/>
        <v>100</v>
      </c>
      <c r="V29" s="753" t="s">
        <v>25</v>
      </c>
      <c r="W29" s="754">
        <f t="shared" si="14"/>
        <v>100</v>
      </c>
      <c r="X29" s="1900"/>
      <c r="Y29" s="3041"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1"/>
      <c r="Q30" s="755" t="str">
        <f t="shared" si="11"/>
        <v>项目建筑规模</v>
      </c>
      <c r="R30" s="756" t="s">
        <v>25</v>
      </c>
      <c r="S30" s="757" t="e">
        <f t="shared" si="12"/>
        <v>#N/A</v>
      </c>
      <c r="T30" s="756" t="s">
        <v>25</v>
      </c>
      <c r="U30" s="757" t="e">
        <f t="shared" si="13"/>
        <v>#N/A</v>
      </c>
      <c r="V30" s="756" t="s">
        <v>25</v>
      </c>
      <c r="W30" s="757" t="e">
        <f t="shared" si="14"/>
        <v>#N/A</v>
      </c>
      <c r="X30" s="758"/>
      <c r="Y30" s="3041"/>
      <c r="Z30" s="759" t="str">
        <f t="shared" si="15"/>
        <v>项目建筑规模</v>
      </c>
      <c r="AA30" s="1903" t="e">
        <f t="shared" si="3"/>
        <v>#N/A</v>
      </c>
      <c r="AB30" s="1903" t="e">
        <f t="shared" si="4"/>
        <v>#N/A</v>
      </c>
      <c r="AC30" s="1903" t="e">
        <f t="shared" si="5"/>
        <v>#N/A</v>
      </c>
    </row>
    <row r="31" spans="1:29" ht="15">
      <c r="A31" s="453"/>
      <c r="B31" s="402" t="s">
        <v>2373</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1"/>
      <c r="Q31" s="1899" t="str">
        <f t="shared" si="11"/>
        <v>建筑结构</v>
      </c>
      <c r="R31" s="753" t="s">
        <v>25</v>
      </c>
      <c r="S31" s="754">
        <f t="shared" si="12"/>
        <v>100</v>
      </c>
      <c r="T31" s="753" t="s">
        <v>25</v>
      </c>
      <c r="U31" s="754">
        <f t="shared" si="13"/>
        <v>100</v>
      </c>
      <c r="V31" s="753" t="s">
        <v>25</v>
      </c>
      <c r="W31" s="754">
        <f t="shared" si="14"/>
        <v>100</v>
      </c>
      <c r="X31" s="1900"/>
      <c r="Y31" s="3041"/>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1"/>
      <c r="Q32" s="1899" t="str">
        <f t="shared" si="11"/>
        <v>公共部分装修</v>
      </c>
      <c r="R32" s="753" t="s">
        <v>25</v>
      </c>
      <c r="S32" s="754">
        <f t="shared" si="12"/>
        <v>100</v>
      </c>
      <c r="T32" s="753" t="s">
        <v>25</v>
      </c>
      <c r="U32" s="754">
        <f t="shared" si="13"/>
        <v>100</v>
      </c>
      <c r="V32" s="753" t="s">
        <v>25</v>
      </c>
      <c r="W32" s="754">
        <f t="shared" si="14"/>
        <v>100</v>
      </c>
      <c r="X32" s="1900"/>
      <c r="Y32" s="3041"/>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1"/>
      <c r="Q33" s="1899" t="str">
        <f t="shared" si="11"/>
        <v>成新度</v>
      </c>
      <c r="R33" s="753" t="s">
        <v>25</v>
      </c>
      <c r="S33" s="754" t="e">
        <f t="shared" si="12"/>
        <v>#N/A</v>
      </c>
      <c r="T33" s="753" t="s">
        <v>25</v>
      </c>
      <c r="U33" s="754" t="e">
        <f t="shared" si="13"/>
        <v>#N/A</v>
      </c>
      <c r="V33" s="753" t="s">
        <v>25</v>
      </c>
      <c r="W33" s="754" t="e">
        <f t="shared" si="14"/>
        <v>#N/A</v>
      </c>
      <c r="X33" s="1900"/>
      <c r="Y33" s="3041"/>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1"/>
      <c r="Q34" s="1887" t="str">
        <f t="shared" si="11"/>
        <v>物业管理</v>
      </c>
      <c r="R34" s="749" t="s">
        <v>25</v>
      </c>
      <c r="S34" s="750">
        <f t="shared" si="12"/>
        <v>100</v>
      </c>
      <c r="T34" s="749" t="s">
        <v>25</v>
      </c>
      <c r="U34" s="750">
        <f t="shared" si="13"/>
        <v>100</v>
      </c>
      <c r="V34" s="749" t="s">
        <v>25</v>
      </c>
      <c r="W34" s="750">
        <f t="shared" si="14"/>
        <v>100</v>
      </c>
      <c r="X34" s="751"/>
      <c r="Y34" s="3041"/>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1" t="s">
        <v>2371</v>
      </c>
      <c r="Q35" s="1899" t="str">
        <f t="shared" si="11"/>
        <v>市政基础设施</v>
      </c>
      <c r="R35" s="753" t="s">
        <v>25</v>
      </c>
      <c r="S35" s="754">
        <f t="shared" si="12"/>
        <v>100</v>
      </c>
      <c r="T35" s="753" t="s">
        <v>25</v>
      </c>
      <c r="U35" s="754">
        <f t="shared" si="13"/>
        <v>100</v>
      </c>
      <c r="V35" s="753" t="s">
        <v>25</v>
      </c>
      <c r="W35" s="754">
        <f t="shared" si="14"/>
        <v>100</v>
      </c>
      <c r="X35" s="1900"/>
      <c r="Y35" s="3041" t="s">
        <v>2371</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1"/>
      <c r="Q36" s="1899" t="str">
        <f t="shared" si="11"/>
        <v>内部装修</v>
      </c>
      <c r="R36" s="753" t="s">
        <v>25</v>
      </c>
      <c r="S36" s="754">
        <f t="shared" si="12"/>
        <v>100</v>
      </c>
      <c r="T36" s="753" t="s">
        <v>25</v>
      </c>
      <c r="U36" s="754">
        <f t="shared" si="13"/>
        <v>100</v>
      </c>
      <c r="V36" s="753" t="s">
        <v>25</v>
      </c>
      <c r="W36" s="754">
        <f t="shared" si="14"/>
        <v>100</v>
      </c>
      <c r="X36" s="1900"/>
      <c r="Y36" s="3041"/>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1"/>
      <c r="Q37" s="1899" t="str">
        <f t="shared" si="11"/>
        <v>内部装修状况</v>
      </c>
      <c r="R37" s="753" t="s">
        <v>25</v>
      </c>
      <c r="S37" s="754">
        <f t="shared" si="12"/>
        <v>0</v>
      </c>
      <c r="T37" s="753" t="s">
        <v>25</v>
      </c>
      <c r="U37" s="754">
        <f t="shared" si="13"/>
        <v>0</v>
      </c>
      <c r="V37" s="753" t="s">
        <v>25</v>
      </c>
      <c r="W37" s="754">
        <f t="shared" si="14"/>
        <v>0</v>
      </c>
      <c r="X37" s="1900"/>
      <c r="Y37" s="3041"/>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1"/>
      <c r="Q38" s="755">
        <f t="shared" si="11"/>
        <v>111</v>
      </c>
      <c r="R38" s="756" t="s">
        <v>25</v>
      </c>
      <c r="S38" s="757">
        <f t="shared" si="12"/>
        <v>100</v>
      </c>
      <c r="T38" s="756" t="s">
        <v>25</v>
      </c>
      <c r="U38" s="757">
        <f t="shared" si="13"/>
        <v>100</v>
      </c>
      <c r="V38" s="756" t="s">
        <v>25</v>
      </c>
      <c r="W38" s="757">
        <f t="shared" si="14"/>
        <v>100</v>
      </c>
      <c r="X38" s="758"/>
      <c r="Y38" s="3041"/>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1"/>
      <c r="Q39" s="1899">
        <f t="shared" si="11"/>
        <v>111</v>
      </c>
      <c r="R39" s="753" t="s">
        <v>25</v>
      </c>
      <c r="S39" s="754">
        <f t="shared" si="12"/>
        <v>100</v>
      </c>
      <c r="T39" s="753" t="s">
        <v>25</v>
      </c>
      <c r="U39" s="754">
        <f t="shared" si="13"/>
        <v>100</v>
      </c>
      <c r="V39" s="753" t="s">
        <v>25</v>
      </c>
      <c r="W39" s="754">
        <f t="shared" si="14"/>
        <v>100</v>
      </c>
      <c r="X39" s="1900"/>
      <c r="Y39" s="3041"/>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2"/>
      <c r="Q40" s="1899">
        <f t="shared" si="11"/>
        <v>111</v>
      </c>
      <c r="R40" s="753" t="s">
        <v>25</v>
      </c>
      <c r="S40" s="754">
        <f t="shared" si="12"/>
        <v>100</v>
      </c>
      <c r="T40" s="753" t="s">
        <v>25</v>
      </c>
      <c r="U40" s="754">
        <f t="shared" si="13"/>
        <v>100</v>
      </c>
      <c r="V40" s="753" t="s">
        <v>25</v>
      </c>
      <c r="W40" s="754">
        <f t="shared" si="14"/>
        <v>100</v>
      </c>
      <c r="X40" s="1900"/>
      <c r="Y40" s="3042"/>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3" t="str">
        <f>A41</f>
        <v>成交单价（元/平方米）</v>
      </c>
      <c r="Q41" s="3033"/>
      <c r="R41" s="3029">
        <f>E41</f>
        <v>0</v>
      </c>
      <c r="S41" s="3029"/>
      <c r="T41" s="3029">
        <f>G41</f>
        <v>0</v>
      </c>
      <c r="U41" s="3029"/>
      <c r="V41" s="3029">
        <f>I41</f>
        <v>0</v>
      </c>
      <c r="W41" s="3029"/>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33" t="str">
        <f>A42</f>
        <v>比较价值（元/平方米）</v>
      </c>
      <c r="Q42" s="3033"/>
      <c r="R42" s="3029" t="e">
        <f>IF(E1="售价",ROUND(PRODUCT(R41,AA7:AA40),0),ROUND(PRODUCT(R41,AA7:AA40),1))</f>
        <v>#DIV/0!</v>
      </c>
      <c r="S42" s="3029"/>
      <c r="T42" s="3029" t="e">
        <f>IF(E1="售价",ROUND(PRODUCT(T41,AB7:AB40),0),ROUND(PRODUCT(T41,AB7:AB40),1))</f>
        <v>#DIV/0!</v>
      </c>
      <c r="U42" s="3029"/>
      <c r="V42" s="3029" t="e">
        <f>IF(E1="售价",ROUND(PRODUCT(V41,AC7:AC40),0),ROUND(PRODUCT(V41,AC7:AC40),1))</f>
        <v>#DIV/0!</v>
      </c>
      <c r="W42" s="3029"/>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30" t="str">
        <f>A43</f>
        <v>估价对象XX用房的比较价值（楼面单价，元/平方米）</v>
      </c>
      <c r="Q43" s="3031"/>
      <c r="R43" s="3032" t="e">
        <f>IF(E1="售价",ROUND(AVERAGE(R42:V42),0),ROUND(AVERAGE(R42:V42),1))</f>
        <v>#DIV/0!</v>
      </c>
      <c r="S43" s="3032"/>
      <c r="T43" s="3032"/>
      <c r="U43" s="3032"/>
      <c r="V43" s="3032"/>
      <c r="W43" s="303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2018-6</v>
      </c>
      <c r="D52" s="1679">
        <f>EDATE(C52,-1)</f>
        <v>43221</v>
      </c>
      <c r="E52" s="1680">
        <f t="shared" ref="E52:O52" si="16">EDATE(D52,-1)</f>
        <v>43191</v>
      </c>
      <c r="F52" s="1680">
        <f t="shared" si="16"/>
        <v>43160</v>
      </c>
      <c r="G52" s="1680">
        <f t="shared" si="16"/>
        <v>43132</v>
      </c>
      <c r="H52" s="1680">
        <f t="shared" si="16"/>
        <v>43101</v>
      </c>
      <c r="I52" s="1680">
        <f t="shared" si="16"/>
        <v>43070</v>
      </c>
      <c r="J52" s="1680">
        <f t="shared" si="16"/>
        <v>43040</v>
      </c>
      <c r="K52" s="1680">
        <f t="shared" si="16"/>
        <v>43009</v>
      </c>
      <c r="L52" s="1680">
        <f t="shared" si="16"/>
        <v>42979</v>
      </c>
      <c r="M52" s="1680">
        <f t="shared" si="16"/>
        <v>42948</v>
      </c>
      <c r="N52" s="1680">
        <f t="shared" si="16"/>
        <v>42917</v>
      </c>
      <c r="O52" s="1680">
        <f t="shared" si="16"/>
        <v>42887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B16" zoomScale="93" zoomScaleNormal="93" workbookViewId="0">
      <selection activeCell="F93" sqref="F93"/>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9" t="s">
        <v>2900</v>
      </c>
      <c r="C1" s="1729" t="s">
        <v>2823</v>
      </c>
      <c r="D1" s="1730"/>
      <c r="E1" s="2381" t="s">
        <v>2850</v>
      </c>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f>IF(D2="——",IF(B37="元/平方米",IF(C2="元",ROUND(C39*D3,0),ROUND(C39*D3/10000,0)),IF(C2="元",ROUND(F3*C39,0),ROUND(F3*C39/10000,0))),IF(B37="元/平方米",IF(C2="元",ROUND(C39*D3,0),ROUND(C39*D3/10000,0)),IF(C2="元",ROUND(F3*C39,0),ROUND(F3*C39/10000,0)))-E2)</f>
        <v>286027</v>
      </c>
      <c r="C2" s="163" t="str">
        <f>'数据-取费表'!B3</f>
        <v>元</v>
      </c>
      <c r="D2" s="2383" t="s">
        <v>1253</v>
      </c>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f>IF(AND(D2="——",B37="元/平方米"),C39,ROUND(F3*C39/D3,0))</f>
        <v>9147</v>
      </c>
      <c r="C3" s="379" t="s">
        <v>2339</v>
      </c>
      <c r="D3" s="378">
        <f>IF(C1="仅计算典型户型",'数据-取费表'!E5,'数据-取费表'!B5)</f>
        <v>31.27</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514"/>
      <c r="M4" s="425"/>
      <c r="N4" s="425"/>
      <c r="O4" s="425"/>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73" t="s">
        <v>2901</v>
      </c>
      <c r="D5" s="3046"/>
      <c r="E5" s="3076" t="str">
        <f>C5</f>
        <v>富力爱丁堡</v>
      </c>
      <c r="F5" s="3072"/>
      <c r="G5" s="3073" t="s">
        <v>2910</v>
      </c>
      <c r="H5" s="3046"/>
      <c r="I5" s="3073" t="str">
        <f>G5</f>
        <v>富力城</v>
      </c>
      <c r="J5" s="3046"/>
      <c r="K5" s="594"/>
      <c r="L5" s="1514"/>
      <c r="M5" s="425"/>
      <c r="N5" s="425"/>
      <c r="O5" s="425"/>
      <c r="P5" s="3066"/>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594" t="s">
        <v>2352</v>
      </c>
      <c r="L6" s="1514"/>
      <c r="M6" s="425"/>
      <c r="N6" s="425"/>
      <c r="O6" s="425"/>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391">
        <f>案例!O3</f>
        <v>43253</v>
      </c>
      <c r="F7" s="392">
        <f>SUMIF(48:48,YEAR(E7)&amp;"-"&amp;MONTH(E7),49:49)</f>
        <v>100</v>
      </c>
      <c r="G7" s="391">
        <v>43233</v>
      </c>
      <c r="H7" s="390">
        <f>SUMIF(48:48,YEAR(G7)&amp;"-"&amp;MONTH(G7),49:49)</f>
        <v>100</v>
      </c>
      <c r="I7" s="391">
        <v>43223</v>
      </c>
      <c r="J7" s="390">
        <f>SUMIF(48:48,YEAR(I7)&amp;"-"&amp;MONTH(I7),49:49)</f>
        <v>100</v>
      </c>
      <c r="K7" s="595"/>
      <c r="L7" s="1515"/>
      <c r="M7" s="1516"/>
      <c r="N7" s="1516"/>
      <c r="O7" s="1516"/>
      <c r="P7" s="3047" t="s">
        <v>2354</v>
      </c>
      <c r="Q7" s="3055"/>
      <c r="R7" s="749" t="s">
        <v>25</v>
      </c>
      <c r="S7" s="750">
        <f t="shared" ref="S7:S14" si="0">F7</f>
        <v>100</v>
      </c>
      <c r="T7" s="749" t="s">
        <v>25</v>
      </c>
      <c r="U7" s="750">
        <f t="shared" ref="U7:U14" si="1">H7</f>
        <v>100</v>
      </c>
      <c r="V7" s="749" t="s">
        <v>25</v>
      </c>
      <c r="W7" s="750">
        <f t="shared" ref="W7:W14" si="2">J7</f>
        <v>100</v>
      </c>
      <c r="X7" s="751"/>
      <c r="Y7" s="3047" t="s">
        <v>2354</v>
      </c>
      <c r="Z7" s="3048"/>
      <c r="AA7" s="752">
        <f>D7/F7</f>
        <v>1</v>
      </c>
      <c r="AB7" s="752">
        <f>D7/H7</f>
        <v>1</v>
      </c>
      <c r="AC7" s="752">
        <f>D7/J7</f>
        <v>1</v>
      </c>
    </row>
    <row r="8" spans="1:29" s="35" customFormat="1" ht="15.75" thickBot="1">
      <c r="A8" s="387" t="s">
        <v>2355</v>
      </c>
      <c r="B8" s="388"/>
      <c r="C8" s="394" t="s">
        <v>2356</v>
      </c>
      <c r="D8" s="390">
        <v>100</v>
      </c>
      <c r="E8" s="394" t="s">
        <v>2848</v>
      </c>
      <c r="F8" s="392">
        <f>SUMIF(51:51,E8,52:52)-SUMIF(51:51,C8,52:52)+100</f>
        <v>100</v>
      </c>
      <c r="G8" s="394" t="s">
        <v>2848</v>
      </c>
      <c r="H8" s="390">
        <f>SUMIF(51:51,G8,52:52)-SUMIF(51:51,C8,52:52)+100</f>
        <v>100</v>
      </c>
      <c r="I8" s="394" t="s">
        <v>2848</v>
      </c>
      <c r="J8" s="390">
        <f>SUMIF(51:51,I8,52:52)-SUMIF(51:51,C8,52:52)+100</f>
        <v>100</v>
      </c>
      <c r="K8" s="595"/>
      <c r="L8" s="1515"/>
      <c r="M8" s="1516"/>
      <c r="N8" s="1516"/>
      <c r="O8" s="1516"/>
      <c r="P8" s="3047" t="s">
        <v>2357</v>
      </c>
      <c r="Q8" s="3048"/>
      <c r="R8" s="749" t="s">
        <v>25</v>
      </c>
      <c r="S8" s="750">
        <f t="shared" si="0"/>
        <v>100</v>
      </c>
      <c r="T8" s="749" t="s">
        <v>25</v>
      </c>
      <c r="U8" s="750">
        <f t="shared" si="1"/>
        <v>100</v>
      </c>
      <c r="V8" s="749" t="s">
        <v>25</v>
      </c>
      <c r="W8" s="750">
        <f t="shared" si="2"/>
        <v>100</v>
      </c>
      <c r="X8" s="751"/>
      <c r="Y8" s="3047" t="s">
        <v>2357</v>
      </c>
      <c r="Z8" s="3048"/>
      <c r="AA8" s="752">
        <f t="shared" ref="AA8:AA36" si="3">D8/F8</f>
        <v>1</v>
      </c>
      <c r="AB8" s="752">
        <f t="shared" ref="AB8:AB36" si="4">D8/H8</f>
        <v>1</v>
      </c>
      <c r="AC8" s="752">
        <f t="shared" ref="AC8:AC36" si="5">D8/J8</f>
        <v>1</v>
      </c>
    </row>
    <row r="9" spans="1:29" s="35" customFormat="1">
      <c r="A9" s="25" t="s">
        <v>2358</v>
      </c>
      <c r="B9" s="624" t="s">
        <v>2359</v>
      </c>
      <c r="C9" s="2752" t="s">
        <v>2904</v>
      </c>
      <c r="D9" s="51">
        <v>100</v>
      </c>
      <c r="E9" s="399" t="s">
        <v>2900</v>
      </c>
      <c r="F9" s="51">
        <f>SUMIF(53:53,E9,54:54)-SUMIF(53:53,C9,54:54)+100</f>
        <v>100</v>
      </c>
      <c r="G9" s="397" t="s">
        <v>2900</v>
      </c>
      <c r="H9" s="51">
        <f>SUMIF(53:53,G9,54:54)-SUMIF(53:53,C9,54:54)+100</f>
        <v>100</v>
      </c>
      <c r="I9" s="397" t="s">
        <v>2900</v>
      </c>
      <c r="J9" s="51">
        <f>SUMIF(53:53,I9,54:54)-SUMIF(53:53,C9,54:54)+100</f>
        <v>100</v>
      </c>
      <c r="K9" s="595"/>
      <c r="L9" s="1515"/>
      <c r="M9" s="1516"/>
      <c r="N9" s="1516"/>
      <c r="O9" s="1517"/>
      <c r="P9" s="3033" t="s">
        <v>2360</v>
      </c>
      <c r="Q9" s="1887" t="str">
        <f t="shared" ref="Q9:Q14" si="6">B9</f>
        <v>用途</v>
      </c>
      <c r="R9" s="749" t="s">
        <v>25</v>
      </c>
      <c r="S9" s="750">
        <f t="shared" si="0"/>
        <v>100</v>
      </c>
      <c r="T9" s="749" t="s">
        <v>25</v>
      </c>
      <c r="U9" s="750">
        <f t="shared" si="1"/>
        <v>100</v>
      </c>
      <c r="V9" s="749" t="s">
        <v>25</v>
      </c>
      <c r="W9" s="750">
        <f t="shared" si="2"/>
        <v>100</v>
      </c>
      <c r="X9" s="751"/>
      <c r="Y9" s="2859" t="s">
        <v>2361</v>
      </c>
      <c r="Z9" s="23" t="str">
        <f t="shared" ref="Z9:Z14" si="7">Q9</f>
        <v>用途</v>
      </c>
      <c r="AA9" s="752">
        <f t="shared" si="3"/>
        <v>1</v>
      </c>
      <c r="AB9" s="752">
        <f t="shared" si="4"/>
        <v>1</v>
      </c>
      <c r="AC9" s="752">
        <f t="shared" si="5"/>
        <v>1</v>
      </c>
    </row>
    <row r="10" spans="1:29" s="407" customFormat="1" ht="27.75" thickBot="1">
      <c r="A10" s="625"/>
      <c r="B10" s="626" t="s">
        <v>2362</v>
      </c>
      <c r="C10" s="403" t="s">
        <v>2905</v>
      </c>
      <c r="D10" s="52">
        <v>100</v>
      </c>
      <c r="E10" s="403" t="s">
        <v>2905</v>
      </c>
      <c r="F10" s="52">
        <f>SUMIF(55:55,E10,56:56)-SUMIF(55:55,C10,56:56)+100</f>
        <v>100</v>
      </c>
      <c r="G10" s="404" t="s">
        <v>2905</v>
      </c>
      <c r="H10" s="52">
        <f>SUMIF(55:55,G10,56:56)-SUMIF(55:55,C10,56:56)+100</f>
        <v>100</v>
      </c>
      <c r="I10" s="403" t="s">
        <v>2905</v>
      </c>
      <c r="J10" s="52">
        <f>SUMIF(55:55,I10,56:56)-SUMIF(55:55,C10,56:56)+100</f>
        <v>100</v>
      </c>
      <c r="K10" s="596"/>
      <c r="L10" s="1518"/>
      <c r="M10" s="1519"/>
      <c r="N10" s="1519"/>
      <c r="O10" s="152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hidden="1">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3"/>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hidden="1">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hidden="1"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71.25">
      <c r="A14" s="380" t="s">
        <v>2364</v>
      </c>
      <c r="B14" s="613" t="s">
        <v>2507</v>
      </c>
      <c r="C14" s="1480" t="str">
        <f>IF(B1="工业",估价对象房地状况!G4,估价对象房地状况!C6)</f>
        <v>周边2公里内有十余条公交线路及地铁10号线（团结湖站），交通便捷度较好</v>
      </c>
      <c r="D14" s="1474">
        <v>100</v>
      </c>
      <c r="E14" s="421"/>
      <c r="F14" s="420">
        <f>SUMIF(63:63,E15,64:64)-SUMIF(63:63,C15,64:64)+100</f>
        <v>100</v>
      </c>
      <c r="G14" s="421" t="s">
        <v>2911</v>
      </c>
      <c r="H14" s="420">
        <f>SUMIF(63:63,G15,64:64)-SUMIF(63:63,C15,64:64)+100</f>
        <v>100</v>
      </c>
      <c r="I14" s="421"/>
      <c r="J14" s="420">
        <f>SUMIF(63:63,I15,64:64)-SUMIF(63:63,C15,64:64)+100</f>
        <v>100</v>
      </c>
      <c r="K14" s="598"/>
      <c r="L14" s="1522"/>
      <c r="M14" s="425"/>
      <c r="N14" s="425"/>
      <c r="O14" s="1901"/>
      <c r="P14" s="3036" t="s">
        <v>2365</v>
      </c>
      <c r="Q14" s="1899" t="str">
        <f t="shared" si="6"/>
        <v>交通便捷度</v>
      </c>
      <c r="R14" s="753" t="s">
        <v>25</v>
      </c>
      <c r="S14" s="754">
        <f t="shared" si="0"/>
        <v>100</v>
      </c>
      <c r="T14" s="753" t="s">
        <v>25</v>
      </c>
      <c r="U14" s="754">
        <f t="shared" si="1"/>
        <v>100</v>
      </c>
      <c r="V14" s="753" t="s">
        <v>25</v>
      </c>
      <c r="W14" s="754">
        <f t="shared" si="2"/>
        <v>100</v>
      </c>
      <c r="X14" s="1900"/>
      <c r="Y14" s="3036" t="s">
        <v>2365</v>
      </c>
      <c r="Z14" s="1902" t="str">
        <f t="shared" si="7"/>
        <v>交通便捷度</v>
      </c>
      <c r="AA14" s="1903">
        <f t="shared" si="3"/>
        <v>1</v>
      </c>
      <c r="AB14" s="1903">
        <f t="shared" si="4"/>
        <v>1</v>
      </c>
      <c r="AC14" s="1903">
        <f t="shared" si="5"/>
        <v>1</v>
      </c>
    </row>
    <row r="15" spans="1:29" ht="15">
      <c r="A15" s="383"/>
      <c r="B15" s="631"/>
      <c r="C15" s="1481" t="s">
        <v>30</v>
      </c>
      <c r="D15" s="1475"/>
      <c r="E15" s="426" t="s">
        <v>30</v>
      </c>
      <c r="F15" s="427"/>
      <c r="G15" s="1472" t="s">
        <v>30</v>
      </c>
      <c r="H15" s="430"/>
      <c r="I15" s="426" t="s">
        <v>30</v>
      </c>
      <c r="J15" s="427"/>
      <c r="K15" s="599"/>
      <c r="L15" s="1522"/>
      <c r="M15" s="425"/>
      <c r="N15" s="425"/>
      <c r="O15" s="1901"/>
      <c r="P15" s="3037"/>
      <c r="Q15" s="1899"/>
      <c r="R15" s="753"/>
      <c r="S15" s="754"/>
      <c r="T15" s="753"/>
      <c r="U15" s="754"/>
      <c r="V15" s="753"/>
      <c r="W15" s="754"/>
      <c r="X15" s="1900"/>
      <c r="Y15" s="3037"/>
      <c r="Z15" s="1902"/>
      <c r="AA15" s="1903">
        <v>1</v>
      </c>
      <c r="AB15" s="1903">
        <v>1</v>
      </c>
      <c r="AC15" s="1903">
        <v>1</v>
      </c>
    </row>
    <row r="16" spans="1:29" ht="42.75">
      <c r="A16" s="383"/>
      <c r="B16" s="615" t="s">
        <v>2479</v>
      </c>
      <c r="C16" s="1482" t="str">
        <f>IF(B1="工业",估价对象房地状况!G5,估价对象房地状况!C7)</f>
        <v>估价对象所在区域公共配套设施齐备情况好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383"/>
      <c r="B17" s="616"/>
      <c r="C17" s="1470" t="s">
        <v>29</v>
      </c>
      <c r="D17" s="1476"/>
      <c r="E17" s="428" t="s">
        <v>29</v>
      </c>
      <c r="F17" s="430"/>
      <c r="G17" s="428" t="s">
        <v>29</v>
      </c>
      <c r="H17" s="427"/>
      <c r="I17" s="428" t="s">
        <v>29</v>
      </c>
      <c r="J17" s="427"/>
      <c r="K17" s="599"/>
      <c r="L17" s="1522"/>
      <c r="M17" s="425"/>
      <c r="N17" s="425"/>
      <c r="O17" s="1901"/>
      <c r="P17" s="3037"/>
      <c r="Q17" s="1899"/>
      <c r="R17" s="753"/>
      <c r="S17" s="754"/>
      <c r="T17" s="753"/>
      <c r="U17" s="754"/>
      <c r="V17" s="753"/>
      <c r="W17" s="754"/>
      <c r="X17" s="1900"/>
      <c r="Y17" s="3037"/>
      <c r="Z17" s="1902"/>
      <c r="AA17" s="1903">
        <v>1</v>
      </c>
      <c r="AB17" s="1903">
        <v>1</v>
      </c>
      <c r="AC17" s="1903">
        <v>1</v>
      </c>
    </row>
    <row r="18" spans="1:29" ht="15">
      <c r="A18" s="383"/>
      <c r="B18" s="617" t="s">
        <v>2480</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383"/>
      <c r="B19" s="617"/>
      <c r="C19" s="1471" t="s">
        <v>2846</v>
      </c>
      <c r="D19" s="1476"/>
      <c r="E19" s="1468" t="s">
        <v>2846</v>
      </c>
      <c r="F19" s="430"/>
      <c r="G19" s="1468" t="s">
        <v>2846</v>
      </c>
      <c r="H19" s="427"/>
      <c r="I19" s="428" t="s">
        <v>2846</v>
      </c>
      <c r="J19" s="427"/>
      <c r="K19" s="1469"/>
      <c r="L19" s="1522"/>
      <c r="M19" s="425"/>
      <c r="N19" s="425"/>
      <c r="O19" s="1901"/>
      <c r="P19" s="3037"/>
      <c r="Q19" s="1899"/>
      <c r="R19" s="753"/>
      <c r="S19" s="754"/>
      <c r="T19" s="753"/>
      <c r="U19" s="754"/>
      <c r="V19" s="753"/>
      <c r="W19" s="754"/>
      <c r="X19" s="1900"/>
      <c r="Y19" s="3037"/>
      <c r="Z19" s="1902"/>
      <c r="AA19" s="1903">
        <v>1</v>
      </c>
      <c r="AB19" s="1903">
        <v>1</v>
      </c>
      <c r="AC19" s="1903">
        <v>1</v>
      </c>
    </row>
    <row r="20" spans="1:29" ht="57">
      <c r="A20" s="383"/>
      <c r="B20" s="615" t="s">
        <v>2508</v>
      </c>
      <c r="C20" s="1482" t="str">
        <f>IF(B1="工业",估价对象房地状况!G7,估价对象房地状况!C9)</f>
        <v>有工人体育场、团结湖公园等，自然及人文环境较好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383"/>
      <c r="B21" s="616"/>
      <c r="C21" s="1481" t="s">
        <v>30</v>
      </c>
      <c r="D21" s="1475"/>
      <c r="E21" s="426" t="s">
        <v>30</v>
      </c>
      <c r="F21" s="427"/>
      <c r="G21" s="1472" t="s">
        <v>30</v>
      </c>
      <c r="H21" s="427"/>
      <c r="I21" s="426" t="s">
        <v>30</v>
      </c>
      <c r="J21" s="427"/>
      <c r="K21" s="599"/>
      <c r="L21" s="1522"/>
      <c r="M21" s="425"/>
      <c r="N21" s="425"/>
      <c r="O21" s="1901"/>
      <c r="P21" s="3037"/>
      <c r="Q21" s="1899"/>
      <c r="R21" s="753"/>
      <c r="S21" s="754"/>
      <c r="T21" s="753"/>
      <c r="U21" s="754"/>
      <c r="V21" s="753"/>
      <c r="W21" s="754"/>
      <c r="X21" s="1900"/>
      <c r="Y21" s="3037"/>
      <c r="Z21" s="1902"/>
      <c r="AA21" s="1903">
        <v>1</v>
      </c>
      <c r="AB21" s="1903">
        <v>1</v>
      </c>
      <c r="AC21" s="1903">
        <v>1</v>
      </c>
    </row>
    <row r="22" spans="1:29" ht="15.75" thickBot="1">
      <c r="A22" s="383"/>
      <c r="B22" s="615" t="s">
        <v>2509</v>
      </c>
      <c r="C22" s="618" t="s">
        <v>2902</v>
      </c>
      <c r="D22" s="1476">
        <v>100</v>
      </c>
      <c r="E22" s="600" t="s">
        <v>2902</v>
      </c>
      <c r="F22" s="415">
        <f>SUMIF(71:71,E22,72:72)-SUMIF(71:71,C22,72:72)+100</f>
        <v>100</v>
      </c>
      <c r="G22" s="618" t="s">
        <v>2902</v>
      </c>
      <c r="H22" s="415">
        <f>SUMIF(71:71,G22,72:72)-SUMIF(71:71,C22,72:72)+100</f>
        <v>100</v>
      </c>
      <c r="I22" s="600" t="s">
        <v>2902</v>
      </c>
      <c r="J22" s="415">
        <f>SUMIF(71:71,I22,72:72)-SUMIF(71:71,C22,72:72)+100</f>
        <v>100</v>
      </c>
      <c r="K22" s="596"/>
      <c r="L22" s="1522"/>
      <c r="M22" s="425"/>
      <c r="N22" s="425"/>
      <c r="O22" s="1901"/>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29.25" hidden="1" customHeight="1">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hidden="1">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7"/>
      <c r="Q24" s="1899">
        <f t="shared" ref="Q24:Q36"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hidden="1"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29.25">
      <c r="A26" s="635" t="s">
        <v>2369</v>
      </c>
      <c r="B26" s="27" t="s">
        <v>2510</v>
      </c>
      <c r="C26" s="2480" t="s">
        <v>2826</v>
      </c>
      <c r="D26" s="427">
        <v>100</v>
      </c>
      <c r="E26" s="426" t="s">
        <v>2826</v>
      </c>
      <c r="F26" s="429">
        <f>SUMIF(79:79,E26,80:80)-SUMIF(79:79,C26,80:80)+100</f>
        <v>100</v>
      </c>
      <c r="G26" s="426" t="s">
        <v>2826</v>
      </c>
      <c r="H26" s="427">
        <f>SUMIF(79:79,G26,80:80)-SUMIF(79:79,C26,80:80)+100</f>
        <v>100</v>
      </c>
      <c r="I26" s="426" t="s">
        <v>2826</v>
      </c>
      <c r="J26" s="427">
        <f>SUMIF(79:79,I26,80:80)-SUMIF(79:79,C26,80:80)+100</f>
        <v>100</v>
      </c>
      <c r="K26" s="596"/>
      <c r="L26" s="1522"/>
      <c r="M26" s="425"/>
      <c r="N26" s="425"/>
      <c r="O26" s="1901"/>
      <c r="P26" s="3084"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1" t="s">
        <v>2371</v>
      </c>
      <c r="Z26" s="1902" t="str">
        <f t="shared" ref="Z26:Z36" si="15">Q26</f>
        <v>配套类型</v>
      </c>
      <c r="AA26" s="1903">
        <f t="shared" si="3"/>
        <v>1</v>
      </c>
      <c r="AB26" s="1903">
        <f t="shared" si="4"/>
        <v>1</v>
      </c>
      <c r="AC26" s="1903">
        <f t="shared" si="5"/>
        <v>1</v>
      </c>
    </row>
    <row r="27" spans="1:29" s="452" customFormat="1" ht="15">
      <c r="A27" s="636"/>
      <c r="B27" s="637" t="s">
        <v>2511</v>
      </c>
      <c r="C27" s="638" t="s">
        <v>2906</v>
      </c>
      <c r="D27" s="52">
        <v>100</v>
      </c>
      <c r="E27" s="638" t="s">
        <v>2912</v>
      </c>
      <c r="F27" s="442">
        <f>SUMIF(81:81,E27,82:82)-SUMIF(81:81,C27,82:82)+100</f>
        <v>100</v>
      </c>
      <c r="G27" s="638" t="s">
        <v>2913</v>
      </c>
      <c r="H27" s="415">
        <f>SUMIF(81:81,G27,82:82)-SUMIF(81:81,C27,82:82)+100</f>
        <v>101</v>
      </c>
      <c r="I27" s="638" t="str">
        <f>G27</f>
        <v>1:1.5</v>
      </c>
      <c r="J27" s="415">
        <f>SUMIF(81:81,I27,82:82)-SUMIF(81:81,C27,82:82)+100</f>
        <v>101</v>
      </c>
      <c r="K27" s="597"/>
      <c r="L27" s="1521"/>
      <c r="M27" s="1523"/>
      <c r="N27" s="1523"/>
      <c r="O27" s="1524"/>
      <c r="P27" s="3041"/>
      <c r="Q27" s="755" t="str">
        <f t="shared" si="11"/>
        <v>项目停车位配比</v>
      </c>
      <c r="R27" s="756" t="s">
        <v>25</v>
      </c>
      <c r="S27" s="757">
        <f t="shared" si="12"/>
        <v>100</v>
      </c>
      <c r="T27" s="756" t="s">
        <v>25</v>
      </c>
      <c r="U27" s="757">
        <f t="shared" si="13"/>
        <v>101</v>
      </c>
      <c r="V27" s="756" t="s">
        <v>25</v>
      </c>
      <c r="W27" s="757">
        <f t="shared" si="14"/>
        <v>101</v>
      </c>
      <c r="X27" s="758"/>
      <c r="Y27" s="3041"/>
      <c r="Z27" s="759" t="str">
        <f t="shared" si="15"/>
        <v>项目停车位配比</v>
      </c>
      <c r="AA27" s="1903">
        <f t="shared" si="3"/>
        <v>1</v>
      </c>
      <c r="AB27" s="1903">
        <f t="shared" si="4"/>
        <v>0.99009900990099009</v>
      </c>
      <c r="AC27" s="1903">
        <f t="shared" si="5"/>
        <v>0.99009900990099009</v>
      </c>
    </row>
    <row r="28" spans="1:29" ht="15">
      <c r="A28" s="639"/>
      <c r="B28" s="637" t="s">
        <v>2512</v>
      </c>
      <c r="C28" s="441" t="s">
        <v>2858</v>
      </c>
      <c r="D28" s="415">
        <v>100</v>
      </c>
      <c r="E28" s="441" t="s">
        <v>2858</v>
      </c>
      <c r="F28" s="442">
        <f>SUMIF(83:83,E28,84:84)-SUMIF(83:83,C28,84:84)+100</f>
        <v>100</v>
      </c>
      <c r="G28" s="441" t="s">
        <v>2858</v>
      </c>
      <c r="H28" s="415">
        <f>SUMIF(83:83,G28,84:84)-SUMIF(83:83,C28,84:84)+100</f>
        <v>100</v>
      </c>
      <c r="I28" s="441" t="s">
        <v>2858</v>
      </c>
      <c r="J28" s="415">
        <f>SUMIF(83:83,I28,84:84)-SUMIF(83:83,C28,84:84)+100</f>
        <v>100</v>
      </c>
      <c r="K28" s="596"/>
      <c r="L28" s="1522"/>
      <c r="M28" s="425"/>
      <c r="N28" s="425"/>
      <c r="O28" s="1901"/>
      <c r="P28" s="3041"/>
      <c r="Q28" s="1899" t="str">
        <f t="shared" si="11"/>
        <v>公共部分装修</v>
      </c>
      <c r="R28" s="753" t="s">
        <v>25</v>
      </c>
      <c r="S28" s="754">
        <f t="shared" si="12"/>
        <v>100</v>
      </c>
      <c r="T28" s="753" t="s">
        <v>25</v>
      </c>
      <c r="U28" s="754">
        <f t="shared" si="13"/>
        <v>100</v>
      </c>
      <c r="V28" s="753" t="s">
        <v>25</v>
      </c>
      <c r="W28" s="754">
        <f t="shared" si="14"/>
        <v>100</v>
      </c>
      <c r="X28" s="1900"/>
      <c r="Y28" s="3041"/>
      <c r="Z28" s="1902" t="str">
        <f t="shared" si="15"/>
        <v>公共部分装修</v>
      </c>
      <c r="AA28" s="1903">
        <f t="shared" si="3"/>
        <v>1</v>
      </c>
      <c r="AB28" s="1903">
        <f t="shared" si="4"/>
        <v>1</v>
      </c>
      <c r="AC28" s="1903">
        <f t="shared" si="5"/>
        <v>1</v>
      </c>
    </row>
    <row r="29" spans="1:29" ht="15" hidden="1">
      <c r="A29" s="639"/>
      <c r="B29" s="637" t="s">
        <v>2513</v>
      </c>
      <c r="C29" s="3125">
        <f>'数据-取费表'!E20</f>
        <v>0.8</v>
      </c>
      <c r="D29" s="415">
        <v>100</v>
      </c>
      <c r="E29" s="455">
        <v>0.8</v>
      </c>
      <c r="F29" s="442">
        <f>LOOKUP(E29,86:86,87:87)-LOOKUP(C29,86:86,87:87)+100</f>
        <v>100</v>
      </c>
      <c r="G29" s="455">
        <v>0.8</v>
      </c>
      <c r="H29" s="442">
        <f>LOOKUP(G29,86:86,87:87)-LOOKUP(C29,86:86,87:87)+100</f>
        <v>100</v>
      </c>
      <c r="I29" s="455">
        <v>0.8</v>
      </c>
      <c r="J29" s="415">
        <f>LOOKUP(I29,86:86,87:87)-LOOKUP(C29,86:86,87:87)+100</f>
        <v>100</v>
      </c>
      <c r="K29" s="596"/>
      <c r="L29" s="1522"/>
      <c r="M29" s="425"/>
      <c r="N29" s="425"/>
      <c r="O29" s="1901"/>
      <c r="P29" s="3041"/>
      <c r="Q29" s="1899" t="str">
        <f t="shared" si="11"/>
        <v>成新率</v>
      </c>
      <c r="R29" s="753" t="s">
        <v>25</v>
      </c>
      <c r="S29" s="754">
        <f t="shared" si="12"/>
        <v>100</v>
      </c>
      <c r="T29" s="753" t="s">
        <v>25</v>
      </c>
      <c r="U29" s="754">
        <f t="shared" si="13"/>
        <v>100</v>
      </c>
      <c r="V29" s="753" t="s">
        <v>25</v>
      </c>
      <c r="W29" s="754">
        <f t="shared" si="14"/>
        <v>100</v>
      </c>
      <c r="X29" s="1900"/>
      <c r="Y29" s="3041"/>
      <c r="Z29" s="1902" t="str">
        <f t="shared" si="15"/>
        <v>成新率</v>
      </c>
      <c r="AA29" s="1903">
        <f t="shared" si="3"/>
        <v>1</v>
      </c>
      <c r="AB29" s="1903">
        <f t="shared" si="4"/>
        <v>1</v>
      </c>
      <c r="AC29" s="1903">
        <f t="shared" si="5"/>
        <v>1</v>
      </c>
    </row>
    <row r="30" spans="1:29" ht="15" hidden="1">
      <c r="A30" s="639"/>
      <c r="B30" s="637" t="s">
        <v>2514</v>
      </c>
      <c r="C30" s="640" t="s">
        <v>2907</v>
      </c>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1"/>
      <c r="Q30" s="1899" t="str">
        <f t="shared" si="11"/>
        <v>物业等级</v>
      </c>
      <c r="R30" s="753" t="s">
        <v>25</v>
      </c>
      <c r="S30" s="754">
        <f t="shared" si="12"/>
        <v>100</v>
      </c>
      <c r="T30" s="753" t="s">
        <v>25</v>
      </c>
      <c r="U30" s="754">
        <f t="shared" si="13"/>
        <v>100</v>
      </c>
      <c r="V30" s="753" t="s">
        <v>25</v>
      </c>
      <c r="W30" s="754">
        <f t="shared" si="14"/>
        <v>100</v>
      </c>
      <c r="X30" s="1900"/>
      <c r="Y30" s="3041"/>
      <c r="Z30" s="1902" t="str">
        <f t="shared" si="15"/>
        <v>物业等级</v>
      </c>
      <c r="AA30" s="1903">
        <f t="shared" si="3"/>
        <v>1</v>
      </c>
      <c r="AB30" s="1903">
        <f t="shared" si="4"/>
        <v>1</v>
      </c>
      <c r="AC30" s="1903">
        <f t="shared" si="5"/>
        <v>1</v>
      </c>
    </row>
    <row r="31" spans="1:29" s="35" customFormat="1" ht="15">
      <c r="A31" s="641"/>
      <c r="B31" s="637" t="s">
        <v>2515</v>
      </c>
      <c r="C31" s="450">
        <v>31.27</v>
      </c>
      <c r="D31" s="52">
        <v>100</v>
      </c>
      <c r="E31" s="450">
        <v>31.27</v>
      </c>
      <c r="F31" s="442">
        <f>LOOKUP(E31,91:91,92:92)-LOOKUP(C31,91:91,92:92)+100</f>
        <v>100</v>
      </c>
      <c r="G31" s="450">
        <v>37.72</v>
      </c>
      <c r="H31" s="415">
        <f>LOOKUP(G31,91:91,92:92)-LOOKUP(C31,91:91,92:92)+100</f>
        <v>101</v>
      </c>
      <c r="I31" s="450">
        <v>30.41</v>
      </c>
      <c r="J31" s="415">
        <f>LOOKUP(I31,91:91,92:92)-LOOKUP(C31,91:91,92:92)+100</f>
        <v>100</v>
      </c>
      <c r="K31" s="596"/>
      <c r="L31" s="1515"/>
      <c r="M31" s="1516"/>
      <c r="N31" s="1516"/>
      <c r="O31" s="1517"/>
      <c r="P31" s="3041"/>
      <c r="Q31" s="1887" t="str">
        <f t="shared" si="11"/>
        <v>停车位面积</v>
      </c>
      <c r="R31" s="749" t="s">
        <v>25</v>
      </c>
      <c r="S31" s="750">
        <f t="shared" si="12"/>
        <v>100</v>
      </c>
      <c r="T31" s="749" t="s">
        <v>25</v>
      </c>
      <c r="U31" s="750">
        <f t="shared" si="13"/>
        <v>101</v>
      </c>
      <c r="V31" s="749" t="s">
        <v>25</v>
      </c>
      <c r="W31" s="750">
        <f t="shared" si="14"/>
        <v>100</v>
      </c>
      <c r="X31" s="751"/>
      <c r="Y31" s="3041"/>
      <c r="Z31" s="23" t="str">
        <f t="shared" si="15"/>
        <v>停车位面积</v>
      </c>
      <c r="AA31" s="752">
        <f t="shared" si="3"/>
        <v>1</v>
      </c>
      <c r="AB31" s="752">
        <f t="shared" si="4"/>
        <v>0.99009900990099009</v>
      </c>
      <c r="AC31" s="752">
        <f t="shared" si="5"/>
        <v>1</v>
      </c>
    </row>
    <row r="32" spans="1:29" ht="15">
      <c r="A32" s="639"/>
      <c r="B32" s="637" t="s">
        <v>2516</v>
      </c>
      <c r="C32" s="441" t="s">
        <v>2908</v>
      </c>
      <c r="D32" s="415">
        <v>100</v>
      </c>
      <c r="E32" s="441" t="s">
        <v>2908</v>
      </c>
      <c r="F32" s="442">
        <f>SUMIF(93:93,E32,94:94)-SUMIF(93:93,C32,94:94)+100</f>
        <v>100</v>
      </c>
      <c r="G32" s="441" t="s">
        <v>2908</v>
      </c>
      <c r="H32" s="415">
        <f>SUMIF(93:93,G32,94:94)-SUMIF(93:93,C32,94:94)+100</f>
        <v>100</v>
      </c>
      <c r="I32" s="441" t="s">
        <v>2908</v>
      </c>
      <c r="J32" s="415">
        <f>SUMIF(93:93,I32,94:94)-SUMIF(93:93,C32,94:94)+100</f>
        <v>100</v>
      </c>
      <c r="K32" s="596"/>
      <c r="L32" s="1522"/>
      <c r="M32" s="425"/>
      <c r="N32" s="425"/>
      <c r="O32" s="1901"/>
      <c r="P32" s="3041" t="s">
        <v>2371</v>
      </c>
      <c r="Q32" s="1899" t="str">
        <f t="shared" si="11"/>
        <v>车位类型</v>
      </c>
      <c r="R32" s="753" t="s">
        <v>25</v>
      </c>
      <c r="S32" s="754">
        <f t="shared" si="12"/>
        <v>100</v>
      </c>
      <c r="T32" s="753" t="s">
        <v>25</v>
      </c>
      <c r="U32" s="754">
        <f t="shared" si="13"/>
        <v>100</v>
      </c>
      <c r="V32" s="753" t="s">
        <v>25</v>
      </c>
      <c r="W32" s="754">
        <f t="shared" si="14"/>
        <v>100</v>
      </c>
      <c r="X32" s="1900"/>
      <c r="Y32" s="3041" t="s">
        <v>2371</v>
      </c>
      <c r="Z32" s="1902" t="str">
        <f t="shared" si="15"/>
        <v>车位类型</v>
      </c>
      <c r="AA32" s="1903">
        <f t="shared" si="3"/>
        <v>1</v>
      </c>
      <c r="AB32" s="1903">
        <f t="shared" si="4"/>
        <v>1</v>
      </c>
      <c r="AC32" s="1903">
        <f t="shared" si="5"/>
        <v>1</v>
      </c>
    </row>
    <row r="33" spans="1:29" ht="15" hidden="1">
      <c r="A33" s="639"/>
      <c r="B33" s="637" t="s">
        <v>2517</v>
      </c>
      <c r="C33" s="441" t="s">
        <v>2822</v>
      </c>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1"/>
      <c r="Q33" s="1899" t="str">
        <f t="shared" si="11"/>
        <v>是否直接入户</v>
      </c>
      <c r="R33" s="753" t="s">
        <v>25</v>
      </c>
      <c r="S33" s="754">
        <f t="shared" si="12"/>
        <v>100</v>
      </c>
      <c r="T33" s="753" t="s">
        <v>25</v>
      </c>
      <c r="U33" s="754">
        <f t="shared" si="13"/>
        <v>100</v>
      </c>
      <c r="V33" s="753" t="s">
        <v>25</v>
      </c>
      <c r="W33" s="754">
        <f t="shared" si="14"/>
        <v>100</v>
      </c>
      <c r="X33" s="1900"/>
      <c r="Y33" s="3041"/>
      <c r="Z33" s="1902" t="str">
        <f t="shared" si="15"/>
        <v>是否直接入户</v>
      </c>
      <c r="AA33" s="1903">
        <f t="shared" si="3"/>
        <v>1</v>
      </c>
      <c r="AB33" s="1903">
        <f t="shared" si="4"/>
        <v>1</v>
      </c>
      <c r="AC33" s="1903">
        <f t="shared" si="5"/>
        <v>1</v>
      </c>
    </row>
    <row r="34" spans="1:29" ht="15.75" thickBot="1">
      <c r="A34" s="639"/>
      <c r="B34" s="3126" t="s">
        <v>2909</v>
      </c>
      <c r="C34" s="412">
        <v>2006</v>
      </c>
      <c r="D34" s="415">
        <v>100</v>
      </c>
      <c r="E34" s="412">
        <v>2006</v>
      </c>
      <c r="F34" s="442">
        <f>SUMIF(97:97,E34,98:98)-SUMIF(97:97,C34,98:98)+100</f>
        <v>100</v>
      </c>
      <c r="G34" s="412">
        <v>2005</v>
      </c>
      <c r="H34" s="415">
        <f>SUMIF(97:97,G34,98:98)-SUMIF(97:97,C34,98:98)+100</f>
        <v>99.5</v>
      </c>
      <c r="I34" s="412">
        <v>2005</v>
      </c>
      <c r="J34" s="415">
        <f>SUMIF(97:97,I34,98:98)-SUMIF(97:97,C34,98:98)+100</f>
        <v>99.5</v>
      </c>
      <c r="K34" s="597"/>
      <c r="L34" s="1522"/>
      <c r="M34" s="425"/>
      <c r="N34" s="425"/>
      <c r="O34" s="1901"/>
      <c r="P34" s="3041"/>
      <c r="Q34" s="1899" t="str">
        <f t="shared" si="11"/>
        <v>建成年代</v>
      </c>
      <c r="R34" s="753" t="s">
        <v>25</v>
      </c>
      <c r="S34" s="754">
        <f t="shared" si="12"/>
        <v>100</v>
      </c>
      <c r="T34" s="753" t="s">
        <v>25</v>
      </c>
      <c r="U34" s="754">
        <f t="shared" si="13"/>
        <v>99.5</v>
      </c>
      <c r="V34" s="753" t="s">
        <v>25</v>
      </c>
      <c r="W34" s="754">
        <f t="shared" si="14"/>
        <v>99.5</v>
      </c>
      <c r="X34" s="1900"/>
      <c r="Y34" s="3041"/>
      <c r="Z34" s="1902" t="str">
        <f t="shared" si="15"/>
        <v>建成年代</v>
      </c>
      <c r="AA34" s="1903">
        <f t="shared" si="3"/>
        <v>1</v>
      </c>
      <c r="AB34" s="1903">
        <f t="shared" si="4"/>
        <v>1.0050251256281406</v>
      </c>
      <c r="AC34" s="1903">
        <f t="shared" si="5"/>
        <v>1.0050251256281406</v>
      </c>
    </row>
    <row r="35" spans="1:29" s="452" customFormat="1" ht="15" hidden="1">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1"/>
      <c r="Q35" s="755">
        <f t="shared" si="11"/>
        <v>111</v>
      </c>
      <c r="R35" s="756" t="s">
        <v>25</v>
      </c>
      <c r="S35" s="757">
        <f t="shared" si="12"/>
        <v>100</v>
      </c>
      <c r="T35" s="756" t="s">
        <v>25</v>
      </c>
      <c r="U35" s="757">
        <f t="shared" si="13"/>
        <v>100</v>
      </c>
      <c r="V35" s="756" t="s">
        <v>25</v>
      </c>
      <c r="W35" s="757">
        <f t="shared" si="14"/>
        <v>100</v>
      </c>
      <c r="X35" s="758"/>
      <c r="Y35" s="3041"/>
      <c r="Z35" s="759">
        <f t="shared" si="15"/>
        <v>111</v>
      </c>
      <c r="AA35" s="1903">
        <f t="shared" si="3"/>
        <v>1</v>
      </c>
      <c r="AB35" s="1903">
        <f t="shared" si="4"/>
        <v>1</v>
      </c>
      <c r="AC35" s="1903">
        <f t="shared" si="5"/>
        <v>1</v>
      </c>
    </row>
    <row r="36" spans="1:29" ht="15.75" hidden="1"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1"/>
      <c r="Q36" s="1899">
        <f t="shared" si="11"/>
        <v>111</v>
      </c>
      <c r="R36" s="753" t="s">
        <v>25</v>
      </c>
      <c r="S36" s="754">
        <f t="shared" si="12"/>
        <v>100</v>
      </c>
      <c r="T36" s="753" t="s">
        <v>25</v>
      </c>
      <c r="U36" s="754">
        <f t="shared" si="13"/>
        <v>100</v>
      </c>
      <c r="V36" s="753" t="s">
        <v>25</v>
      </c>
      <c r="W36" s="754">
        <f t="shared" si="14"/>
        <v>100</v>
      </c>
      <c r="X36" s="1900"/>
      <c r="Y36" s="3041"/>
      <c r="Z36" s="1902">
        <f t="shared" si="15"/>
        <v>111</v>
      </c>
      <c r="AA36" s="1903">
        <f t="shared" si="3"/>
        <v>1</v>
      </c>
      <c r="AB36" s="1903">
        <f t="shared" si="4"/>
        <v>1</v>
      </c>
      <c r="AC36" s="1903">
        <f t="shared" si="5"/>
        <v>1</v>
      </c>
    </row>
    <row r="37" spans="1:29" ht="15">
      <c r="A37" s="460" t="s">
        <v>2518</v>
      </c>
      <c r="B37" s="1093" t="s">
        <v>2519</v>
      </c>
      <c r="C37" s="1502" t="s">
        <v>1</v>
      </c>
      <c r="D37" s="1503"/>
      <c r="E37" s="1504">
        <f>案例!O4</f>
        <v>9594</v>
      </c>
      <c r="F37" s="1505"/>
      <c r="G37" s="1506">
        <v>9810</v>
      </c>
      <c r="H37" s="1507"/>
      <c r="I37" s="1504">
        <v>8221</v>
      </c>
      <c r="J37" s="1507"/>
      <c r="K37" s="603"/>
      <c r="L37" s="1525"/>
      <c r="M37" s="738"/>
      <c r="N37" s="425"/>
      <c r="O37" s="738"/>
      <c r="P37" s="3033" t="str">
        <f>A37</f>
        <v>成交单价</v>
      </c>
      <c r="Q37" s="3033"/>
      <c r="R37" s="3029">
        <f>E37</f>
        <v>9594</v>
      </c>
      <c r="S37" s="3029"/>
      <c r="T37" s="3029">
        <f>G37</f>
        <v>9810</v>
      </c>
      <c r="U37" s="3029"/>
      <c r="V37" s="3029">
        <f>I37</f>
        <v>8221</v>
      </c>
      <c r="W37" s="3029"/>
      <c r="X37" s="738"/>
      <c r="Y37" s="760"/>
      <c r="Z37" s="738"/>
      <c r="AA37" s="738"/>
      <c r="AB37" s="738"/>
      <c r="AC37" s="738"/>
    </row>
    <row r="38" spans="1:29" ht="15.75" thickBot="1">
      <c r="A38" s="467" t="s">
        <v>2520</v>
      </c>
      <c r="B38" s="468" t="str">
        <f>B37</f>
        <v>元/平方米</v>
      </c>
      <c r="C38" s="1508">
        <f>R39</f>
        <v>9147</v>
      </c>
      <c r="D38" s="1509"/>
      <c r="E38" s="1510">
        <f>R38</f>
        <v>9594</v>
      </c>
      <c r="F38" s="1510"/>
      <c r="G38" s="1508">
        <f>T38</f>
        <v>9665</v>
      </c>
      <c r="H38" s="1509"/>
      <c r="I38" s="1510">
        <f>V38</f>
        <v>8181</v>
      </c>
      <c r="J38" s="1509"/>
      <c r="K38" s="604"/>
      <c r="L38" s="1525"/>
      <c r="M38" s="738"/>
      <c r="N38" s="738"/>
      <c r="O38" s="738"/>
      <c r="P38" s="3033" t="str">
        <f>A38</f>
        <v>比较价值</v>
      </c>
      <c r="Q38" s="3033"/>
      <c r="R38" s="3029">
        <f>IF(E1="售价",ROUND(PRODUCT(R37,AA7:AA36),0),ROUND(PRODUCT(R37,AA7:AA36),1))</f>
        <v>9594</v>
      </c>
      <c r="S38" s="3029"/>
      <c r="T38" s="3029">
        <f>IF(E1="售价",ROUND(PRODUCT(T37,AB7:AB36),0),ROUND(PRODUCT(T37,AB7:AB36),1))</f>
        <v>9665</v>
      </c>
      <c r="U38" s="3029"/>
      <c r="V38" s="3029">
        <f>IF(E1="售价",ROUND(PRODUCT(V37,AC7:AC36),0),ROUND(PRODUCT(V37,AC7:AC36),1))</f>
        <v>8181</v>
      </c>
      <c r="W38" s="3029"/>
      <c r="X38" s="738"/>
      <c r="Y38" s="738"/>
      <c r="Z38" s="738"/>
      <c r="AA38" s="738"/>
      <c r="AB38" s="738"/>
      <c r="AC38" s="738"/>
    </row>
    <row r="39" spans="1:29" ht="15.75" thickBot="1">
      <c r="A39" s="473" t="s">
        <v>2521</v>
      </c>
      <c r="B39" s="474"/>
      <c r="C39" s="1512">
        <f>R39</f>
        <v>9147</v>
      </c>
      <c r="D39" s="1512"/>
      <c r="E39" s="1512"/>
      <c r="F39" s="1512"/>
      <c r="G39" s="1512"/>
      <c r="H39" s="1512"/>
      <c r="I39" s="1512"/>
      <c r="J39" s="1512"/>
      <c r="K39" s="605"/>
      <c r="L39" s="1525"/>
      <c r="M39" s="738"/>
      <c r="N39" s="738"/>
      <c r="O39" s="738"/>
      <c r="P39" s="3030" t="str">
        <f>A39</f>
        <v>估价对象XX用房的比较价值（楼面单价，元/平方米）</v>
      </c>
      <c r="Q39" s="3031"/>
      <c r="R39" s="3032">
        <f>IF(E1="售价",ROUND(AVERAGE(R38:V38),0),ROUND(AVERAGE(R38:V38),1))</f>
        <v>9147</v>
      </c>
      <c r="S39" s="3032"/>
      <c r="T39" s="3032"/>
      <c r="U39" s="3032"/>
      <c r="V39" s="3032"/>
      <c r="W39" s="303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f>IF(E37&lt;E38,E38/E37-1,E37/E38-1)</f>
        <v>0</v>
      </c>
      <c r="F42" s="481" t="str">
        <f>IF(OR(E42&gt;=0.3,E42&lt;=-0.3),"超过30%","")</f>
        <v/>
      </c>
      <c r="G42" s="480">
        <f>IF(G37&lt;G38,G38/G37-1,G37/G38-1)</f>
        <v>1.500258665287113E-2</v>
      </c>
      <c r="H42" s="481" t="str">
        <f>IF(OR(G42&gt;=0.3,G42&lt;=-0.3),"超过30%","")</f>
        <v/>
      </c>
      <c r="I42" s="480">
        <f>IF(I37&lt;I38,I38/I37-1,I37/I38-1)</f>
        <v>4.8893778266716481E-3</v>
      </c>
      <c r="J42" s="481" t="str">
        <f>IF(OR(I42&gt;=0.3,I42&lt;=-0.3),"超过30%","")</f>
        <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f>IF(E38&lt;G38,G38/E38-1,E38/G38-1)</f>
        <v>7.4004586199707401E-3</v>
      </c>
      <c r="F43" s="481" t="str">
        <f>IF(OR(E43&gt;=0.2,E43&lt;=-0.2),"超过20%","")</f>
        <v/>
      </c>
      <c r="G43" s="480">
        <f>IF(G38&lt;I38,I38/G38-1,G38/I38-1)</f>
        <v>0.18139591736951477</v>
      </c>
      <c r="H43" s="481" t="str">
        <f>IF(OR(G43&gt;=0.2,G43&lt;=-0.2),"超过20%","")</f>
        <v/>
      </c>
      <c r="I43" s="480">
        <f>IF(I38&lt;E38,E38/I38-1,I38/E38-1)</f>
        <v>0.17271727172717277</v>
      </c>
      <c r="J43" s="481" t="str">
        <f>IF(OR(I43&gt;=0.2,I43&lt;=-0.2),"超过20%","")</f>
        <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f>IF(E37&lt;G37,G37/E37-1,E37/G37-1)</f>
        <v>2.2514071294559068E-2</v>
      </c>
      <c r="F44" s="481" t="str">
        <f>IF(OR(E44&gt;=0.3,E44&lt;=-0.3),"超过30%","")</f>
        <v/>
      </c>
      <c r="G44" s="480">
        <f>IF(G37&lt;I37,I37/G37-1,G37/I37-1)</f>
        <v>0.19328548838340831</v>
      </c>
      <c r="H44" s="481" t="str">
        <f>IF(OR(G44&gt;=0.3,G44&lt;=-0.3),"超过30%","")</f>
        <v/>
      </c>
      <c r="I44" s="480">
        <f>IF(I37&lt;E37,E37/I37-1,I37/E37-1)</f>
        <v>0.16701131249239753</v>
      </c>
      <c r="J44" s="481" t="str">
        <f>IF(OR(I44&gt;=0.3,I44&lt;=-0.3),"超过30%","")</f>
        <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2018-6</v>
      </c>
      <c r="D48" s="1679">
        <f>EDATE(C48,-1)</f>
        <v>43221</v>
      </c>
      <c r="E48" s="1679">
        <f t="shared" ref="E48:O48" si="16">EDATE(D48,-1)</f>
        <v>43191</v>
      </c>
      <c r="F48" s="1679">
        <f t="shared" si="16"/>
        <v>43160</v>
      </c>
      <c r="G48" s="1679">
        <f t="shared" si="16"/>
        <v>43132</v>
      </c>
      <c r="H48" s="1679">
        <f t="shared" si="16"/>
        <v>43101</v>
      </c>
      <c r="I48" s="1679">
        <f t="shared" si="16"/>
        <v>43070</v>
      </c>
      <c r="J48" s="1679">
        <f t="shared" si="16"/>
        <v>43040</v>
      </c>
      <c r="K48" s="1679">
        <f t="shared" si="16"/>
        <v>43009</v>
      </c>
      <c r="L48" s="1679">
        <f t="shared" si="16"/>
        <v>42979</v>
      </c>
      <c r="M48" s="1679">
        <f t="shared" si="16"/>
        <v>42948</v>
      </c>
      <c r="N48" s="1679">
        <f t="shared" si="16"/>
        <v>42917</v>
      </c>
      <c r="O48" s="1679">
        <f t="shared" si="16"/>
        <v>42887</v>
      </c>
      <c r="P48" s="488"/>
    </row>
    <row r="49" spans="1:17" s="35" customFormat="1" ht="15">
      <c r="A49" s="490"/>
      <c r="B49" s="491"/>
      <c r="C49" s="1677">
        <v>100</v>
      </c>
      <c r="D49" s="493">
        <v>100</v>
      </c>
      <c r="E49" s="493">
        <v>100</v>
      </c>
      <c r="F49" s="493">
        <v>100</v>
      </c>
      <c r="G49" s="493">
        <v>100</v>
      </c>
      <c r="H49" s="493">
        <v>100</v>
      </c>
      <c r="I49" s="493">
        <v>99</v>
      </c>
      <c r="J49" s="493">
        <v>99</v>
      </c>
      <c r="K49" s="493">
        <v>99</v>
      </c>
      <c r="L49" s="493">
        <v>99</v>
      </c>
      <c r="M49" s="494">
        <v>99</v>
      </c>
      <c r="N49" s="493">
        <v>99</v>
      </c>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2359</v>
      </c>
      <c r="C53" s="510" t="str">
        <f>C9</f>
        <v>车库</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t="s">
        <v>2903</v>
      </c>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2528</v>
      </c>
      <c r="C79" s="510" t="str">
        <f>C26</f>
        <v>住宅</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t="str">
        <f>C27</f>
        <v>1:2</v>
      </c>
      <c r="D81" s="644" t="str">
        <f>G27</f>
        <v>1:1.5</v>
      </c>
      <c r="E81" s="644"/>
      <c r="F81" s="644"/>
      <c r="G81" s="644"/>
      <c r="H81" s="644"/>
      <c r="I81" s="644"/>
      <c r="J81" s="644"/>
      <c r="K81" s="645"/>
      <c r="L81" s="646"/>
      <c r="M81" s="647"/>
      <c r="N81" s="50"/>
      <c r="O81" s="50"/>
      <c r="P81" s="22"/>
      <c r="Q81" s="485"/>
    </row>
    <row r="82" spans="1:17" s="452" customFormat="1" ht="15.75" thickBot="1">
      <c r="A82" s="536"/>
      <c r="B82" s="526"/>
      <c r="C82" s="544">
        <v>100</v>
      </c>
      <c r="D82" s="518">
        <v>101</v>
      </c>
      <c r="E82" s="518"/>
      <c r="F82" s="518"/>
      <c r="G82" s="518"/>
      <c r="H82" s="518"/>
      <c r="I82" s="518"/>
      <c r="J82" s="518"/>
      <c r="K82" s="518"/>
      <c r="L82" s="518"/>
      <c r="M82" s="519"/>
      <c r="N82" s="520"/>
      <c r="O82" s="520"/>
      <c r="P82" s="542"/>
      <c r="Q82" s="543"/>
    </row>
    <row r="83" spans="1:17" ht="15" thickTop="1">
      <c r="A83" s="583"/>
      <c r="B83" s="521" t="s">
        <v>2421</v>
      </c>
      <c r="C83" s="2754" t="s">
        <v>2914</v>
      </c>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0(含)-30</v>
      </c>
      <c r="D90" s="562" t="str">
        <f t="shared" ref="D90:L90" si="21">D91&amp;"(含)"&amp;"-"&amp;E91</f>
        <v>30(含)-35</v>
      </c>
      <c r="E90" s="562" t="str">
        <f t="shared" si="21"/>
        <v>35(含)-40</v>
      </c>
      <c r="F90" s="562" t="str">
        <f t="shared" si="21"/>
        <v>40(含)-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v>0</v>
      </c>
      <c r="D91" s="579">
        <v>30</v>
      </c>
      <c r="E91" s="579">
        <v>35</v>
      </c>
      <c r="F91" s="579">
        <v>40</v>
      </c>
      <c r="G91" s="579"/>
      <c r="H91" s="579"/>
      <c r="I91" s="579"/>
      <c r="J91" s="580"/>
      <c r="K91" s="580"/>
      <c r="L91" s="581"/>
      <c r="M91" s="582"/>
      <c r="N91" s="541"/>
      <c r="O91" s="541"/>
      <c r="P91" s="542"/>
      <c r="Q91" s="543"/>
    </row>
    <row r="92" spans="1:17" s="452" customFormat="1" ht="15.75" thickBot="1">
      <c r="A92" s="536"/>
      <c r="B92" s="526"/>
      <c r="C92" s="544">
        <v>97</v>
      </c>
      <c r="D92" s="518">
        <v>98</v>
      </c>
      <c r="E92" s="518">
        <v>99</v>
      </c>
      <c r="F92" s="518">
        <v>100</v>
      </c>
      <c r="G92" s="518"/>
      <c r="H92" s="518"/>
      <c r="I92" s="518"/>
      <c r="J92" s="518"/>
      <c r="K92" s="518"/>
      <c r="L92" s="518"/>
      <c r="M92" s="519"/>
      <c r="N92" s="541"/>
      <c r="O92" s="541"/>
      <c r="P92" s="542"/>
      <c r="Q92" s="543"/>
    </row>
    <row r="93" spans="1:17" ht="15" thickTop="1">
      <c r="A93" s="583"/>
      <c r="B93" s="521" t="s">
        <v>2533</v>
      </c>
      <c r="C93" s="2754" t="s">
        <v>2915</v>
      </c>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t="str">
        <f>B34</f>
        <v>建成年代</v>
      </c>
      <c r="C97" s="532">
        <v>2006</v>
      </c>
      <c r="D97" s="532">
        <v>2005</v>
      </c>
      <c r="E97" s="532"/>
      <c r="F97" s="532"/>
      <c r="G97" s="537"/>
      <c r="H97" s="538"/>
      <c r="I97" s="538"/>
      <c r="J97" s="538"/>
      <c r="K97" s="538"/>
      <c r="L97" s="539"/>
      <c r="M97" s="540"/>
      <c r="N97" s="520"/>
      <c r="O97" s="520"/>
      <c r="P97" s="621"/>
      <c r="Q97" s="622"/>
    </row>
    <row r="98" spans="1:17" ht="15.75" thickBot="1">
      <c r="A98" s="516"/>
      <c r="B98" s="526"/>
      <c r="C98" s="544">
        <v>100</v>
      </c>
      <c r="D98" s="518">
        <v>99.5</v>
      </c>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31.27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6"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7" t="s">
        <v>2354</v>
      </c>
      <c r="Q7" s="3055"/>
      <c r="R7" s="749" t="s">
        <v>25</v>
      </c>
      <c r="S7" s="750">
        <f t="shared" ref="S7:S14" si="0">F7</f>
        <v>0</v>
      </c>
      <c r="T7" s="749" t="s">
        <v>25</v>
      </c>
      <c r="U7" s="750">
        <f t="shared" ref="U7:U14" si="1">H7</f>
        <v>0</v>
      </c>
      <c r="V7" s="749" t="s">
        <v>25</v>
      </c>
      <c r="W7" s="750">
        <f t="shared" ref="W7:W14"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3" t="s">
        <v>2360</v>
      </c>
      <c r="Q9" s="1887" t="str">
        <f t="shared" ref="Q9:Q14" si="6">B9</f>
        <v>用途</v>
      </c>
      <c r="R9" s="749" t="s">
        <v>25</v>
      </c>
      <c r="S9" s="750">
        <f t="shared" si="0"/>
        <v>100</v>
      </c>
      <c r="T9" s="749" t="s">
        <v>25</v>
      </c>
      <c r="U9" s="750">
        <f t="shared" si="1"/>
        <v>100</v>
      </c>
      <c r="V9" s="749" t="s">
        <v>25</v>
      </c>
      <c r="W9" s="750">
        <f t="shared" si="2"/>
        <v>100</v>
      </c>
      <c r="X9" s="751"/>
      <c r="Y9" s="2859"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3"/>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71.25">
      <c r="A14" s="419" t="s">
        <v>2364</v>
      </c>
      <c r="B14" s="26" t="s">
        <v>2507</v>
      </c>
      <c r="C14" s="2478" t="str">
        <f>IF(B1="工业",估价对象房地状况!G4,估价对象房地状况!C6)</f>
        <v>周边2公里内有十余条公交线路及地铁10号线（团结湖站），交通便捷度较好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6" t="s">
        <v>2365</v>
      </c>
      <c r="Q14" s="1899" t="str">
        <f t="shared" si="6"/>
        <v>交通便捷度</v>
      </c>
      <c r="R14" s="753" t="s">
        <v>25</v>
      </c>
      <c r="S14" s="754">
        <f t="shared" si="0"/>
        <v>100</v>
      </c>
      <c r="T14" s="753" t="s">
        <v>25</v>
      </c>
      <c r="U14" s="754">
        <f t="shared" si="1"/>
        <v>100</v>
      </c>
      <c r="V14" s="753" t="s">
        <v>25</v>
      </c>
      <c r="W14" s="754">
        <f t="shared" si="2"/>
        <v>100</v>
      </c>
      <c r="X14" s="1900"/>
      <c r="Y14" s="3036"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7"/>
      <c r="Q15" s="1899"/>
      <c r="R15" s="753"/>
      <c r="S15" s="754"/>
      <c r="T15" s="753"/>
      <c r="U15" s="754"/>
      <c r="V15" s="753"/>
      <c r="W15" s="754"/>
      <c r="X15" s="1900"/>
      <c r="Y15" s="3037"/>
      <c r="Z15" s="1902"/>
      <c r="AA15" s="1903">
        <v>1</v>
      </c>
      <c r="AB15" s="1903">
        <v>1</v>
      </c>
      <c r="AC15" s="1903">
        <v>1</v>
      </c>
    </row>
    <row r="16" spans="1:29" ht="42.75">
      <c r="A16" s="408"/>
      <c r="B16" s="615" t="s">
        <v>2479</v>
      </c>
      <c r="C16" s="2405"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7"/>
      <c r="Q17" s="1899"/>
      <c r="R17" s="753"/>
      <c r="S17" s="754"/>
      <c r="T17" s="753"/>
      <c r="U17" s="754"/>
      <c r="V17" s="753"/>
      <c r="W17" s="754"/>
      <c r="X17" s="1900"/>
      <c r="Y17" s="3037"/>
      <c r="Z17" s="1902"/>
      <c r="AA17" s="1903">
        <v>1</v>
      </c>
      <c r="AB17" s="1903">
        <v>1</v>
      </c>
      <c r="AC17" s="1903">
        <v>1</v>
      </c>
    </row>
    <row r="18" spans="1:29" ht="15">
      <c r="A18" s="408"/>
      <c r="B18" s="617" t="s">
        <v>2480</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7"/>
      <c r="Q19" s="1899"/>
      <c r="R19" s="753"/>
      <c r="S19" s="754"/>
      <c r="T19" s="753"/>
      <c r="U19" s="754"/>
      <c r="V19" s="753"/>
      <c r="W19" s="754"/>
      <c r="X19" s="1900"/>
      <c r="Y19" s="3037"/>
      <c r="Z19" s="1902"/>
      <c r="AA19" s="1903">
        <v>1</v>
      </c>
      <c r="AB19" s="1903">
        <v>1</v>
      </c>
      <c r="AC19" s="1903">
        <v>1</v>
      </c>
    </row>
    <row r="20" spans="1:29" ht="57">
      <c r="A20" s="408"/>
      <c r="B20" s="431" t="s">
        <v>2508</v>
      </c>
      <c r="C20" s="2405" t="str">
        <f>IF(B1="工业",估价对象房地状况!G7,估价对象房地状况!C9)</f>
        <v>有工人体育场、团结湖公园等，自然及人文环境较好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7"/>
      <c r="Q21" s="1899"/>
      <c r="R21" s="753"/>
      <c r="S21" s="754"/>
      <c r="T21" s="753"/>
      <c r="U21" s="754"/>
      <c r="V21" s="753"/>
      <c r="W21" s="754"/>
      <c r="X21" s="1900"/>
      <c r="Y21" s="3037"/>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7"/>
      <c r="Q24" s="1899">
        <f t="shared" ref="Q24:Q34"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29.25">
      <c r="A26" s="447" t="s">
        <v>2369</v>
      </c>
      <c r="B26" s="28" t="s">
        <v>2512</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84"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1" t="s">
        <v>2371</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1"/>
      <c r="Q27" s="755" t="str">
        <f t="shared" si="11"/>
        <v>成新率</v>
      </c>
      <c r="R27" s="756" t="s">
        <v>25</v>
      </c>
      <c r="S27" s="757" t="e">
        <f t="shared" si="12"/>
        <v>#N/A</v>
      </c>
      <c r="T27" s="756" t="s">
        <v>25</v>
      </c>
      <c r="U27" s="757" t="e">
        <f t="shared" si="13"/>
        <v>#N/A</v>
      </c>
      <c r="V27" s="756" t="s">
        <v>25</v>
      </c>
      <c r="W27" s="757" t="e">
        <f t="shared" si="14"/>
        <v>#N/A</v>
      </c>
      <c r="X27" s="758"/>
      <c r="Y27" s="3041"/>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1"/>
      <c r="Q28" s="1899" t="str">
        <f t="shared" si="11"/>
        <v>物业等级</v>
      </c>
      <c r="R28" s="753" t="s">
        <v>25</v>
      </c>
      <c r="S28" s="754">
        <f t="shared" si="12"/>
        <v>100</v>
      </c>
      <c r="T28" s="753" t="s">
        <v>25</v>
      </c>
      <c r="U28" s="754">
        <f t="shared" si="13"/>
        <v>100</v>
      </c>
      <c r="V28" s="753" t="s">
        <v>25</v>
      </c>
      <c r="W28" s="754">
        <f t="shared" si="14"/>
        <v>100</v>
      </c>
      <c r="X28" s="1900"/>
      <c r="Y28" s="3041"/>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1"/>
      <c r="Q29" s="1899" t="str">
        <f t="shared" si="11"/>
        <v>有无电梯</v>
      </c>
      <c r="R29" s="753" t="s">
        <v>25</v>
      </c>
      <c r="S29" s="754">
        <f t="shared" si="12"/>
        <v>100</v>
      </c>
      <c r="T29" s="753" t="s">
        <v>25</v>
      </c>
      <c r="U29" s="754">
        <f t="shared" si="13"/>
        <v>100</v>
      </c>
      <c r="V29" s="753" t="s">
        <v>25</v>
      </c>
      <c r="W29" s="754">
        <f t="shared" si="14"/>
        <v>100</v>
      </c>
      <c r="X29" s="1900"/>
      <c r="Y29" s="3041"/>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1"/>
      <c r="Q30" s="1899" t="str">
        <f t="shared" si="11"/>
        <v>建筑面积</v>
      </c>
      <c r="R30" s="753" t="s">
        <v>25</v>
      </c>
      <c r="S30" s="754" t="e">
        <f t="shared" si="12"/>
        <v>#N/A</v>
      </c>
      <c r="T30" s="753" t="s">
        <v>25</v>
      </c>
      <c r="U30" s="754" t="e">
        <f t="shared" si="13"/>
        <v>#N/A</v>
      </c>
      <c r="V30" s="753" t="s">
        <v>25</v>
      </c>
      <c r="W30" s="754" t="e">
        <f t="shared" si="14"/>
        <v>#N/A</v>
      </c>
      <c r="X30" s="1900"/>
      <c r="Y30" s="3041"/>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1"/>
      <c r="Q31" s="1887" t="str">
        <f t="shared" si="11"/>
        <v>是否封闭</v>
      </c>
      <c r="R31" s="749" t="s">
        <v>25</v>
      </c>
      <c r="S31" s="750">
        <f t="shared" si="12"/>
        <v>100</v>
      </c>
      <c r="T31" s="749" t="s">
        <v>25</v>
      </c>
      <c r="U31" s="750">
        <f t="shared" si="13"/>
        <v>100</v>
      </c>
      <c r="V31" s="749" t="s">
        <v>25</v>
      </c>
      <c r="W31" s="750">
        <f t="shared" si="14"/>
        <v>100</v>
      </c>
      <c r="X31" s="751"/>
      <c r="Y31" s="3041"/>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1" t="s">
        <v>2371</v>
      </c>
      <c r="Q32" s="1899">
        <f t="shared" si="11"/>
        <v>111</v>
      </c>
      <c r="R32" s="753" t="s">
        <v>25</v>
      </c>
      <c r="S32" s="754">
        <f t="shared" si="12"/>
        <v>100</v>
      </c>
      <c r="T32" s="753" t="s">
        <v>25</v>
      </c>
      <c r="U32" s="754">
        <f t="shared" si="13"/>
        <v>100</v>
      </c>
      <c r="V32" s="753" t="s">
        <v>25</v>
      </c>
      <c r="W32" s="754">
        <f t="shared" si="14"/>
        <v>100</v>
      </c>
      <c r="X32" s="1900"/>
      <c r="Y32" s="3041"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1"/>
      <c r="Q33" s="1899">
        <f t="shared" si="11"/>
        <v>111</v>
      </c>
      <c r="R33" s="753" t="s">
        <v>25</v>
      </c>
      <c r="S33" s="754">
        <f t="shared" si="12"/>
        <v>100</v>
      </c>
      <c r="T33" s="753" t="s">
        <v>25</v>
      </c>
      <c r="U33" s="754">
        <f t="shared" si="13"/>
        <v>100</v>
      </c>
      <c r="V33" s="753" t="s">
        <v>25</v>
      </c>
      <c r="W33" s="754">
        <f t="shared" si="14"/>
        <v>100</v>
      </c>
      <c r="X33" s="1900"/>
      <c r="Y33" s="3041"/>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1"/>
      <c r="Q34" s="1899">
        <f t="shared" si="11"/>
        <v>111</v>
      </c>
      <c r="R34" s="753" t="s">
        <v>25</v>
      </c>
      <c r="S34" s="754">
        <f t="shared" si="12"/>
        <v>100</v>
      </c>
      <c r="T34" s="753" t="s">
        <v>25</v>
      </c>
      <c r="U34" s="754">
        <f t="shared" si="13"/>
        <v>100</v>
      </c>
      <c r="V34" s="753" t="s">
        <v>25</v>
      </c>
      <c r="W34" s="754">
        <f t="shared" si="14"/>
        <v>100</v>
      </c>
      <c r="X34" s="1900"/>
      <c r="Y34" s="3041"/>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3" t="str">
        <f>A35</f>
        <v>成交单价（元/平方米）</v>
      </c>
      <c r="Q35" s="3033"/>
      <c r="R35" s="3029">
        <f>E35</f>
        <v>0</v>
      </c>
      <c r="S35" s="3029"/>
      <c r="T35" s="3029">
        <f>G35</f>
        <v>0</v>
      </c>
      <c r="U35" s="3029"/>
      <c r="V35" s="3029">
        <f>I35</f>
        <v>0</v>
      </c>
      <c r="W35" s="3029"/>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33" t="str">
        <f>A36</f>
        <v>比较价值（元/平方米）</v>
      </c>
      <c r="Q36" s="3033"/>
      <c r="R36" s="3029" t="e">
        <f>IF(E1="售价",ROUND(PRODUCT(R35,AA7:AA34),0),ROUND(PRODUCT(R35,AA7:AA34),1))</f>
        <v>#DIV/0!</v>
      </c>
      <c r="S36" s="3029"/>
      <c r="T36" s="3029" t="e">
        <f>IF(E1="售价",ROUND(PRODUCT(T35,AB7:AB34),0),ROUND(PRODUCT(T35,AB7:AB34),1))</f>
        <v>#DIV/0!</v>
      </c>
      <c r="U36" s="3029"/>
      <c r="V36" s="3029" t="e">
        <f>IF(E1="售价",ROUND(PRODUCT(V35,AC7:AC34),0),ROUND(PRODUCT(V35,AC7:AC34),1))</f>
        <v>#DIV/0!</v>
      </c>
      <c r="W36" s="3029"/>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30" t="str">
        <f>A37</f>
        <v>估价对象XX用房的比较价值（楼面单价，元/平方米）</v>
      </c>
      <c r="Q37" s="3031"/>
      <c r="R37" s="3032" t="e">
        <f>IF(E1="售价",ROUND(AVERAGE(R36:V36),0),ROUND(AVERAGE(R36:V36),1))</f>
        <v>#DIV/0!</v>
      </c>
      <c r="S37" s="3032"/>
      <c r="T37" s="3032"/>
      <c r="U37" s="3032"/>
      <c r="V37" s="3032"/>
      <c r="W37" s="303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2018-6</v>
      </c>
      <c r="D46" s="1679">
        <f>EDATE(C46,-1)</f>
        <v>43221</v>
      </c>
      <c r="E46" s="1679">
        <f t="shared" ref="E46:O46" si="16">EDATE(D46,-1)</f>
        <v>43191</v>
      </c>
      <c r="F46" s="1679">
        <f t="shared" si="16"/>
        <v>43160</v>
      </c>
      <c r="G46" s="1679">
        <f t="shared" si="16"/>
        <v>43132</v>
      </c>
      <c r="H46" s="1679">
        <f t="shared" si="16"/>
        <v>43101</v>
      </c>
      <c r="I46" s="1679">
        <f t="shared" si="16"/>
        <v>43070</v>
      </c>
      <c r="J46" s="1679">
        <f t="shared" si="16"/>
        <v>43040</v>
      </c>
      <c r="K46" s="1679">
        <f t="shared" si="16"/>
        <v>43009</v>
      </c>
      <c r="L46" s="1679">
        <f t="shared" si="16"/>
        <v>42979</v>
      </c>
      <c r="M46" s="1679">
        <f t="shared" si="16"/>
        <v>42948</v>
      </c>
      <c r="N46" s="1679">
        <f t="shared" si="16"/>
        <v>42917</v>
      </c>
      <c r="O46" s="1679">
        <f t="shared" si="16"/>
        <v>42887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30" ht="15">
      <c r="A5" s="383"/>
      <c r="B5" s="384"/>
      <c r="C5" s="3045" t="s">
        <v>2347</v>
      </c>
      <c r="D5" s="3046"/>
      <c r="E5" s="3076"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30" ht="15.75" thickBot="1">
      <c r="A6" s="385"/>
      <c r="B6" s="386"/>
      <c r="C6" s="3043" t="s">
        <v>2351</v>
      </c>
      <c r="D6" s="3044"/>
      <c r="E6" s="3074" t="s">
        <v>2351</v>
      </c>
      <c r="F6" s="3075"/>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30" s="35" customFormat="1" ht="15.75" thickBot="1">
      <c r="A7" s="387" t="s">
        <v>2353</v>
      </c>
      <c r="B7" s="388"/>
      <c r="C7" s="389">
        <f>'数据-取费表'!B2</f>
        <v>43277</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30" s="35" customFormat="1" ht="15.75" thickBot="1">
      <c r="A8" s="387" t="s">
        <v>2355</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5" si="3">D8/F8</f>
        <v>#DIV/0!</v>
      </c>
      <c r="AB8" s="752" t="e">
        <f t="shared" ref="AB8:AB45" si="4">D8/H8</f>
        <v>#DIV/0!</v>
      </c>
      <c r="AC8" s="752" t="e">
        <f t="shared" ref="AC8:AC45" si="5">D8/J8</f>
        <v>#DIV/0!</v>
      </c>
    </row>
    <row r="9" spans="1:30" s="35" customFormat="1">
      <c r="A9" s="395" t="s">
        <v>2358</v>
      </c>
      <c r="B9" s="28" t="s">
        <v>2359</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133</v>
      </c>
      <c r="G10" s="444"/>
      <c r="H10" s="52">
        <f>ROUND(100/'数据-取费表'!B14,0)</f>
        <v>133</v>
      </c>
      <c r="I10" s="444"/>
      <c r="J10" s="52">
        <f>ROUND(100/'数据-取费表'!B14,0)</f>
        <v>133</v>
      </c>
      <c r="K10" s="655"/>
      <c r="L10" s="1248"/>
      <c r="M10" s="1249"/>
      <c r="N10" s="1249"/>
      <c r="O10" s="1250"/>
      <c r="P10" s="3033"/>
      <c r="Q10" s="1887" t="str">
        <f t="shared" si="6"/>
        <v>土地使用年限（年）</v>
      </c>
      <c r="R10" s="749" t="s">
        <v>25</v>
      </c>
      <c r="S10" s="750">
        <f t="shared" si="0"/>
        <v>133</v>
      </c>
      <c r="T10" s="749" t="s">
        <v>25</v>
      </c>
      <c r="U10" s="750">
        <f t="shared" si="1"/>
        <v>133</v>
      </c>
      <c r="V10" s="749" t="s">
        <v>25</v>
      </c>
      <c r="W10" s="750">
        <f t="shared" si="2"/>
        <v>133</v>
      </c>
      <c r="X10" s="751"/>
      <c r="Y10" s="2859"/>
      <c r="Z10" s="23" t="str">
        <f t="shared" si="7"/>
        <v>土地使用年限（年）</v>
      </c>
      <c r="AA10" s="752">
        <f t="shared" si="3"/>
        <v>0.75187969924812026</v>
      </c>
      <c r="AB10" s="752">
        <f t="shared" si="4"/>
        <v>0.75187969924812026</v>
      </c>
      <c r="AC10" s="752">
        <f t="shared" si="5"/>
        <v>0.75187969924812026</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30" s="35" customFormat="1" ht="15">
      <c r="A12" s="411"/>
      <c r="B12" s="2398"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3"/>
      <c r="Q12" s="1887" t="str">
        <f t="shared" si="6"/>
        <v>配建</v>
      </c>
      <c r="R12" s="749" t="s">
        <v>25</v>
      </c>
      <c r="S12" s="750">
        <f t="shared" si="0"/>
        <v>100</v>
      </c>
      <c r="T12" s="749" t="s">
        <v>25</v>
      </c>
      <c r="U12" s="750">
        <f t="shared" si="1"/>
        <v>100</v>
      </c>
      <c r="V12" s="749" t="s">
        <v>25</v>
      </c>
      <c r="W12" s="750">
        <f t="shared" si="2"/>
        <v>100</v>
      </c>
      <c r="X12" s="751"/>
      <c r="Y12" s="2859"/>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D14/F14</f>
        <v>1</v>
      </c>
      <c r="AB14" s="752">
        <f>D14/H14</f>
        <v>1</v>
      </c>
      <c r="AC14" s="752">
        <f>D14/J14</f>
        <v>1</v>
      </c>
    </row>
    <row r="15" spans="1:30" ht="85.5">
      <c r="A15" s="380" t="s">
        <v>2364</v>
      </c>
      <c r="B15" s="1487" t="s">
        <v>1739</v>
      </c>
      <c r="C15" s="2466" t="str">
        <f>估价对象房地状况!C15</f>
        <v>周边有新城国际、白家庄西里、核桃园北里、向军北里等社区，居住社区成熟度较好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6" t="s">
        <v>2365</v>
      </c>
      <c r="Q15" s="1899" t="str">
        <f t="shared" si="6"/>
        <v>居住社区成熟度</v>
      </c>
      <c r="R15" s="753" t="s">
        <v>25</v>
      </c>
      <c r="S15" s="754">
        <f t="shared" si="0"/>
        <v>100</v>
      </c>
      <c r="T15" s="753" t="s">
        <v>25</v>
      </c>
      <c r="U15" s="754">
        <f t="shared" si="1"/>
        <v>100</v>
      </c>
      <c r="V15" s="753" t="s">
        <v>25</v>
      </c>
      <c r="W15" s="754">
        <f t="shared" si="2"/>
        <v>100</v>
      </c>
      <c r="X15" s="1900"/>
      <c r="Y15" s="3036"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71.25">
      <c r="A17" s="383"/>
      <c r="B17" s="1489" t="s">
        <v>2449</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7"/>
      <c r="Q17" s="1899" t="str">
        <f>B17</f>
        <v>商业繁华度</v>
      </c>
      <c r="R17" s="753" t="s">
        <v>25</v>
      </c>
      <c r="S17" s="754">
        <f>F17</f>
        <v>100</v>
      </c>
      <c r="T17" s="753" t="s">
        <v>25</v>
      </c>
      <c r="U17" s="754">
        <f>H17</f>
        <v>100</v>
      </c>
      <c r="V17" s="753" t="s">
        <v>25</v>
      </c>
      <c r="W17" s="754">
        <f>J17</f>
        <v>100</v>
      </c>
      <c r="X17" s="1900"/>
      <c r="Y17" s="3037"/>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71.25">
      <c r="A19" s="383"/>
      <c r="B19" s="1489" t="s">
        <v>2478</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7"/>
      <c r="Q19" s="1899" t="str">
        <f>B19</f>
        <v>办公集聚程度</v>
      </c>
      <c r="R19" s="753" t="s">
        <v>25</v>
      </c>
      <c r="S19" s="754">
        <f>F19</f>
        <v>100</v>
      </c>
      <c r="T19" s="753" t="s">
        <v>25</v>
      </c>
      <c r="U19" s="754">
        <f>H19</f>
        <v>100</v>
      </c>
      <c r="V19" s="753" t="s">
        <v>25</v>
      </c>
      <c r="W19" s="754">
        <f>J19</f>
        <v>100</v>
      </c>
      <c r="X19" s="1900"/>
      <c r="Y19" s="3037"/>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37"/>
      <c r="Q20" s="1899"/>
      <c r="R20" s="753"/>
      <c r="S20" s="754"/>
      <c r="T20" s="753"/>
      <c r="U20" s="754"/>
      <c r="V20" s="753"/>
      <c r="W20" s="754"/>
      <c r="X20" s="1900"/>
      <c r="Y20" s="3037"/>
      <c r="Z20" s="1902"/>
      <c r="AA20" s="1903">
        <v>1</v>
      </c>
      <c r="AB20" s="1903">
        <v>1</v>
      </c>
      <c r="AC20" s="1903">
        <v>1</v>
      </c>
    </row>
    <row r="21" spans="1:29" ht="71.25">
      <c r="A21" s="383"/>
      <c r="B21" s="1489" t="s">
        <v>2507</v>
      </c>
      <c r="C21" s="2467" t="str">
        <f>估价对象房地状况!C18</f>
        <v>周边2公里内有十余条公交线路及地铁10号线（团结湖站），交通便捷度较好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7"/>
      <c r="Q21" s="1899" t="str">
        <f>B21</f>
        <v>交通便捷度</v>
      </c>
      <c r="R21" s="753" t="s">
        <v>25</v>
      </c>
      <c r="S21" s="754">
        <f>F21</f>
        <v>100</v>
      </c>
      <c r="T21" s="753" t="s">
        <v>25</v>
      </c>
      <c r="U21" s="754">
        <f>H21</f>
        <v>100</v>
      </c>
      <c r="V21" s="753" t="s">
        <v>25</v>
      </c>
      <c r="W21" s="754">
        <f>J21</f>
        <v>100</v>
      </c>
      <c r="X21" s="1900"/>
      <c r="Y21" s="3037"/>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ht="15">
      <c r="A23" s="383"/>
      <c r="B23" s="1492" t="s">
        <v>2547</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7"/>
      <c r="Q23" s="1899" t="str">
        <f t="shared" ref="Q23:Q37" si="8">B23</f>
        <v>区域土地利用方向</v>
      </c>
      <c r="R23" s="753" t="s">
        <v>25</v>
      </c>
      <c r="S23" s="754">
        <f>F23</f>
        <v>100</v>
      </c>
      <c r="T23" s="753" t="s">
        <v>25</v>
      </c>
      <c r="U23" s="754">
        <f>H23</f>
        <v>100</v>
      </c>
      <c r="V23" s="753" t="s">
        <v>25</v>
      </c>
      <c r="W23" s="754">
        <f>J23</f>
        <v>100</v>
      </c>
      <c r="X23" s="1900"/>
      <c r="Y23" s="3037"/>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37"/>
      <c r="Q24" s="1899"/>
      <c r="R24" s="753"/>
      <c r="S24" s="754"/>
      <c r="T24" s="753"/>
      <c r="U24" s="754"/>
      <c r="V24" s="753"/>
      <c r="W24" s="754"/>
      <c r="X24" s="1900"/>
      <c r="Y24" s="3037"/>
      <c r="Z24" s="1902"/>
      <c r="AA24" s="1903"/>
      <c r="AB24" s="1903"/>
      <c r="AC24" s="1903"/>
    </row>
    <row r="25" spans="1:29" ht="57">
      <c r="A25" s="383"/>
      <c r="B25" s="1491" t="s">
        <v>2548</v>
      </c>
      <c r="C25" s="2484" t="str">
        <f>估价对象房地状况!C20</f>
        <v>有工人体育场、团结湖公园等，自然及人文环境较好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7"/>
      <c r="Q25" s="1899" t="str">
        <f t="shared" si="8"/>
        <v>自然及人文环境状况</v>
      </c>
      <c r="R25" s="753" t="s">
        <v>25</v>
      </c>
      <c r="S25" s="754">
        <f>F25</f>
        <v>100</v>
      </c>
      <c r="T25" s="753" t="s">
        <v>25</v>
      </c>
      <c r="U25" s="754">
        <f>H25</f>
        <v>100</v>
      </c>
      <c r="V25" s="753" t="s">
        <v>25</v>
      </c>
      <c r="W25" s="754">
        <f>J25</f>
        <v>100</v>
      </c>
      <c r="X25" s="1900"/>
      <c r="Y25" s="3037"/>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7"/>
      <c r="Q26" s="1899"/>
      <c r="R26" s="753"/>
      <c r="S26" s="754"/>
      <c r="T26" s="753"/>
      <c r="U26" s="754"/>
      <c r="V26" s="753"/>
      <c r="W26" s="754"/>
      <c r="X26" s="1900"/>
      <c r="Y26" s="3037"/>
      <c r="Z26" s="1902"/>
      <c r="AA26" s="1903">
        <v>1</v>
      </c>
      <c r="AB26" s="1903">
        <v>1</v>
      </c>
      <c r="AC26" s="1903">
        <v>1</v>
      </c>
    </row>
    <row r="27" spans="1:29" ht="42.75">
      <c r="A27" s="383"/>
      <c r="B27" s="1491" t="s">
        <v>2450</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7"/>
      <c r="Q27" s="1887" t="str">
        <f t="shared" ref="Q27" si="9">B27</f>
        <v>公共配套设施</v>
      </c>
      <c r="R27" s="749" t="s">
        <v>25</v>
      </c>
      <c r="S27" s="750">
        <f>F27</f>
        <v>100</v>
      </c>
      <c r="T27" s="749" t="s">
        <v>25</v>
      </c>
      <c r="U27" s="750">
        <f>H27</f>
        <v>100</v>
      </c>
      <c r="V27" s="749" t="s">
        <v>25</v>
      </c>
      <c r="W27" s="750">
        <f>J27</f>
        <v>100</v>
      </c>
      <c r="X27" s="1900"/>
      <c r="Y27" s="3037"/>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37"/>
      <c r="Q28" s="1899"/>
      <c r="R28" s="753"/>
      <c r="S28" s="754"/>
      <c r="T28" s="753"/>
      <c r="U28" s="754"/>
      <c r="V28" s="753"/>
      <c r="W28" s="754"/>
      <c r="X28" s="1900"/>
      <c r="Y28" s="3037"/>
      <c r="Z28" s="23"/>
      <c r="AA28" s="1903">
        <v>1</v>
      </c>
      <c r="AB28" s="1903">
        <v>1</v>
      </c>
      <c r="AC28" s="1903">
        <v>1</v>
      </c>
    </row>
    <row r="29" spans="1:29" s="35" customFormat="1" ht="15">
      <c r="A29" s="633"/>
      <c r="B29" s="1491" t="s">
        <v>2451</v>
      </c>
      <c r="C29" s="2487"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7"/>
      <c r="Q29" s="1887" t="str">
        <f t="shared" si="8"/>
        <v>基础设施水平</v>
      </c>
      <c r="R29" s="749" t="s">
        <v>25</v>
      </c>
      <c r="S29" s="750">
        <f>F29</f>
        <v>100</v>
      </c>
      <c r="T29" s="749" t="s">
        <v>25</v>
      </c>
      <c r="U29" s="750">
        <f>H29</f>
        <v>100</v>
      </c>
      <c r="V29" s="749" t="s">
        <v>25</v>
      </c>
      <c r="W29" s="750">
        <f>J29</f>
        <v>100</v>
      </c>
      <c r="X29" s="751"/>
      <c r="Y29" s="3037"/>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37"/>
      <c r="Q30" s="1887"/>
      <c r="R30" s="749"/>
      <c r="S30" s="750"/>
      <c r="T30" s="749"/>
      <c r="U30" s="750"/>
      <c r="V30" s="749"/>
      <c r="W30" s="750"/>
      <c r="X30" s="751"/>
      <c r="Y30" s="3037"/>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7"/>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7"/>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7"/>
      <c r="Q32" s="1899" t="str">
        <f t="shared" si="8"/>
        <v>毗邻道路的类型与等级</v>
      </c>
      <c r="R32" s="753" t="s">
        <v>25</v>
      </c>
      <c r="S32" s="754">
        <f t="shared" si="10"/>
        <v>100</v>
      </c>
      <c r="T32" s="753" t="s">
        <v>25</v>
      </c>
      <c r="U32" s="754">
        <f t="shared" si="11"/>
        <v>100</v>
      </c>
      <c r="V32" s="753" t="s">
        <v>25</v>
      </c>
      <c r="W32" s="754">
        <f t="shared" si="12"/>
        <v>100</v>
      </c>
      <c r="X32" s="1900"/>
      <c r="Y32" s="3037"/>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7"/>
      <c r="Q33" s="1899"/>
      <c r="R33" s="753"/>
      <c r="S33" s="754"/>
      <c r="T33" s="753"/>
      <c r="U33" s="754"/>
      <c r="V33" s="753"/>
      <c r="W33" s="754"/>
      <c r="X33" s="1900"/>
      <c r="Y33" s="3037"/>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7"/>
      <c r="Q34" s="1899" t="str">
        <f t="shared" si="8"/>
        <v>土地级别</v>
      </c>
      <c r="R34" s="753" t="s">
        <v>25</v>
      </c>
      <c r="S34" s="754">
        <f t="shared" si="10"/>
        <v>100</v>
      </c>
      <c r="T34" s="753" t="s">
        <v>25</v>
      </c>
      <c r="U34" s="754">
        <f t="shared" si="11"/>
        <v>100</v>
      </c>
      <c r="V34" s="753" t="s">
        <v>25</v>
      </c>
      <c r="W34" s="754">
        <f t="shared" si="12"/>
        <v>100</v>
      </c>
      <c r="X34" s="1900"/>
      <c r="Y34" s="3037"/>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7"/>
      <c r="Q35" s="1899">
        <f t="shared" si="8"/>
        <v>111</v>
      </c>
      <c r="R35" s="753" t="s">
        <v>25</v>
      </c>
      <c r="S35" s="754">
        <f t="shared" si="10"/>
        <v>100</v>
      </c>
      <c r="T35" s="753" t="s">
        <v>25</v>
      </c>
      <c r="U35" s="754">
        <f t="shared" si="11"/>
        <v>100</v>
      </c>
      <c r="V35" s="753" t="s">
        <v>25</v>
      </c>
      <c r="W35" s="754">
        <f t="shared" si="12"/>
        <v>100</v>
      </c>
      <c r="X35" s="1900"/>
      <c r="Y35" s="3037"/>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4" t="s">
        <v>2371</v>
      </c>
      <c r="Q36" s="1899">
        <f t="shared" si="8"/>
        <v>111</v>
      </c>
      <c r="R36" s="753" t="s">
        <v>25</v>
      </c>
      <c r="S36" s="754">
        <f t="shared" si="10"/>
        <v>100</v>
      </c>
      <c r="T36" s="753" t="s">
        <v>25</v>
      </c>
      <c r="U36" s="754">
        <f t="shared" si="11"/>
        <v>100</v>
      </c>
      <c r="V36" s="753" t="s">
        <v>25</v>
      </c>
      <c r="W36" s="754">
        <f t="shared" si="12"/>
        <v>100</v>
      </c>
      <c r="X36" s="1900"/>
      <c r="Y36" s="3041"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1"/>
      <c r="Q37" s="1899">
        <f t="shared" si="8"/>
        <v>111</v>
      </c>
      <c r="R37" s="756" t="s">
        <v>25</v>
      </c>
      <c r="S37" s="757">
        <f t="shared" si="10"/>
        <v>100</v>
      </c>
      <c r="T37" s="756" t="s">
        <v>25</v>
      </c>
      <c r="U37" s="757">
        <f t="shared" si="11"/>
        <v>100</v>
      </c>
      <c r="V37" s="756" t="s">
        <v>25</v>
      </c>
      <c r="W37" s="757">
        <f t="shared" si="12"/>
        <v>100</v>
      </c>
      <c r="X37" s="758"/>
      <c r="Y37" s="3041"/>
      <c r="Z37" s="759">
        <f t="shared" si="13"/>
        <v>111</v>
      </c>
      <c r="AA37" s="1903">
        <f t="shared" si="3"/>
        <v>1</v>
      </c>
      <c r="AB37" s="1903">
        <f t="shared" si="4"/>
        <v>1</v>
      </c>
      <c r="AC37" s="1903">
        <f t="shared" si="5"/>
        <v>1</v>
      </c>
    </row>
    <row r="38" spans="1:29" ht="15">
      <c r="A38" s="380" t="s">
        <v>2369</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1"/>
      <c r="Q38" s="1899" t="str">
        <f>B38</f>
        <v>宗地面积</v>
      </c>
      <c r="R38" s="753" t="s">
        <v>25</v>
      </c>
      <c r="S38" s="754" t="e">
        <f t="shared" si="10"/>
        <v>#N/A</v>
      </c>
      <c r="T38" s="753" t="s">
        <v>25</v>
      </c>
      <c r="U38" s="754" t="e">
        <f t="shared" si="11"/>
        <v>#N/A</v>
      </c>
      <c r="V38" s="753" t="s">
        <v>25</v>
      </c>
      <c r="W38" s="754" t="e">
        <f t="shared" si="12"/>
        <v>#N/A</v>
      </c>
      <c r="X38" s="1900"/>
      <c r="Y38" s="3041"/>
      <c r="Z38" s="1902" t="str">
        <f t="shared" si="13"/>
        <v>宗地面积</v>
      </c>
      <c r="AA38" s="1903" t="e">
        <f t="shared" si="3"/>
        <v>#N/A</v>
      </c>
      <c r="AB38" s="1903" t="e">
        <f t="shared" si="4"/>
        <v>#N/A</v>
      </c>
      <c r="AC38" s="1903" t="e">
        <f t="shared" si="5"/>
        <v>#N/A</v>
      </c>
    </row>
    <row r="39" spans="1:29" ht="15">
      <c r="A39" s="453"/>
      <c r="B39" s="402" t="s">
        <v>2551</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41"/>
      <c r="Q39" s="1899" t="str">
        <f t="shared" ref="Q39:Q45" si="14">B39</f>
        <v>宗地形状</v>
      </c>
      <c r="R39" s="753" t="s">
        <v>25</v>
      </c>
      <c r="S39" s="754">
        <f t="shared" si="10"/>
        <v>100</v>
      </c>
      <c r="T39" s="753" t="s">
        <v>25</v>
      </c>
      <c r="U39" s="754">
        <f t="shared" si="11"/>
        <v>100</v>
      </c>
      <c r="V39" s="753" t="s">
        <v>25</v>
      </c>
      <c r="W39" s="754">
        <f t="shared" si="12"/>
        <v>100</v>
      </c>
      <c r="X39" s="1900"/>
      <c r="Y39" s="3041"/>
      <c r="Z39" s="1902" t="str">
        <f t="shared" si="13"/>
        <v>宗地形状</v>
      </c>
      <c r="AA39" s="1903">
        <f t="shared" si="3"/>
        <v>1</v>
      </c>
      <c r="AB39" s="1903">
        <f t="shared" si="4"/>
        <v>1</v>
      </c>
      <c r="AC39" s="1903">
        <f t="shared" si="5"/>
        <v>1</v>
      </c>
    </row>
    <row r="40" spans="1:29" ht="15">
      <c r="A40" s="453"/>
      <c r="B40" s="402" t="s">
        <v>2552</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41"/>
      <c r="Q40" s="1899" t="str">
        <f t="shared" si="14"/>
        <v>临街宽度及深度</v>
      </c>
      <c r="R40" s="753" t="s">
        <v>25</v>
      </c>
      <c r="S40" s="754">
        <f t="shared" si="10"/>
        <v>100</v>
      </c>
      <c r="T40" s="753" t="s">
        <v>25</v>
      </c>
      <c r="U40" s="754">
        <f t="shared" si="11"/>
        <v>100</v>
      </c>
      <c r="V40" s="753" t="s">
        <v>25</v>
      </c>
      <c r="W40" s="754">
        <f t="shared" si="12"/>
        <v>100</v>
      </c>
      <c r="X40" s="1900"/>
      <c r="Y40" s="3041"/>
      <c r="Z40" s="1902" t="str">
        <f t="shared" si="13"/>
        <v>临街宽度及深度</v>
      </c>
      <c r="AA40" s="1903">
        <f t="shared" si="3"/>
        <v>1</v>
      </c>
      <c r="AB40" s="1903">
        <f t="shared" si="4"/>
        <v>1</v>
      </c>
      <c r="AC40" s="1903">
        <f t="shared" si="5"/>
        <v>1</v>
      </c>
    </row>
    <row r="41" spans="1:29" s="35" customFormat="1" ht="15">
      <c r="A41" s="454"/>
      <c r="B41" s="402" t="s">
        <v>2553</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1"/>
      <c r="Q41" s="1899" t="str">
        <f t="shared" si="14"/>
        <v>宗地开发程度</v>
      </c>
      <c r="R41" s="749" t="s">
        <v>25</v>
      </c>
      <c r="S41" s="750">
        <f t="shared" si="10"/>
        <v>100</v>
      </c>
      <c r="T41" s="749" t="s">
        <v>25</v>
      </c>
      <c r="U41" s="750">
        <f t="shared" si="11"/>
        <v>100</v>
      </c>
      <c r="V41" s="749" t="s">
        <v>25</v>
      </c>
      <c r="W41" s="750">
        <f t="shared" si="12"/>
        <v>100</v>
      </c>
      <c r="X41" s="751"/>
      <c r="Y41" s="3041"/>
      <c r="Z41" s="23" t="str">
        <f t="shared" si="13"/>
        <v>宗地开发程度</v>
      </c>
      <c r="AA41" s="752">
        <f t="shared" si="3"/>
        <v>1</v>
      </c>
      <c r="AB41" s="752">
        <f t="shared" si="4"/>
        <v>1</v>
      </c>
      <c r="AC41" s="752">
        <f t="shared" si="5"/>
        <v>1</v>
      </c>
    </row>
    <row r="42" spans="1:29" ht="15">
      <c r="A42" s="453"/>
      <c r="B42" s="402" t="s">
        <v>2554</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41" t="s">
        <v>2371</v>
      </c>
      <c r="Q42" s="1899" t="str">
        <f t="shared" si="14"/>
        <v>工程地质条件</v>
      </c>
      <c r="R42" s="753" t="s">
        <v>25</v>
      </c>
      <c r="S42" s="754">
        <f t="shared" si="10"/>
        <v>100</v>
      </c>
      <c r="T42" s="753" t="s">
        <v>25</v>
      </c>
      <c r="U42" s="754">
        <f t="shared" si="11"/>
        <v>100</v>
      </c>
      <c r="V42" s="753" t="s">
        <v>25</v>
      </c>
      <c r="W42" s="754">
        <f t="shared" si="12"/>
        <v>100</v>
      </c>
      <c r="X42" s="1900"/>
      <c r="Y42" s="3041" t="s">
        <v>2371</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1"/>
      <c r="Q43" s="1899">
        <f t="shared" si="14"/>
        <v>111</v>
      </c>
      <c r="R43" s="753" t="s">
        <v>25</v>
      </c>
      <c r="S43" s="754">
        <f t="shared" si="10"/>
        <v>100</v>
      </c>
      <c r="T43" s="753" t="s">
        <v>25</v>
      </c>
      <c r="U43" s="754">
        <f t="shared" si="11"/>
        <v>100</v>
      </c>
      <c r="V43" s="753" t="s">
        <v>25</v>
      </c>
      <c r="W43" s="754">
        <f t="shared" si="12"/>
        <v>100</v>
      </c>
      <c r="X43" s="1900"/>
      <c r="Y43" s="3041"/>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1"/>
      <c r="Q44" s="1899">
        <f t="shared" si="14"/>
        <v>111</v>
      </c>
      <c r="R44" s="753" t="s">
        <v>25</v>
      </c>
      <c r="S44" s="754">
        <f t="shared" si="10"/>
        <v>100</v>
      </c>
      <c r="T44" s="753" t="s">
        <v>25</v>
      </c>
      <c r="U44" s="754">
        <f t="shared" si="11"/>
        <v>100</v>
      </c>
      <c r="V44" s="753" t="s">
        <v>25</v>
      </c>
      <c r="W44" s="754">
        <f t="shared" si="12"/>
        <v>100</v>
      </c>
      <c r="X44" s="1900"/>
      <c r="Y44" s="3041"/>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1"/>
      <c r="Q45" s="1899">
        <f t="shared" si="14"/>
        <v>111</v>
      </c>
      <c r="R45" s="756" t="s">
        <v>25</v>
      </c>
      <c r="S45" s="757">
        <f t="shared" si="10"/>
        <v>100</v>
      </c>
      <c r="T45" s="756" t="s">
        <v>25</v>
      </c>
      <c r="U45" s="757">
        <f t="shared" si="11"/>
        <v>100</v>
      </c>
      <c r="V45" s="756" t="s">
        <v>25</v>
      </c>
      <c r="W45" s="757">
        <f t="shared" si="12"/>
        <v>100</v>
      </c>
      <c r="X45" s="758"/>
      <c r="Y45" s="3041"/>
      <c r="Z45" s="759">
        <f t="shared" si="13"/>
        <v>111</v>
      </c>
      <c r="AA45" s="1903">
        <f t="shared" si="3"/>
        <v>1</v>
      </c>
      <c r="AB45" s="1903">
        <f t="shared" si="4"/>
        <v>1</v>
      </c>
      <c r="AC45" s="1903">
        <f t="shared" si="5"/>
        <v>1</v>
      </c>
    </row>
    <row r="46" spans="1:29" ht="15">
      <c r="A46" s="460" t="s">
        <v>2518</v>
      </c>
      <c r="B46" s="2491" t="s">
        <v>2555</v>
      </c>
      <c r="C46" s="665" t="s">
        <v>1</v>
      </c>
      <c r="D46" s="462"/>
      <c r="E46" s="463"/>
      <c r="F46" s="464"/>
      <c r="G46" s="465"/>
      <c r="H46" s="466"/>
      <c r="I46" s="463"/>
      <c r="J46" s="466"/>
      <c r="K46" s="762"/>
      <c r="L46" s="1256"/>
      <c r="M46" s="1257"/>
      <c r="N46" s="1244"/>
      <c r="O46" s="1257"/>
      <c r="P46" s="3033" t="str">
        <f>A46</f>
        <v>成交单价</v>
      </c>
      <c r="Q46" s="3033"/>
      <c r="R46" s="3070">
        <f>E46</f>
        <v>0</v>
      </c>
      <c r="S46" s="3070"/>
      <c r="T46" s="3070">
        <f>G46</f>
        <v>0</v>
      </c>
      <c r="U46" s="3070"/>
      <c r="V46" s="3070">
        <f>I46</f>
        <v>0</v>
      </c>
      <c r="W46" s="3070"/>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33" t="str">
        <f>A47</f>
        <v>比较价值（元/平方米）</v>
      </c>
      <c r="Q47" s="3033"/>
      <c r="R47" s="3085" t="e">
        <f>ROUND(PRODUCT(R46,AA7:AA45),0)</f>
        <v>#DIV/0!</v>
      </c>
      <c r="S47" s="3085"/>
      <c r="T47" s="3085" t="e">
        <f>ROUND(PRODUCT(T46,AB7:AB45),0)</f>
        <v>#DIV/0!</v>
      </c>
      <c r="U47" s="3085"/>
      <c r="V47" s="3085" t="e">
        <f>ROUND(PRODUCT(V46,AC7:AC45),0)</f>
        <v>#DIV/0!</v>
      </c>
      <c r="W47" s="3085"/>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30" t="str">
        <f>A48</f>
        <v>估价对象XX用房的比较价值（楼面单价，元/平方米）</v>
      </c>
      <c r="Q48" s="3031"/>
      <c r="R48" s="3086" t="e">
        <f>ROUND(AVERAGE(R47:V47),0)</f>
        <v>#DIV/0!</v>
      </c>
      <c r="S48" s="3086"/>
      <c r="T48" s="3086"/>
      <c r="U48" s="3086"/>
      <c r="V48" s="3086"/>
      <c r="W48" s="308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朝阳区白家庄路一号院1号楼5层C单元C-601、602</v>
      </c>
      <c r="I55" s="2494"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2567</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2568</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2569</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2570</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2571</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2572</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2573</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2018-6-1</v>
      </c>
      <c r="D68" s="1670">
        <f>EDATE(C68,-3)</f>
        <v>43160</v>
      </c>
      <c r="E68" s="1670">
        <f t="shared" ref="E68:O68" si="18">EDATE(D68,-3)</f>
        <v>43070</v>
      </c>
      <c r="F68" s="1670">
        <f t="shared" si="18"/>
        <v>42979</v>
      </c>
      <c r="G68" s="1670">
        <f t="shared" si="18"/>
        <v>42887</v>
      </c>
      <c r="H68" s="1670">
        <f t="shared" si="18"/>
        <v>42795</v>
      </c>
      <c r="I68" s="1670">
        <f t="shared" si="18"/>
        <v>42705</v>
      </c>
      <c r="J68" s="1670">
        <f t="shared" si="18"/>
        <v>42614</v>
      </c>
      <c r="K68" s="1670">
        <f t="shared" si="18"/>
        <v>42522</v>
      </c>
      <c r="L68" s="1670">
        <f t="shared" si="18"/>
        <v>42430</v>
      </c>
      <c r="M68" s="1670">
        <f t="shared" si="18"/>
        <v>42339</v>
      </c>
      <c r="N68" s="1670">
        <f t="shared" si="18"/>
        <v>42248</v>
      </c>
      <c r="O68" s="1670">
        <f t="shared" si="18"/>
        <v>42156</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6" t="s">
        <v>2576</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6"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4" t="s">
        <v>2351</v>
      </c>
      <c r="F6" s="3075"/>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43277</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133</v>
      </c>
      <c r="G10" s="412"/>
      <c r="H10" s="52">
        <f>ROUND(100/'数据-取费表'!B14,0)</f>
        <v>133</v>
      </c>
      <c r="I10" s="412"/>
      <c r="J10" s="52">
        <f>ROUND(100/'数据-取费表'!B14,0)</f>
        <v>133</v>
      </c>
      <c r="K10" s="655"/>
      <c r="L10" s="1248"/>
      <c r="M10" s="1249"/>
      <c r="N10" s="1249"/>
      <c r="O10" s="1250"/>
      <c r="P10" s="3033"/>
      <c r="Q10" s="1887" t="str">
        <f t="shared" si="6"/>
        <v>土地使用年限（年）</v>
      </c>
      <c r="R10" s="749" t="s">
        <v>25</v>
      </c>
      <c r="S10" s="750">
        <f t="shared" si="0"/>
        <v>133</v>
      </c>
      <c r="T10" s="749" t="s">
        <v>25</v>
      </c>
      <c r="U10" s="750">
        <f t="shared" si="1"/>
        <v>133</v>
      </c>
      <c r="V10" s="749" t="s">
        <v>25</v>
      </c>
      <c r="W10" s="750">
        <f t="shared" si="2"/>
        <v>133</v>
      </c>
      <c r="X10" s="751"/>
      <c r="Y10" s="2859"/>
      <c r="Z10" s="23" t="str">
        <f t="shared" si="7"/>
        <v>土地使用年限（年）</v>
      </c>
      <c r="AA10" s="752">
        <f t="shared" si="3"/>
        <v>0.75187969924812026</v>
      </c>
      <c r="AB10" s="752">
        <f t="shared" si="4"/>
        <v>0.75187969924812026</v>
      </c>
      <c r="AC10" s="752">
        <f t="shared" si="5"/>
        <v>0.75187969924812026</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6" t="s">
        <v>2365</v>
      </c>
      <c r="Q15" s="1899" t="str">
        <f t="shared" si="6"/>
        <v>产业集聚程度</v>
      </c>
      <c r="R15" s="753" t="s">
        <v>25</v>
      </c>
      <c r="S15" s="754">
        <f t="shared" si="0"/>
        <v>100</v>
      </c>
      <c r="T15" s="753" t="s">
        <v>25</v>
      </c>
      <c r="U15" s="754">
        <f t="shared" si="1"/>
        <v>100</v>
      </c>
      <c r="V15" s="753" t="s">
        <v>25</v>
      </c>
      <c r="W15" s="754">
        <f t="shared" si="2"/>
        <v>100</v>
      </c>
      <c r="X15" s="1900"/>
      <c r="Y15" s="3036"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615" t="s">
        <v>2507</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15">
      <c r="A19" s="408"/>
      <c r="B19" s="615" t="s">
        <v>2547</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7"/>
      <c r="Q19" s="1899" t="str">
        <f t="shared" ref="Q19:Q33" si="8">B19</f>
        <v>区域土地利用方向</v>
      </c>
      <c r="R19" s="753" t="s">
        <v>25</v>
      </c>
      <c r="S19" s="754">
        <f>F19</f>
        <v>100</v>
      </c>
      <c r="T19" s="753" t="s">
        <v>25</v>
      </c>
      <c r="U19" s="754">
        <f>H19</f>
        <v>100</v>
      </c>
      <c r="V19" s="753" t="s">
        <v>25</v>
      </c>
      <c r="W19" s="754">
        <f>J19</f>
        <v>100</v>
      </c>
      <c r="X19" s="1900"/>
      <c r="Y19" s="3037"/>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7"/>
      <c r="Q20" s="1899"/>
      <c r="R20" s="753"/>
      <c r="S20" s="754"/>
      <c r="T20" s="753"/>
      <c r="U20" s="754"/>
      <c r="V20" s="753"/>
      <c r="W20" s="754"/>
      <c r="X20" s="1900"/>
      <c r="Y20" s="3037"/>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7"/>
      <c r="Q21" s="1899" t="str">
        <f t="shared" si="8"/>
        <v>环境状况</v>
      </c>
      <c r="R21" s="753" t="s">
        <v>25</v>
      </c>
      <c r="S21" s="754">
        <f>F21</f>
        <v>100</v>
      </c>
      <c r="T21" s="753" t="s">
        <v>25</v>
      </c>
      <c r="U21" s="754">
        <f>H21</f>
        <v>100</v>
      </c>
      <c r="V21" s="753" t="s">
        <v>25</v>
      </c>
      <c r="W21" s="754">
        <f>J21</f>
        <v>100</v>
      </c>
      <c r="X21" s="1900"/>
      <c r="Y21" s="3037"/>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s="35" customFormat="1" ht="42.75">
      <c r="A23" s="633"/>
      <c r="B23" s="615" t="s">
        <v>2450</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7"/>
      <c r="Q23" s="1887" t="str">
        <f t="shared" si="8"/>
        <v>公共配套设施</v>
      </c>
      <c r="R23" s="749" t="s">
        <v>25</v>
      </c>
      <c r="S23" s="750">
        <f>F23</f>
        <v>100</v>
      </c>
      <c r="T23" s="749" t="s">
        <v>25</v>
      </c>
      <c r="U23" s="750">
        <f>H23</f>
        <v>100</v>
      </c>
      <c r="V23" s="749" t="s">
        <v>25</v>
      </c>
      <c r="W23" s="750">
        <f>J23</f>
        <v>100</v>
      </c>
      <c r="X23" s="751"/>
      <c r="Y23" s="3037"/>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37"/>
      <c r="Q24" s="1887"/>
      <c r="R24" s="749"/>
      <c r="S24" s="750"/>
      <c r="T24" s="749"/>
      <c r="U24" s="750"/>
      <c r="V24" s="749"/>
      <c r="W24" s="750"/>
      <c r="X24" s="751"/>
      <c r="Y24" s="3037"/>
      <c r="Z24" s="23"/>
      <c r="AA24" s="752">
        <v>1</v>
      </c>
      <c r="AB24" s="752">
        <v>1</v>
      </c>
      <c r="AC24" s="752">
        <v>1</v>
      </c>
    </row>
    <row r="25" spans="1:29" s="35" customFormat="1" ht="28.5">
      <c r="A25" s="633"/>
      <c r="B25" s="617" t="s">
        <v>2451</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7"/>
      <c r="Q25" s="1887" t="str">
        <f t="shared" ref="Q25" si="9">B25</f>
        <v>基础设施水平</v>
      </c>
      <c r="R25" s="749" t="s">
        <v>25</v>
      </c>
      <c r="S25" s="750">
        <f>F25</f>
        <v>100</v>
      </c>
      <c r="T25" s="749" t="s">
        <v>25</v>
      </c>
      <c r="U25" s="750">
        <f>H25</f>
        <v>100</v>
      </c>
      <c r="V25" s="749" t="s">
        <v>25</v>
      </c>
      <c r="W25" s="750">
        <f>J25</f>
        <v>100</v>
      </c>
      <c r="X25" s="751"/>
      <c r="Y25" s="3037"/>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37"/>
      <c r="Q26" s="1887"/>
      <c r="R26" s="749"/>
      <c r="S26" s="750"/>
      <c r="T26" s="749"/>
      <c r="U26" s="750"/>
      <c r="V26" s="749"/>
      <c r="W26" s="750"/>
      <c r="X26" s="751"/>
      <c r="Y26" s="3037"/>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7"/>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7"/>
      <c r="Z27" s="1902" t="str">
        <f t="shared" ref="Z27:Z40" si="13">Q27</f>
        <v>临街状况</v>
      </c>
      <c r="AA27" s="1903">
        <f t="shared" si="3"/>
        <v>1</v>
      </c>
      <c r="AB27" s="1903">
        <f t="shared" si="4"/>
        <v>1</v>
      </c>
      <c r="AC27" s="1903">
        <f t="shared" si="5"/>
        <v>1</v>
      </c>
    </row>
    <row r="28" spans="1:29" ht="27">
      <c r="A28" s="408"/>
      <c r="B28" s="617" t="s">
        <v>2482</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7"/>
      <c r="Q28" s="1899" t="str">
        <f t="shared" si="8"/>
        <v>毗邻道路的类型与等级</v>
      </c>
      <c r="R28" s="753" t="s">
        <v>25</v>
      </c>
      <c r="S28" s="754">
        <f t="shared" si="10"/>
        <v>100</v>
      </c>
      <c r="T28" s="753" t="s">
        <v>25</v>
      </c>
      <c r="U28" s="754">
        <f t="shared" si="11"/>
        <v>100</v>
      </c>
      <c r="V28" s="753" t="s">
        <v>25</v>
      </c>
      <c r="W28" s="754">
        <f t="shared" si="12"/>
        <v>100</v>
      </c>
      <c r="X28" s="1900"/>
      <c r="Y28" s="3037"/>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7"/>
      <c r="Q29" s="1899"/>
      <c r="R29" s="753"/>
      <c r="S29" s="754"/>
      <c r="T29" s="753"/>
      <c r="U29" s="754"/>
      <c r="V29" s="753"/>
      <c r="W29" s="754"/>
      <c r="X29" s="1900"/>
      <c r="Y29" s="3037"/>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7"/>
      <c r="Q30" s="1899" t="str">
        <f t="shared" si="8"/>
        <v>土地级别</v>
      </c>
      <c r="R30" s="753" t="s">
        <v>25</v>
      </c>
      <c r="S30" s="754">
        <f t="shared" si="10"/>
        <v>100</v>
      </c>
      <c r="T30" s="753" t="s">
        <v>25</v>
      </c>
      <c r="U30" s="754">
        <f t="shared" si="11"/>
        <v>100</v>
      </c>
      <c r="V30" s="753" t="s">
        <v>25</v>
      </c>
      <c r="W30" s="754">
        <f t="shared" si="12"/>
        <v>100</v>
      </c>
      <c r="X30" s="1900"/>
      <c r="Y30" s="3037"/>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7"/>
      <c r="Q31" s="1899">
        <f t="shared" si="8"/>
        <v>111</v>
      </c>
      <c r="R31" s="753" t="s">
        <v>25</v>
      </c>
      <c r="S31" s="754">
        <f t="shared" si="10"/>
        <v>100</v>
      </c>
      <c r="T31" s="753" t="s">
        <v>25</v>
      </c>
      <c r="U31" s="754">
        <f t="shared" si="11"/>
        <v>100</v>
      </c>
      <c r="V31" s="753" t="s">
        <v>25</v>
      </c>
      <c r="W31" s="754">
        <f t="shared" si="12"/>
        <v>100</v>
      </c>
      <c r="X31" s="1900"/>
      <c r="Y31" s="3037"/>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4" t="s">
        <v>2371</v>
      </c>
      <c r="Q32" s="1899">
        <f t="shared" si="8"/>
        <v>111</v>
      </c>
      <c r="R32" s="753" t="s">
        <v>25</v>
      </c>
      <c r="S32" s="754">
        <f t="shared" si="10"/>
        <v>100</v>
      </c>
      <c r="T32" s="753" t="s">
        <v>25</v>
      </c>
      <c r="U32" s="754">
        <f t="shared" si="11"/>
        <v>100</v>
      </c>
      <c r="V32" s="753" t="s">
        <v>25</v>
      </c>
      <c r="W32" s="754">
        <f t="shared" si="12"/>
        <v>100</v>
      </c>
      <c r="X32" s="1900"/>
      <c r="Y32" s="3041"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1"/>
      <c r="Q33" s="1899">
        <f t="shared" si="8"/>
        <v>111</v>
      </c>
      <c r="R33" s="756" t="s">
        <v>25</v>
      </c>
      <c r="S33" s="757">
        <f t="shared" si="10"/>
        <v>100</v>
      </c>
      <c r="T33" s="756" t="s">
        <v>25</v>
      </c>
      <c r="U33" s="757">
        <f t="shared" si="11"/>
        <v>100</v>
      </c>
      <c r="V33" s="756" t="s">
        <v>25</v>
      </c>
      <c r="W33" s="757">
        <f t="shared" si="12"/>
        <v>100</v>
      </c>
      <c r="X33" s="758"/>
      <c r="Y33" s="3041"/>
      <c r="Z33" s="759">
        <f t="shared" si="13"/>
        <v>111</v>
      </c>
      <c r="AA33" s="1903">
        <f t="shared" si="3"/>
        <v>1</v>
      </c>
      <c r="AB33" s="1903">
        <f t="shared" si="4"/>
        <v>1</v>
      </c>
      <c r="AC33" s="1903">
        <f t="shared" si="5"/>
        <v>1</v>
      </c>
    </row>
    <row r="34" spans="1:29" ht="15">
      <c r="A34" s="453" t="s">
        <v>2369</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1"/>
      <c r="Q34" s="1899" t="str">
        <f>B34</f>
        <v>宗地面积</v>
      </c>
      <c r="R34" s="753" t="s">
        <v>25</v>
      </c>
      <c r="S34" s="754" t="e">
        <f t="shared" si="10"/>
        <v>#N/A</v>
      </c>
      <c r="T34" s="753" t="s">
        <v>25</v>
      </c>
      <c r="U34" s="754" t="e">
        <f t="shared" si="11"/>
        <v>#N/A</v>
      </c>
      <c r="V34" s="753" t="s">
        <v>25</v>
      </c>
      <c r="W34" s="754" t="e">
        <f t="shared" si="12"/>
        <v>#N/A</v>
      </c>
      <c r="X34" s="1900"/>
      <c r="Y34" s="3041"/>
      <c r="Z34" s="1902" t="str">
        <f t="shared" si="13"/>
        <v>宗地面积</v>
      </c>
      <c r="AA34" s="1903" t="e">
        <f t="shared" si="3"/>
        <v>#N/A</v>
      </c>
      <c r="AB34" s="1903" t="e">
        <f t="shared" si="4"/>
        <v>#N/A</v>
      </c>
      <c r="AC34" s="1903" t="e">
        <f t="shared" si="5"/>
        <v>#N/A</v>
      </c>
    </row>
    <row r="35" spans="1:29" ht="15">
      <c r="A35" s="453"/>
      <c r="B35" s="402" t="s">
        <v>2551</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41"/>
      <c r="Q35" s="1899" t="str">
        <f t="shared" ref="Q35:Q40" si="14">B35</f>
        <v>宗地形状</v>
      </c>
      <c r="R35" s="753" t="s">
        <v>25</v>
      </c>
      <c r="S35" s="754">
        <f t="shared" si="10"/>
        <v>100</v>
      </c>
      <c r="T35" s="753" t="s">
        <v>25</v>
      </c>
      <c r="U35" s="754">
        <f t="shared" si="11"/>
        <v>100</v>
      </c>
      <c r="V35" s="753" t="s">
        <v>25</v>
      </c>
      <c r="W35" s="754">
        <f t="shared" si="12"/>
        <v>100</v>
      </c>
      <c r="X35" s="1900"/>
      <c r="Y35" s="3041"/>
      <c r="Z35" s="1902" t="str">
        <f t="shared" si="13"/>
        <v>宗地形状</v>
      </c>
      <c r="AA35" s="1903">
        <f t="shared" si="3"/>
        <v>1</v>
      </c>
      <c r="AB35" s="1903">
        <f t="shared" si="4"/>
        <v>1</v>
      </c>
      <c r="AC35" s="1903">
        <f t="shared" si="5"/>
        <v>1</v>
      </c>
    </row>
    <row r="36" spans="1:29" s="35" customFormat="1" ht="15">
      <c r="A36" s="454"/>
      <c r="B36" s="402" t="s">
        <v>2553</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1"/>
      <c r="Q36" s="1899" t="str">
        <f t="shared" si="14"/>
        <v>宗地开发程度</v>
      </c>
      <c r="R36" s="749" t="s">
        <v>25</v>
      </c>
      <c r="S36" s="750">
        <f t="shared" si="10"/>
        <v>100</v>
      </c>
      <c r="T36" s="749" t="s">
        <v>25</v>
      </c>
      <c r="U36" s="750">
        <f t="shared" si="11"/>
        <v>100</v>
      </c>
      <c r="V36" s="749" t="s">
        <v>25</v>
      </c>
      <c r="W36" s="750">
        <f t="shared" si="12"/>
        <v>100</v>
      </c>
      <c r="X36" s="751"/>
      <c r="Y36" s="3041"/>
      <c r="Z36" s="23" t="str">
        <f t="shared" si="13"/>
        <v>宗地开发程度</v>
      </c>
      <c r="AA36" s="752">
        <f t="shared" si="3"/>
        <v>1</v>
      </c>
      <c r="AB36" s="752">
        <f t="shared" si="4"/>
        <v>1</v>
      </c>
      <c r="AC36" s="752">
        <f t="shared" si="5"/>
        <v>1</v>
      </c>
    </row>
    <row r="37" spans="1:29" ht="15">
      <c r="A37" s="453"/>
      <c r="B37" s="402" t="s">
        <v>2554</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41" t="s">
        <v>2371</v>
      </c>
      <c r="Q37" s="1899" t="str">
        <f t="shared" si="14"/>
        <v>工程地质条件</v>
      </c>
      <c r="R37" s="753" t="s">
        <v>25</v>
      </c>
      <c r="S37" s="754">
        <f t="shared" si="10"/>
        <v>100</v>
      </c>
      <c r="T37" s="753" t="s">
        <v>25</v>
      </c>
      <c r="U37" s="754">
        <f t="shared" si="11"/>
        <v>100</v>
      </c>
      <c r="V37" s="753" t="s">
        <v>25</v>
      </c>
      <c r="W37" s="754">
        <f t="shared" si="12"/>
        <v>100</v>
      </c>
      <c r="X37" s="1900"/>
      <c r="Y37" s="3041"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1"/>
      <c r="Q38" s="1899">
        <f t="shared" si="14"/>
        <v>111</v>
      </c>
      <c r="R38" s="753" t="s">
        <v>25</v>
      </c>
      <c r="S38" s="754">
        <f t="shared" si="10"/>
        <v>100</v>
      </c>
      <c r="T38" s="753" t="s">
        <v>25</v>
      </c>
      <c r="U38" s="754">
        <f t="shared" si="11"/>
        <v>100</v>
      </c>
      <c r="V38" s="753" t="s">
        <v>25</v>
      </c>
      <c r="W38" s="754">
        <f t="shared" si="12"/>
        <v>100</v>
      </c>
      <c r="X38" s="1900"/>
      <c r="Y38" s="3041"/>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1"/>
      <c r="Q39" s="1899">
        <f t="shared" si="14"/>
        <v>111</v>
      </c>
      <c r="R39" s="753" t="s">
        <v>25</v>
      </c>
      <c r="S39" s="754">
        <f t="shared" si="10"/>
        <v>100</v>
      </c>
      <c r="T39" s="753" t="s">
        <v>25</v>
      </c>
      <c r="U39" s="754">
        <f t="shared" si="11"/>
        <v>100</v>
      </c>
      <c r="V39" s="753" t="s">
        <v>25</v>
      </c>
      <c r="W39" s="754">
        <f t="shared" si="12"/>
        <v>100</v>
      </c>
      <c r="X39" s="1900"/>
      <c r="Y39" s="3041"/>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1"/>
      <c r="Q40" s="1899">
        <f t="shared" si="14"/>
        <v>111</v>
      </c>
      <c r="R40" s="756" t="s">
        <v>25</v>
      </c>
      <c r="S40" s="757">
        <f t="shared" si="10"/>
        <v>100</v>
      </c>
      <c r="T40" s="756" t="s">
        <v>25</v>
      </c>
      <c r="U40" s="757">
        <f t="shared" si="11"/>
        <v>100</v>
      </c>
      <c r="V40" s="756" t="s">
        <v>25</v>
      </c>
      <c r="W40" s="757">
        <f t="shared" si="12"/>
        <v>100</v>
      </c>
      <c r="X40" s="758"/>
      <c r="Y40" s="3041"/>
      <c r="Z40" s="759">
        <f t="shared" si="13"/>
        <v>111</v>
      </c>
      <c r="AA40" s="1903">
        <f t="shared" si="3"/>
        <v>1</v>
      </c>
      <c r="AB40" s="1903">
        <f t="shared" si="4"/>
        <v>1</v>
      </c>
      <c r="AC40" s="1903">
        <f t="shared" si="5"/>
        <v>1</v>
      </c>
    </row>
    <row r="41" spans="1:29" ht="15">
      <c r="A41" s="460" t="s">
        <v>2518</v>
      </c>
      <c r="B41" s="2491" t="s">
        <v>2593</v>
      </c>
      <c r="C41" s="665" t="s">
        <v>1</v>
      </c>
      <c r="D41" s="462"/>
      <c r="E41" s="463"/>
      <c r="F41" s="464"/>
      <c r="G41" s="465"/>
      <c r="H41" s="466"/>
      <c r="I41" s="463"/>
      <c r="J41" s="466"/>
      <c r="K41" s="762"/>
      <c r="L41" s="1256"/>
      <c r="M41" s="1244"/>
      <c r="N41" s="1244"/>
      <c r="O41" s="1257"/>
      <c r="P41" s="3033" t="str">
        <f>A41</f>
        <v>成交单价</v>
      </c>
      <c r="Q41" s="3033"/>
      <c r="R41" s="3070">
        <f>E41</f>
        <v>0</v>
      </c>
      <c r="S41" s="3070"/>
      <c r="T41" s="3070">
        <f>G41</f>
        <v>0</v>
      </c>
      <c r="U41" s="3070"/>
      <c r="V41" s="3070">
        <f>I41</f>
        <v>0</v>
      </c>
      <c r="W41" s="3070"/>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33" t="str">
        <f>A42</f>
        <v>比较价值（元/平方米）</v>
      </c>
      <c r="Q42" s="3033"/>
      <c r="R42" s="3085" t="e">
        <f>ROUND(PRODUCT(R41,AA7:AA40),0)</f>
        <v>#DIV/0!</v>
      </c>
      <c r="S42" s="3085"/>
      <c r="T42" s="3085" t="e">
        <f>ROUND(PRODUCT(T41,AB7:AB40),0)</f>
        <v>#DIV/0!</v>
      </c>
      <c r="U42" s="3085"/>
      <c r="V42" s="3085" t="e">
        <f>ROUND(PRODUCT(V41,AC7:AC40),0)</f>
        <v>#DIV/0!</v>
      </c>
      <c r="W42" s="3085"/>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30" t="str">
        <f>A43</f>
        <v>估价对象XX用房的比较价值（楼面单价，元/平方米）</v>
      </c>
      <c r="Q43" s="3031"/>
      <c r="R43" s="3086" t="e">
        <f>ROUND(AVERAGE(R42:V42),0)</f>
        <v>#DIV/0!</v>
      </c>
      <c r="S43" s="3086"/>
      <c r="T43" s="3086"/>
      <c r="U43" s="3086"/>
      <c r="V43" s="3086"/>
      <c r="W43" s="308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朝阳区白家庄路一号院1号楼5层C单元C-601、602</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2567</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2568</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2569</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2570</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2571</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2572</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2573</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2018-6-1</v>
      </c>
      <c r="D63" s="1670">
        <f>EDATE(C63,-3)</f>
        <v>43160</v>
      </c>
      <c r="E63" s="1670">
        <f t="shared" ref="E63:O63" si="18">EDATE(D63,-3)</f>
        <v>43070</v>
      </c>
      <c r="F63" s="1670">
        <f t="shared" si="18"/>
        <v>42979</v>
      </c>
      <c r="G63" s="1670">
        <f t="shared" si="18"/>
        <v>42887</v>
      </c>
      <c r="H63" s="1670">
        <f t="shared" si="18"/>
        <v>42795</v>
      </c>
      <c r="I63" s="1670">
        <f t="shared" si="18"/>
        <v>42705</v>
      </c>
      <c r="J63" s="1670">
        <f t="shared" si="18"/>
        <v>42614</v>
      </c>
      <c r="K63" s="1670">
        <f t="shared" si="18"/>
        <v>42522</v>
      </c>
      <c r="L63" s="1670">
        <f t="shared" si="18"/>
        <v>42430</v>
      </c>
      <c r="M63" s="1670">
        <f t="shared" si="18"/>
        <v>42339</v>
      </c>
      <c r="N63" s="1670">
        <f t="shared" si="18"/>
        <v>42248</v>
      </c>
      <c r="O63" s="1670">
        <f t="shared" si="18"/>
        <v>42156</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1" t="s">
        <v>2595</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L21" sqref="L21"/>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t="str">
        <f>项目基本情况!F9</f>
        <v>二级</v>
      </c>
      <c r="H2" s="2511" t="s">
        <v>2608</v>
      </c>
      <c r="I2" s="2510" t="str">
        <f>项目基本情况!F10</f>
        <v>Ⅱ—16</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1.9361999999999999</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2.5</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0"/>
      <c r="B4" s="3091"/>
      <c r="C4" s="3091"/>
      <c r="D4" s="3092"/>
      <c r="E4" s="3092"/>
      <c r="F4" s="3092"/>
      <c r="G4" s="3092"/>
      <c r="H4" s="3092"/>
      <c r="I4" s="3092"/>
      <c r="J4" s="3093"/>
      <c r="L4" s="2513" t="s">
        <v>2617</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94"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t="e">
        <f t="shared" si="0"/>
        <v>#DIV/0!</v>
      </c>
      <c r="U7" s="1710"/>
      <c r="V7" s="1709" t="e">
        <f t="shared" si="1"/>
        <v>#DIV/0!</v>
      </c>
      <c r="W7" s="1905" t="s">
        <v>2627</v>
      </c>
      <c r="X7" s="1711" t="str">
        <f>G2</f>
        <v>二级</v>
      </c>
      <c r="Y7" s="1711" t="s">
        <v>2628</v>
      </c>
      <c r="Z7" s="1712">
        <f>G3</f>
        <v>2.5</v>
      </c>
      <c r="AA7" s="1713"/>
      <c r="AB7" s="1713"/>
      <c r="AC7" s="1714"/>
      <c r="AD7" s="1715"/>
      <c r="AE7" s="1715"/>
      <c r="AF7" s="1715"/>
      <c r="AG7" s="1715"/>
      <c r="AH7" s="1715"/>
      <c r="AI7" s="1715"/>
      <c r="AJ7" s="1716"/>
    </row>
    <row r="8" spans="1:36" ht="15">
      <c r="A8" s="3095"/>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7" t="s">
        <v>2632</v>
      </c>
      <c r="X8" s="3088"/>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95"/>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9"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5"/>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5"/>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9" t="s">
        <v>2656</v>
      </c>
      <c r="X11" s="1722" t="s">
        <v>2657</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4"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9"/>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89"/>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6"/>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4"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5"/>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ROUND(IF(H19="按公示增长率计算",SUMPRODUCT((地价!A3:A22=YEAR(G19)&amp;"-"&amp;ROUNDUP(MONTH(G19)/3,0))*(地价!X2:AB2=E2)*(地价!X3:AB22)),IF(H19="地价指数",M20/M19,(1+I19)^O19)),4)</f>
        <v>#DIV/0!</v>
      </c>
      <c r="D19" s="2584" t="s">
        <v>2689</v>
      </c>
      <c r="E19" s="953">
        <v>41640</v>
      </c>
      <c r="F19" s="2584" t="s">
        <v>2690</v>
      </c>
      <c r="G19" s="954">
        <f>'数据-取费表'!B2</f>
        <v>43277</v>
      </c>
      <c r="H19" s="2585" t="s">
        <v>2691</v>
      </c>
      <c r="I19" s="955" t="str">
        <f>IF(H19="季度增幅（自定义）",SUMIF(N21:N24,E2,O21:O24),"")</f>
        <v/>
      </c>
      <c r="J19" s="2581"/>
      <c r="K19" s="2582"/>
      <c r="L19" s="2586" t="s">
        <v>2692</v>
      </c>
      <c r="M19" s="1826">
        <f>ROUND(SUMIF(地价!B2:F2,E2,地价!B22:F22),0)</f>
        <v>0</v>
      </c>
      <c r="N19" s="1466" t="s">
        <v>2693</v>
      </c>
      <c r="O19" s="956">
        <f>ROUNDDOWN(DATEDIF(E19,G19,"M")/3,0)</f>
        <v>17</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36.229999999999997</v>
      </c>
      <c r="J20" s="965">
        <f>IF(E2="住宅",70,IF(E2="商业",40,50))</f>
        <v>50</v>
      </c>
      <c r="K20" s="2582"/>
      <c r="L20" s="2593" t="s">
        <v>2698</v>
      </c>
      <c r="M20" s="1827">
        <f>ROUND(SUMPRODUCT((地价!A4:A22=YEAR(G19)&amp;"-"&amp;ROUNDUP(MONTH(G19)/3,0))*(地价!B2:F2=E2)*(地价!B4:F22)),0)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2.5</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0.81620000000000004</v>
      </c>
      <c r="I22" s="1899" t="s">
        <v>104</v>
      </c>
      <c r="J22" s="967" t="str">
        <f>IF(G3&gt;10,D113,"——")</f>
        <v>——</v>
      </c>
      <c r="K22" s="2582"/>
      <c r="N22" s="2601" t="s">
        <v>2707</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0.76049999999999995</v>
      </c>
      <c r="D23" s="2562"/>
      <c r="E23" s="2562"/>
      <c r="F23" s="2604"/>
      <c r="G23" s="2605"/>
      <c r="H23" s="2606"/>
      <c r="I23" s="2607"/>
      <c r="J23" s="2608"/>
      <c r="N23" s="2601" t="s">
        <v>2709</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06" t="s">
        <v>2730</v>
      </c>
      <c r="B33" s="2648" t="s">
        <v>2731</v>
      </c>
      <c r="C33" s="123" t="e">
        <f>ROUND(D5*C19*C20*C24*F33,0)</f>
        <v>#DIV/0!</v>
      </c>
      <c r="D33" s="2633"/>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7"/>
      <c r="B34" s="2553" t="s">
        <v>2732</v>
      </c>
      <c r="C34" s="123" t="e">
        <f>ROUND(D5*C19*C20*C24*F34,0)</f>
        <v>#DIV/0!</v>
      </c>
      <c r="D34" s="2633"/>
      <c r="E34" s="117" t="e">
        <f t="shared" si="6"/>
        <v>#DIV/0!</v>
      </c>
      <c r="F34" s="117">
        <f>SUMIF(修正!A45:A56,G2,修正!C45:C56)</f>
        <v>0.5</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7"/>
      <c r="B35" s="2553" t="s">
        <v>2733</v>
      </c>
      <c r="C35" s="123" t="e">
        <f>ROUND(D5*C19*C20*C24*F35,0)</f>
        <v>#DIV/0!</v>
      </c>
      <c r="D35" s="2633"/>
      <c r="E35" s="117" t="e">
        <f t="shared" si="6"/>
        <v>#DIV/0!</v>
      </c>
      <c r="F35" s="117">
        <f>SUMIF(修正!A45:A56,G2,修正!D45:D56)</f>
        <v>0.36</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8"/>
      <c r="B36" s="2553" t="s">
        <v>2734</v>
      </c>
      <c r="C36" s="123" t="e">
        <f>ROUND(D5*C19*C20*C24*F36,0)</f>
        <v>#DIV/0!</v>
      </c>
      <c r="D36" s="2633"/>
      <c r="E36" s="117" t="e">
        <f t="shared" si="6"/>
        <v>#DIV/0!</v>
      </c>
      <c r="F36" s="117">
        <f>SUMIF(修正!A45:A56,G2,修正!E45:E56)</f>
        <v>0.3</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0.3</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0.3</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0.25</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c r="A48" s="2669" t="s">
        <v>2756</v>
      </c>
      <c r="B48" s="2672" t="str">
        <f>估价对象房地状况!C16</f>
        <v>估价对象位于XX商圈，周边商业氛围成熟，人流量大，商业繁华度好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51">
      <c r="A49" s="2669" t="s">
        <v>2757</v>
      </c>
      <c r="B49" s="2673" t="str">
        <f>估价对象房地状况!C18</f>
        <v>周边2公里内有十余条公交线路及地铁10号线（团结湖站），交通便捷度较好</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5.5">
      <c r="A52" s="2669" t="s">
        <v>2761</v>
      </c>
      <c r="B52" s="2673" t="str">
        <f>估价对象房地状况!C24</f>
        <v>城市次干道路——白家庄路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七通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39" thickBot="1">
      <c r="A56" s="2678" t="s">
        <v>2766</v>
      </c>
      <c r="B56" s="2679" t="str">
        <f>估价对象房地状况!C20</f>
        <v>有工人体育场、团结湖公园等，自然及人文环境较好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51">
      <c r="A60" s="2669" t="s">
        <v>2757</v>
      </c>
      <c r="B60" s="2673" t="str">
        <f>估价对象房地状况!C18</f>
        <v>周边2公里内有十余条公交线路及地铁10号线（团结湖站），交通便捷度较好</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5.5">
      <c r="A63" s="2669" t="s">
        <v>2761</v>
      </c>
      <c r="B63" s="2673" t="str">
        <f>估价对象房地状况!C24</f>
        <v>城市次干道路——白家庄路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七通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39" thickBot="1">
      <c r="A67" s="2678" t="s">
        <v>2766</v>
      </c>
      <c r="B67" s="2681" t="str">
        <f>估价对象房地状况!C20</f>
        <v>有工人体育场、团结湖公园等，自然及人文环境较好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周边有新城国际、白家庄西里、核桃园北里、向军北里等社区，居住社区成熟度较好</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51">
      <c r="A71" s="2669" t="s">
        <v>2757</v>
      </c>
      <c r="B71" s="2673" t="str">
        <f>估价对象房地状况!C18</f>
        <v>周边2公里内有十余条公交线路及地铁10号线（团结湖站），交通便捷度较好</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25.5">
      <c r="A73" s="2669" t="s">
        <v>2774</v>
      </c>
      <c r="B73" s="2673" t="str">
        <f>估价对象房地状况!C24</f>
        <v>城市次干道路——白家庄路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七通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38.25">
      <c r="A77" s="2669" t="s">
        <v>2766</v>
      </c>
      <c r="B77" s="2672" t="str">
        <f>估价对象房地状况!C20</f>
        <v>有工人体育场、团结湖公园等，自然及人文环境较好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2402</v>
      </c>
      <c r="K80" s="587" t="s">
        <v>2403</v>
      </c>
      <c r="L80" s="587" t="s">
        <v>2404</v>
      </c>
      <c r="M80" s="587" t="s">
        <v>2405</v>
      </c>
      <c r="N80" s="587" t="s">
        <v>2406</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98" t="s">
        <v>2779</v>
      </c>
      <c r="B90" s="3098"/>
      <c r="C90" s="3098"/>
      <c r="D90" s="3098"/>
      <c r="E90" s="3098"/>
      <c r="F90" s="3098"/>
      <c r="G90" s="3098"/>
      <c r="H90" s="3098"/>
      <c r="I90" s="3098"/>
      <c r="J90" s="3098"/>
      <c r="K90" s="2686"/>
      <c r="L90" s="2686"/>
      <c r="M90" s="2686"/>
      <c r="N90" s="2686"/>
    </row>
    <row r="91" spans="1:37">
      <c r="A91" s="3100" t="s">
        <v>2780</v>
      </c>
      <c r="B91" s="3100" t="s">
        <v>2781</v>
      </c>
      <c r="C91" s="2634" t="s">
        <v>2782</v>
      </c>
      <c r="D91" s="2635"/>
      <c r="E91" s="2635"/>
      <c r="F91" s="2635"/>
      <c r="G91" s="2635"/>
      <c r="H91" s="2635"/>
      <c r="I91" s="2635"/>
      <c r="J91" s="2687"/>
      <c r="K91" s="2688"/>
      <c r="L91" s="2688"/>
      <c r="M91" s="2688"/>
      <c r="N91" s="2688"/>
    </row>
    <row r="92" spans="1:37">
      <c r="A92" s="3100"/>
      <c r="B92" s="310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01"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10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10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10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10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10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102"/>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10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101" t="s">
        <v>2784</v>
      </c>
      <c r="B101" s="2693" t="s">
        <v>2785</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102"/>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102"/>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102"/>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102"/>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102"/>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102"/>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102"/>
      <c r="B108" s="3104"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103"/>
      <c r="B109" s="3105"/>
      <c r="C109" s="2692">
        <f>(-0.163*(C108^2)-0.59*C108+7617)*(10^(-4))/C101</f>
        <v>0.30419531999999999</v>
      </c>
      <c r="D109" s="2692">
        <f>(-0.163*(D108^2)-0.59*D108+7617)*(10^(-4))/D101</f>
        <v>0.30419531999999999</v>
      </c>
      <c r="E109" s="2692">
        <f>(-0.161*(E108^2)-7.509*E108+6533)*(10^(-4))/E101</f>
        <v>0.25890192000000001</v>
      </c>
      <c r="F109" s="2692">
        <f>(-0.161*(F108^2)-7.509*F108+6533)*(10^(-4))/F101</f>
        <v>0.25890192000000001</v>
      </c>
      <c r="G109" s="2692">
        <f>(-0.161*(G108^2)-7.509*G108+6533)*(10^(-4))/G101</f>
        <v>0.25890192000000001</v>
      </c>
      <c r="H109" s="2692">
        <f>(-0.161*(H108^2)-7.509*H108+6533)*(10^(-4))/H101</f>
        <v>0.25890192000000001</v>
      </c>
      <c r="I109" s="2692">
        <f>(-0.161*(I108^2)-7.509*I108+6533)*(10^(-4))/I101</f>
        <v>0.25890192000000001</v>
      </c>
      <c r="J109" s="2692">
        <f>(-0.214*(J108^2)-21.991*J108+4665)*(10^(-4))/J101</f>
        <v>0.18002308000000003</v>
      </c>
      <c r="K109" s="2692">
        <f>(-0.214*(K108^2)-21.991*K108+4665)*(10^(-4))/K101</f>
        <v>0.18002308000000003</v>
      </c>
      <c r="L109" s="2692">
        <f>(-0.214*(L108^2)-21.991*L108+4665)*(10^(-4))/L101</f>
        <v>0.18002308000000003</v>
      </c>
      <c r="M109" s="2692">
        <f>(-0.214*(M108^2)-21.991*M108+4665)*(10^(-4))/M101</f>
        <v>0.18002308000000003</v>
      </c>
      <c r="N109" s="2692">
        <f>(-0.214*(N108^2)-21.991*N108+4665)*(10^(-4))/N101</f>
        <v>0.18002308000000003</v>
      </c>
    </row>
    <row r="110" spans="1:14">
      <c r="A110" s="3099" t="s">
        <v>2787</v>
      </c>
      <c r="B110" s="3099"/>
      <c r="C110" s="3099"/>
      <c r="D110" s="3099"/>
      <c r="E110" s="3099"/>
      <c r="F110" s="3099"/>
      <c r="G110" s="3099"/>
      <c r="H110" s="3099"/>
      <c r="I110" s="3099"/>
      <c r="J110" s="3099"/>
      <c r="K110" s="2695"/>
      <c r="L110" s="2695"/>
      <c r="M110" s="2695"/>
      <c r="N110" s="2695"/>
    </row>
    <row r="112" spans="1:14" ht="13.5" thickBot="1"/>
    <row r="113" spans="1:13" ht="25.5" thickBot="1">
      <c r="A113" s="928" t="s">
        <v>2788</v>
      </c>
      <c r="B113" s="1379">
        <f>G3</f>
        <v>2.5</v>
      </c>
      <c r="C113" s="929" t="s">
        <v>2789</v>
      </c>
      <c r="D113" s="930">
        <f>SUMPRODUCT((A115:A118=F113)*(B114:M114=H113)*B115:M118)</f>
        <v>0</v>
      </c>
      <c r="E113" s="2697" t="s">
        <v>2673</v>
      </c>
      <c r="F113" s="2698">
        <f>E2</f>
        <v>0</v>
      </c>
      <c r="G113" s="2697" t="s">
        <v>2607</v>
      </c>
      <c r="H113" s="2698" t="str">
        <f>G2</f>
        <v>二级</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2675</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2676</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2677</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9" t="s">
        <v>787</v>
      </c>
      <c r="B1" s="3109"/>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周边2公里内有十余条公交线路及地铁10号线（团结湖站），交通便捷度较好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城市次干道路——白家庄路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有工人体育场、团结湖公园等，自然及人文环境较好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周边2公里内有十余条公交线路及地铁10号线（团结湖站），交通便捷度较好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城市次干道路——白家庄路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有工人体育场、团结湖公园等，自然及人文环境较好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周边有新城国际、白家庄西里、核桃园北里、向军北里等社区，居住社区成熟度较好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周边2公里内有十余条公交线路及地铁10号线（团结湖站），交通便捷度较好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城市次干道路——白家庄路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有工人体育场、团结湖公园等，自然及人文环境较好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9" t="s">
        <v>105</v>
      </c>
      <c r="B1" s="3109"/>
      <c r="C1" s="3109"/>
      <c r="D1" s="3109"/>
      <c r="E1" s="3109"/>
      <c r="F1" s="310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0" t="s">
        <v>118</v>
      </c>
      <c r="B2" s="3110"/>
      <c r="C2" s="3110"/>
      <c r="D2" s="3110"/>
      <c r="E2" s="3110"/>
      <c r="F2" s="311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3" t="s">
        <v>132</v>
      </c>
      <c r="B18" s="907" t="s">
        <v>517</v>
      </c>
      <c r="C18" s="908" t="s">
        <v>518</v>
      </c>
      <c r="D18" s="909"/>
      <c r="E18" s="907">
        <v>1</v>
      </c>
      <c r="F18" s="910" t="s">
        <v>519</v>
      </c>
      <c r="G18" s="911"/>
      <c r="H18" s="903"/>
      <c r="I18" s="903"/>
    </row>
    <row r="19" spans="1:9" s="912" customFormat="1" ht="19.5" customHeight="1">
      <c r="A19" s="3113"/>
      <c r="B19" s="3113" t="s">
        <v>520</v>
      </c>
      <c r="C19" s="908" t="s">
        <v>521</v>
      </c>
      <c r="D19" s="909"/>
      <c r="E19" s="907">
        <v>0.9</v>
      </c>
      <c r="F19" s="910" t="s">
        <v>522</v>
      </c>
      <c r="G19" s="911"/>
      <c r="H19" s="903"/>
      <c r="I19" s="903"/>
    </row>
    <row r="20" spans="1:9" s="912" customFormat="1" ht="19.5" customHeight="1">
      <c r="A20" s="3113"/>
      <c r="B20" s="3113"/>
      <c r="C20" s="908" t="s">
        <v>523</v>
      </c>
      <c r="D20" s="909"/>
      <c r="E20" s="907">
        <v>1.1000000000000001</v>
      </c>
      <c r="F20" s="910" t="s">
        <v>524</v>
      </c>
      <c r="G20" s="911"/>
      <c r="H20" s="903"/>
      <c r="I20" s="903"/>
    </row>
    <row r="21" spans="1:9" s="912" customFormat="1" ht="19.5" customHeight="1">
      <c r="A21" s="3113"/>
      <c r="B21" s="3113"/>
      <c r="C21" s="908" t="s">
        <v>525</v>
      </c>
      <c r="D21" s="909"/>
      <c r="E21" s="907">
        <v>0.8</v>
      </c>
      <c r="F21" s="910" t="s">
        <v>526</v>
      </c>
      <c r="G21" s="911"/>
      <c r="H21" s="903"/>
      <c r="I21" s="903"/>
    </row>
    <row r="22" spans="1:9" s="912" customFormat="1" ht="19.5" customHeight="1">
      <c r="A22" s="3113"/>
      <c r="B22" s="3113"/>
      <c r="C22" s="908" t="s">
        <v>527</v>
      </c>
      <c r="D22" s="909"/>
      <c r="E22" s="907">
        <v>0.5</v>
      </c>
      <c r="F22" s="910"/>
      <c r="G22" s="911"/>
      <c r="H22" s="903"/>
      <c r="I22" s="903"/>
    </row>
    <row r="23" spans="1:9" s="912" customFormat="1" ht="19.5" customHeight="1">
      <c r="A23" s="3113" t="s">
        <v>133</v>
      </c>
      <c r="B23" s="907" t="s">
        <v>517</v>
      </c>
      <c r="C23" s="908" t="s">
        <v>528</v>
      </c>
      <c r="D23" s="909"/>
      <c r="E23" s="907">
        <v>1</v>
      </c>
      <c r="F23" s="910" t="s">
        <v>529</v>
      </c>
      <c r="G23" s="911"/>
      <c r="H23" s="903"/>
      <c r="I23" s="903"/>
    </row>
    <row r="24" spans="1:9" s="912" customFormat="1" ht="19.5" customHeight="1">
      <c r="A24" s="3113"/>
      <c r="B24" s="3113" t="s">
        <v>520</v>
      </c>
      <c r="C24" s="908" t="s">
        <v>530</v>
      </c>
      <c r="D24" s="909"/>
      <c r="E24" s="907">
        <v>0.5</v>
      </c>
      <c r="F24" s="910"/>
      <c r="G24" s="911"/>
      <c r="H24" s="903"/>
      <c r="I24" s="903"/>
    </row>
    <row r="25" spans="1:9" s="912" customFormat="1" ht="19.5" customHeight="1">
      <c r="A25" s="3113"/>
      <c r="B25" s="3113"/>
      <c r="C25" s="908" t="s">
        <v>531</v>
      </c>
      <c r="D25" s="909"/>
      <c r="E25" s="907">
        <v>1.1000000000000001</v>
      </c>
      <c r="F25" s="910"/>
      <c r="G25" s="911"/>
      <c r="H25" s="903"/>
      <c r="I25" s="903"/>
    </row>
    <row r="26" spans="1:9" s="912" customFormat="1" ht="19.5" customHeight="1">
      <c r="A26" s="3113"/>
      <c r="B26" s="3113"/>
      <c r="C26" s="908" t="s">
        <v>532</v>
      </c>
      <c r="D26" s="909"/>
      <c r="E26" s="907">
        <v>1.1000000000000001</v>
      </c>
      <c r="F26" s="910"/>
      <c r="G26" s="911"/>
      <c r="H26" s="903"/>
      <c r="I26" s="903"/>
    </row>
    <row r="27" spans="1:9" s="912" customFormat="1" ht="19.5" customHeight="1">
      <c r="A27" s="3113"/>
      <c r="B27" s="3113"/>
      <c r="C27" s="908" t="s">
        <v>533</v>
      </c>
      <c r="D27" s="909"/>
      <c r="E27" s="907">
        <v>0.9</v>
      </c>
      <c r="F27" s="910" t="s">
        <v>534</v>
      </c>
      <c r="G27" s="911"/>
      <c r="H27" s="903"/>
      <c r="I27" s="903"/>
    </row>
    <row r="28" spans="1:9" s="912" customFormat="1" ht="19.5" customHeight="1">
      <c r="A28" s="3113"/>
      <c r="B28" s="3113"/>
      <c r="C28" s="908" t="s">
        <v>535</v>
      </c>
      <c r="D28" s="909"/>
      <c r="E28" s="907">
        <v>0.9</v>
      </c>
      <c r="F28" s="910" t="s">
        <v>536</v>
      </c>
      <c r="G28" s="911"/>
      <c r="H28" s="903"/>
      <c r="I28" s="903"/>
    </row>
    <row r="29" spans="1:9" s="912" customFormat="1" ht="19.5" customHeight="1">
      <c r="A29" s="3113"/>
      <c r="B29" s="3113"/>
      <c r="C29" s="908" t="s">
        <v>537</v>
      </c>
      <c r="D29" s="909"/>
      <c r="E29" s="907">
        <v>0.9</v>
      </c>
      <c r="F29" s="910" t="s">
        <v>538</v>
      </c>
      <c r="G29" s="911"/>
      <c r="H29" s="903"/>
      <c r="I29" s="903"/>
    </row>
    <row r="30" spans="1:9" s="912" customFormat="1" ht="19.5" customHeight="1">
      <c r="A30" s="3113"/>
      <c r="B30" s="3113"/>
      <c r="C30" s="908" t="s">
        <v>539</v>
      </c>
      <c r="D30" s="909"/>
      <c r="E30" s="907">
        <v>0.9</v>
      </c>
      <c r="F30" s="910" t="s">
        <v>540</v>
      </c>
      <c r="G30" s="911"/>
      <c r="H30" s="903"/>
      <c r="I30" s="903"/>
    </row>
    <row r="31" spans="1:9" s="912" customFormat="1" ht="19.5" customHeight="1">
      <c r="A31" s="3113"/>
      <c r="B31" s="3113"/>
      <c r="C31" s="908" t="s">
        <v>541</v>
      </c>
      <c r="D31" s="909"/>
      <c r="E31" s="907">
        <v>0.8</v>
      </c>
      <c r="F31" s="910" t="s">
        <v>542</v>
      </c>
      <c r="G31" s="911"/>
      <c r="H31" s="903"/>
      <c r="I31" s="903"/>
    </row>
    <row r="32" spans="1:9" s="912" customFormat="1" ht="19.5" customHeight="1">
      <c r="A32" s="3113"/>
      <c r="B32" s="3113"/>
      <c r="C32" s="908" t="s">
        <v>543</v>
      </c>
      <c r="D32" s="909"/>
      <c r="E32" s="907">
        <v>0.8</v>
      </c>
      <c r="F32" s="910" t="s">
        <v>544</v>
      </c>
      <c r="G32" s="911"/>
      <c r="H32" s="903"/>
      <c r="I32" s="903"/>
    </row>
    <row r="33" spans="1:9" s="912" customFormat="1" ht="19.5" customHeight="1">
      <c r="A33" s="3113" t="s">
        <v>134</v>
      </c>
      <c r="B33" s="907" t="s">
        <v>517</v>
      </c>
      <c r="C33" s="908" t="s">
        <v>545</v>
      </c>
      <c r="D33" s="909"/>
      <c r="E33" s="907">
        <v>1</v>
      </c>
      <c r="F33" s="910" t="s">
        <v>546</v>
      </c>
      <c r="G33" s="911"/>
      <c r="H33" s="903"/>
      <c r="I33" s="903"/>
    </row>
    <row r="34" spans="1:9" s="912" customFormat="1" ht="19.5" customHeight="1">
      <c r="A34" s="3113"/>
      <c r="B34" s="907" t="s">
        <v>520</v>
      </c>
      <c r="C34" s="908" t="s">
        <v>547</v>
      </c>
      <c r="D34" s="909"/>
      <c r="E34" s="907">
        <v>1.5</v>
      </c>
      <c r="F34" s="910" t="s">
        <v>548</v>
      </c>
      <c r="G34" s="911"/>
      <c r="H34" s="903"/>
      <c r="I34" s="903"/>
    </row>
    <row r="35" spans="1:9" s="912" customFormat="1" ht="19.5" customHeight="1">
      <c r="A35" s="3113" t="s">
        <v>135</v>
      </c>
      <c r="B35" s="907" t="s">
        <v>517</v>
      </c>
      <c r="C35" s="908" t="s">
        <v>549</v>
      </c>
      <c r="D35" s="909"/>
      <c r="E35" s="907">
        <v>1</v>
      </c>
      <c r="F35" s="910" t="s">
        <v>550</v>
      </c>
      <c r="G35" s="911"/>
      <c r="H35" s="903"/>
      <c r="I35" s="903"/>
    </row>
    <row r="36" spans="1:9" s="912" customFormat="1" ht="19.5" customHeight="1">
      <c r="A36" s="3113"/>
      <c r="B36" s="3113" t="s">
        <v>520</v>
      </c>
      <c r="C36" s="908" t="s">
        <v>551</v>
      </c>
      <c r="D36" s="909"/>
      <c r="E36" s="907">
        <v>1</v>
      </c>
      <c r="F36" s="910" t="s">
        <v>552</v>
      </c>
      <c r="G36" s="911"/>
      <c r="H36" s="903"/>
      <c r="I36" s="903"/>
    </row>
    <row r="37" spans="1:9" s="912" customFormat="1" ht="19.5" customHeight="1">
      <c r="A37" s="3113"/>
      <c r="B37" s="3113"/>
      <c r="C37" s="908" t="s">
        <v>553</v>
      </c>
      <c r="D37" s="909"/>
      <c r="E37" s="907">
        <v>1.5</v>
      </c>
      <c r="F37" s="910" t="s">
        <v>554</v>
      </c>
      <c r="G37" s="911"/>
      <c r="H37" s="903"/>
      <c r="I37" s="903"/>
    </row>
    <row r="38" spans="1:9" s="912" customFormat="1" ht="19.5" customHeight="1">
      <c r="A38" s="3113"/>
      <c r="B38" s="3113"/>
      <c r="C38" s="908" t="s">
        <v>555</v>
      </c>
      <c r="D38" s="909"/>
      <c r="E38" s="907">
        <v>1</v>
      </c>
      <c r="F38" s="910" t="s">
        <v>556</v>
      </c>
      <c r="G38" s="911"/>
      <c r="H38" s="903"/>
      <c r="I38" s="903"/>
    </row>
    <row r="39" spans="1:9" s="912" customFormat="1" ht="19.5" customHeight="1">
      <c r="A39" s="3113"/>
      <c r="B39" s="311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3" t="s">
        <v>571</v>
      </c>
      <c r="C61" s="821" t="s">
        <v>572</v>
      </c>
      <c r="D61" s="821" t="s">
        <v>573</v>
      </c>
      <c r="E61" s="920">
        <v>0.5</v>
      </c>
      <c r="F61" s="907">
        <v>80</v>
      </c>
    </row>
    <row r="62" spans="1:8" s="903" customFormat="1" ht="24">
      <c r="A62" s="907">
        <v>2</v>
      </c>
      <c r="B62" s="3113"/>
      <c r="C62" s="821" t="s">
        <v>574</v>
      </c>
      <c r="D62" s="821" t="s">
        <v>575</v>
      </c>
      <c r="E62" s="920">
        <v>0.5</v>
      </c>
      <c r="F62" s="907">
        <v>80</v>
      </c>
    </row>
    <row r="63" spans="1:8" s="903" customFormat="1" ht="36">
      <c r="A63" s="907">
        <v>3</v>
      </c>
      <c r="B63" s="3113"/>
      <c r="C63" s="821" t="s">
        <v>576</v>
      </c>
      <c r="D63" s="821" t="s">
        <v>577</v>
      </c>
      <c r="E63" s="920">
        <v>0.5</v>
      </c>
      <c r="F63" s="907">
        <v>80</v>
      </c>
    </row>
    <row r="64" spans="1:8" s="903" customFormat="1" ht="36">
      <c r="A64" s="907">
        <v>4</v>
      </c>
      <c r="B64" s="3113"/>
      <c r="C64" s="821" t="s">
        <v>578</v>
      </c>
      <c r="D64" s="821" t="s">
        <v>579</v>
      </c>
      <c r="E64" s="920">
        <v>0.4</v>
      </c>
      <c r="F64" s="907">
        <v>60</v>
      </c>
    </row>
    <row r="65" spans="1:6" s="903" customFormat="1" ht="36">
      <c r="A65" s="907">
        <v>5</v>
      </c>
      <c r="B65" s="3113"/>
      <c r="C65" s="821" t="s">
        <v>580</v>
      </c>
      <c r="D65" s="821" t="s">
        <v>581</v>
      </c>
      <c r="E65" s="920">
        <v>0.2</v>
      </c>
      <c r="F65" s="907">
        <v>30</v>
      </c>
    </row>
    <row r="66" spans="1:6" s="903" customFormat="1" ht="36">
      <c r="A66" s="907">
        <v>6</v>
      </c>
      <c r="B66" s="3113"/>
      <c r="C66" s="821" t="s">
        <v>582</v>
      </c>
      <c r="D66" s="821" t="s">
        <v>583</v>
      </c>
      <c r="E66" s="920">
        <v>0.3</v>
      </c>
      <c r="F66" s="907">
        <v>50</v>
      </c>
    </row>
    <row r="67" spans="1:6" s="903" customFormat="1" ht="36">
      <c r="A67" s="907">
        <v>7</v>
      </c>
      <c r="B67" s="3113"/>
      <c r="C67" s="821" t="s">
        <v>584</v>
      </c>
      <c r="D67" s="821" t="s">
        <v>585</v>
      </c>
      <c r="E67" s="920">
        <v>0.2</v>
      </c>
      <c r="F67" s="907">
        <v>30</v>
      </c>
    </row>
    <row r="68" spans="1:6" s="903" customFormat="1" ht="36">
      <c r="A68" s="907">
        <v>8</v>
      </c>
      <c r="B68" s="3113"/>
      <c r="C68" s="821" t="s">
        <v>586</v>
      </c>
      <c r="D68" s="821" t="s">
        <v>587</v>
      </c>
      <c r="E68" s="920">
        <v>0.2</v>
      </c>
      <c r="F68" s="907">
        <v>30</v>
      </c>
    </row>
    <row r="69" spans="1:6" s="903" customFormat="1" ht="36">
      <c r="A69" s="907">
        <v>9</v>
      </c>
      <c r="B69" s="3113"/>
      <c r="C69" s="821" t="s">
        <v>588</v>
      </c>
      <c r="D69" s="821" t="s">
        <v>589</v>
      </c>
      <c r="E69" s="920">
        <v>0.2</v>
      </c>
      <c r="F69" s="907">
        <v>30</v>
      </c>
    </row>
    <row r="70" spans="1:6" s="903" customFormat="1" ht="48">
      <c r="A70" s="907">
        <v>10</v>
      </c>
      <c r="B70" s="3113"/>
      <c r="C70" s="821" t="s">
        <v>590</v>
      </c>
      <c r="D70" s="821" t="s">
        <v>591</v>
      </c>
      <c r="E70" s="920">
        <v>0.2</v>
      </c>
      <c r="F70" s="907">
        <v>30</v>
      </c>
    </row>
    <row r="71" spans="1:6" s="903" customFormat="1" ht="48">
      <c r="A71" s="907">
        <v>11</v>
      </c>
      <c r="B71" s="3113"/>
      <c r="C71" s="821" t="s">
        <v>592</v>
      </c>
      <c r="D71" s="821" t="s">
        <v>593</v>
      </c>
      <c r="E71" s="920">
        <v>0.2</v>
      </c>
      <c r="F71" s="907">
        <v>30</v>
      </c>
    </row>
    <row r="72" spans="1:6" s="903" customFormat="1" ht="36">
      <c r="A72" s="907">
        <v>12</v>
      </c>
      <c r="B72" s="3113"/>
      <c r="C72" s="821" t="s">
        <v>594</v>
      </c>
      <c r="D72" s="821" t="s">
        <v>595</v>
      </c>
      <c r="E72" s="920">
        <v>0.5</v>
      </c>
      <c r="F72" s="907">
        <v>80</v>
      </c>
    </row>
    <row r="73" spans="1:6" s="903" customFormat="1" ht="24">
      <c r="A73" s="907">
        <v>13</v>
      </c>
      <c r="B73" s="3113"/>
      <c r="C73" s="821" t="s">
        <v>596</v>
      </c>
      <c r="D73" s="821" t="s">
        <v>597</v>
      </c>
      <c r="E73" s="920">
        <v>0.4</v>
      </c>
      <c r="F73" s="907">
        <v>60</v>
      </c>
    </row>
    <row r="74" spans="1:6" s="903" customFormat="1" ht="24">
      <c r="A74" s="907">
        <v>14</v>
      </c>
      <c r="B74" s="3113"/>
      <c r="C74" s="821" t="s">
        <v>598</v>
      </c>
      <c r="D74" s="821" t="s">
        <v>599</v>
      </c>
      <c r="E74" s="920">
        <v>0.2</v>
      </c>
      <c r="F74" s="907">
        <v>30</v>
      </c>
    </row>
    <row r="75" spans="1:6" s="903" customFormat="1" ht="24">
      <c r="A75" s="907">
        <v>15</v>
      </c>
      <c r="B75" s="3113"/>
      <c r="C75" s="821" t="s">
        <v>600</v>
      </c>
      <c r="D75" s="821" t="s">
        <v>601</v>
      </c>
      <c r="E75" s="920">
        <v>0.2</v>
      </c>
      <c r="F75" s="907">
        <v>30</v>
      </c>
    </row>
    <row r="76" spans="1:6" s="903" customFormat="1" ht="24">
      <c r="A76" s="907">
        <v>16</v>
      </c>
      <c r="B76" s="3113" t="s">
        <v>602</v>
      </c>
      <c r="C76" s="821" t="s">
        <v>603</v>
      </c>
      <c r="D76" s="821" t="s">
        <v>604</v>
      </c>
      <c r="E76" s="920">
        <v>0.5</v>
      </c>
      <c r="F76" s="907">
        <v>80</v>
      </c>
    </row>
    <row r="77" spans="1:6" s="903" customFormat="1" ht="24">
      <c r="A77" s="907">
        <v>17</v>
      </c>
      <c r="B77" s="3113"/>
      <c r="C77" s="821" t="s">
        <v>605</v>
      </c>
      <c r="D77" s="821" t="s">
        <v>606</v>
      </c>
      <c r="E77" s="920">
        <v>0.5</v>
      </c>
      <c r="F77" s="907">
        <v>80</v>
      </c>
    </row>
    <row r="78" spans="1:6" s="903" customFormat="1" ht="24">
      <c r="A78" s="907">
        <v>18</v>
      </c>
      <c r="B78" s="3113"/>
      <c r="C78" s="821" t="s">
        <v>607</v>
      </c>
      <c r="D78" s="821" t="s">
        <v>608</v>
      </c>
      <c r="E78" s="920">
        <v>0.2</v>
      </c>
      <c r="F78" s="907">
        <v>30</v>
      </c>
    </row>
    <row r="79" spans="1:6" s="903" customFormat="1" ht="24">
      <c r="A79" s="907">
        <v>19</v>
      </c>
      <c r="B79" s="3113"/>
      <c r="C79" s="821" t="s">
        <v>609</v>
      </c>
      <c r="D79" s="821" t="s">
        <v>610</v>
      </c>
      <c r="E79" s="920">
        <v>0.5</v>
      </c>
      <c r="F79" s="907">
        <v>80</v>
      </c>
    </row>
    <row r="80" spans="1:6" s="903" customFormat="1" ht="36">
      <c r="A80" s="907">
        <v>20</v>
      </c>
      <c r="B80" s="3113"/>
      <c r="C80" s="821" t="s">
        <v>611</v>
      </c>
      <c r="D80" s="821" t="s">
        <v>612</v>
      </c>
      <c r="E80" s="920">
        <v>0.2</v>
      </c>
      <c r="F80" s="907">
        <v>30</v>
      </c>
    </row>
    <row r="81" spans="1:6" s="903" customFormat="1" ht="36">
      <c r="A81" s="907">
        <v>21</v>
      </c>
      <c r="B81" s="3113"/>
      <c r="C81" s="821" t="s">
        <v>613</v>
      </c>
      <c r="D81" s="821" t="s">
        <v>614</v>
      </c>
      <c r="E81" s="920">
        <v>0.2</v>
      </c>
      <c r="F81" s="907">
        <v>30</v>
      </c>
    </row>
    <row r="82" spans="1:6" s="903" customFormat="1" ht="48">
      <c r="A82" s="907">
        <v>22</v>
      </c>
      <c r="B82" s="3113"/>
      <c r="C82" s="821" t="s">
        <v>615</v>
      </c>
      <c r="D82" s="821" t="s">
        <v>616</v>
      </c>
      <c r="E82" s="920">
        <v>0.2</v>
      </c>
      <c r="F82" s="907">
        <v>30</v>
      </c>
    </row>
    <row r="83" spans="1:6" s="903" customFormat="1" ht="48">
      <c r="A83" s="907">
        <v>23</v>
      </c>
      <c r="B83" s="3113"/>
      <c r="C83" s="821" t="s">
        <v>617</v>
      </c>
      <c r="D83" s="821" t="s">
        <v>618</v>
      </c>
      <c r="E83" s="920">
        <v>0.2</v>
      </c>
      <c r="F83" s="907">
        <v>30</v>
      </c>
    </row>
    <row r="84" spans="1:6" s="903" customFormat="1" ht="36">
      <c r="A84" s="907">
        <v>24</v>
      </c>
      <c r="B84" s="3113"/>
      <c r="C84" s="821" t="s">
        <v>619</v>
      </c>
      <c r="D84" s="821" t="s">
        <v>620</v>
      </c>
      <c r="E84" s="920">
        <v>0.2</v>
      </c>
      <c r="F84" s="907">
        <v>30</v>
      </c>
    </row>
    <row r="85" spans="1:6" s="903" customFormat="1" ht="36">
      <c r="A85" s="907">
        <v>25</v>
      </c>
      <c r="B85" s="3113"/>
      <c r="C85" s="821" t="s">
        <v>621</v>
      </c>
      <c r="D85" s="821" t="s">
        <v>622</v>
      </c>
      <c r="E85" s="920">
        <v>0.5</v>
      </c>
      <c r="F85" s="907">
        <v>80</v>
      </c>
    </row>
    <row r="86" spans="1:6" s="903" customFormat="1" ht="36">
      <c r="A86" s="907">
        <v>26</v>
      </c>
      <c r="B86" s="3113"/>
      <c r="C86" s="821" t="s">
        <v>623</v>
      </c>
      <c r="D86" s="821" t="s">
        <v>624</v>
      </c>
      <c r="E86" s="920">
        <v>0.2</v>
      </c>
      <c r="F86" s="907">
        <v>30</v>
      </c>
    </row>
    <row r="87" spans="1:6" s="903" customFormat="1" ht="36">
      <c r="A87" s="907">
        <v>27</v>
      </c>
      <c r="B87" s="3113"/>
      <c r="C87" s="821" t="s">
        <v>625</v>
      </c>
      <c r="D87" s="821" t="s">
        <v>626</v>
      </c>
      <c r="E87" s="920">
        <v>0.2</v>
      </c>
      <c r="F87" s="907">
        <v>30</v>
      </c>
    </row>
    <row r="88" spans="1:6" s="903" customFormat="1" ht="36">
      <c r="A88" s="907">
        <v>28</v>
      </c>
      <c r="B88" s="3113"/>
      <c r="C88" s="821" t="s">
        <v>627</v>
      </c>
      <c r="D88" s="821" t="s">
        <v>628</v>
      </c>
      <c r="E88" s="920">
        <v>0.2</v>
      </c>
      <c r="F88" s="907">
        <v>30</v>
      </c>
    </row>
    <row r="89" spans="1:6" s="903" customFormat="1" ht="24">
      <c r="A89" s="907">
        <v>29</v>
      </c>
      <c r="B89" s="3113"/>
      <c r="C89" s="821" t="s">
        <v>629</v>
      </c>
      <c r="D89" s="821" t="s">
        <v>630</v>
      </c>
      <c r="E89" s="920">
        <v>0.2</v>
      </c>
      <c r="F89" s="907">
        <v>30</v>
      </c>
    </row>
    <row r="90" spans="1:6" s="903" customFormat="1" ht="24">
      <c r="A90" s="907">
        <v>30</v>
      </c>
      <c r="B90" s="3113"/>
      <c r="C90" s="821" t="s">
        <v>631</v>
      </c>
      <c r="D90" s="821" t="s">
        <v>632</v>
      </c>
      <c r="E90" s="920">
        <v>0.2</v>
      </c>
      <c r="F90" s="907">
        <v>30</v>
      </c>
    </row>
    <row r="91" spans="1:6" s="903" customFormat="1" ht="36">
      <c r="A91" s="907">
        <v>31</v>
      </c>
      <c r="B91" s="3113"/>
      <c r="C91" s="821" t="s">
        <v>633</v>
      </c>
      <c r="D91" s="821" t="s">
        <v>634</v>
      </c>
      <c r="E91" s="920">
        <v>0.2</v>
      </c>
      <c r="F91" s="907">
        <v>30</v>
      </c>
    </row>
    <row r="92" spans="1:6" s="903" customFormat="1" ht="24">
      <c r="A92" s="907">
        <v>32</v>
      </c>
      <c r="B92" s="3113" t="s">
        <v>635</v>
      </c>
      <c r="C92" s="907" t="s">
        <v>636</v>
      </c>
      <c r="D92" s="821" t="s">
        <v>637</v>
      </c>
      <c r="E92" s="920">
        <v>0.2</v>
      </c>
      <c r="F92" s="907">
        <v>30</v>
      </c>
    </row>
    <row r="93" spans="1:6" s="903" customFormat="1" ht="36">
      <c r="A93" s="907">
        <v>33</v>
      </c>
      <c r="B93" s="3113"/>
      <c r="C93" s="907" t="s">
        <v>638</v>
      </c>
      <c r="D93" s="821" t="s">
        <v>639</v>
      </c>
      <c r="E93" s="920">
        <v>0.2</v>
      </c>
      <c r="F93" s="907">
        <v>30</v>
      </c>
    </row>
    <row r="94" spans="1:6" s="903" customFormat="1" ht="48">
      <c r="A94" s="907">
        <v>34</v>
      </c>
      <c r="B94" s="3113"/>
      <c r="C94" s="907" t="s">
        <v>640</v>
      </c>
      <c r="D94" s="821" t="s">
        <v>641</v>
      </c>
      <c r="E94" s="920">
        <v>0.2</v>
      </c>
      <c r="F94" s="907">
        <v>30</v>
      </c>
    </row>
    <row r="95" spans="1:6" s="903" customFormat="1" ht="36">
      <c r="A95" s="907">
        <v>35</v>
      </c>
      <c r="B95" s="3113"/>
      <c r="C95" s="907" t="s">
        <v>642</v>
      </c>
      <c r="D95" s="821" t="s">
        <v>643</v>
      </c>
      <c r="E95" s="920">
        <v>0.2</v>
      </c>
      <c r="F95" s="907">
        <v>30</v>
      </c>
    </row>
    <row r="96" spans="1:6" s="903" customFormat="1" ht="48">
      <c r="A96" s="907">
        <v>36</v>
      </c>
      <c r="B96" s="3113"/>
      <c r="C96" s="821" t="s">
        <v>644</v>
      </c>
      <c r="D96" s="821" t="s">
        <v>645</v>
      </c>
      <c r="E96" s="920">
        <v>0.2</v>
      </c>
      <c r="F96" s="907">
        <v>30</v>
      </c>
    </row>
    <row r="97" spans="1:6" s="903" customFormat="1" ht="36">
      <c r="A97" s="907">
        <v>37</v>
      </c>
      <c r="B97" s="3113"/>
      <c r="C97" s="907" t="s">
        <v>646</v>
      </c>
      <c r="D97" s="821" t="s">
        <v>647</v>
      </c>
      <c r="E97" s="920">
        <v>0.2</v>
      </c>
      <c r="F97" s="907">
        <v>30</v>
      </c>
    </row>
    <row r="98" spans="1:6" s="903" customFormat="1" ht="36">
      <c r="A98" s="907">
        <v>38</v>
      </c>
      <c r="B98" s="3113"/>
      <c r="C98" s="907" t="s">
        <v>648</v>
      </c>
      <c r="D98" s="821" t="s">
        <v>649</v>
      </c>
      <c r="E98" s="920">
        <v>0.2</v>
      </c>
      <c r="F98" s="907">
        <v>30</v>
      </c>
    </row>
    <row r="99" spans="1:6" s="903" customFormat="1" ht="36">
      <c r="A99" s="907">
        <v>39</v>
      </c>
      <c r="B99" s="3113" t="s">
        <v>650</v>
      </c>
      <c r="C99" s="907" t="s">
        <v>651</v>
      </c>
      <c r="D99" s="821" t="s">
        <v>652</v>
      </c>
      <c r="E99" s="920">
        <v>0.3</v>
      </c>
      <c r="F99" s="907">
        <v>50</v>
      </c>
    </row>
    <row r="100" spans="1:6" s="903" customFormat="1" ht="24">
      <c r="A100" s="907">
        <v>40</v>
      </c>
      <c r="B100" s="3113"/>
      <c r="C100" s="907" t="s">
        <v>653</v>
      </c>
      <c r="D100" s="821" t="s">
        <v>654</v>
      </c>
      <c r="E100" s="920">
        <v>0.2</v>
      </c>
      <c r="F100" s="907">
        <v>30</v>
      </c>
    </row>
    <row r="101" spans="1:6" s="903" customFormat="1" ht="36">
      <c r="A101" s="907">
        <v>41</v>
      </c>
      <c r="B101" s="311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3" t="s">
        <v>665</v>
      </c>
      <c r="C105" s="907" t="s">
        <v>666</v>
      </c>
      <c r="D105" s="821" t="s">
        <v>667</v>
      </c>
      <c r="E105" s="920">
        <v>0.2</v>
      </c>
      <c r="F105" s="907">
        <v>30</v>
      </c>
    </row>
    <row r="106" spans="1:6" s="903" customFormat="1" ht="36">
      <c r="A106" s="907">
        <v>46</v>
      </c>
      <c r="B106" s="3113"/>
      <c r="C106" s="907" t="s">
        <v>668</v>
      </c>
      <c r="D106" s="821" t="s">
        <v>669</v>
      </c>
      <c r="E106" s="920">
        <v>0.2</v>
      </c>
      <c r="F106" s="907">
        <v>30</v>
      </c>
    </row>
    <row r="107" spans="1:6" s="903" customFormat="1" ht="36">
      <c r="A107" s="907">
        <v>47</v>
      </c>
      <c r="B107" s="3113" t="s">
        <v>670</v>
      </c>
      <c r="C107" s="907" t="s">
        <v>671</v>
      </c>
      <c r="D107" s="821" t="s">
        <v>672</v>
      </c>
      <c r="E107" s="920">
        <v>0.3</v>
      </c>
      <c r="F107" s="907">
        <v>50</v>
      </c>
    </row>
    <row r="108" spans="1:6" s="903" customFormat="1" ht="36">
      <c r="A108" s="907">
        <v>48</v>
      </c>
      <c r="B108" s="311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3" t="s">
        <v>681</v>
      </c>
      <c r="C111" s="907" t="s">
        <v>682</v>
      </c>
      <c r="D111" s="821" t="s">
        <v>683</v>
      </c>
      <c r="E111" s="920">
        <v>0.2</v>
      </c>
      <c r="F111" s="907">
        <v>30</v>
      </c>
    </row>
    <row r="112" spans="1:6" s="903" customFormat="1" ht="24">
      <c r="A112" s="907">
        <v>52</v>
      </c>
      <c r="B112" s="3113"/>
      <c r="C112" s="907" t="s">
        <v>684</v>
      </c>
      <c r="D112" s="821" t="s">
        <v>685</v>
      </c>
      <c r="E112" s="920">
        <v>0.2</v>
      </c>
      <c r="F112" s="907">
        <v>30</v>
      </c>
    </row>
    <row r="113" spans="1:6" s="903" customFormat="1" ht="24">
      <c r="A113" s="907">
        <v>53</v>
      </c>
      <c r="B113" s="311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3" t="s">
        <v>694</v>
      </c>
      <c r="C116" s="907" t="s">
        <v>695</v>
      </c>
      <c r="D116" s="821" t="s">
        <v>696</v>
      </c>
      <c r="E116" s="920">
        <v>0.2</v>
      </c>
      <c r="F116" s="907">
        <v>30</v>
      </c>
    </row>
    <row r="117" spans="1:6" ht="36">
      <c r="A117" s="907">
        <v>57</v>
      </c>
      <c r="B117" s="311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21" sqref="L21"/>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9" t="s">
        <v>1033</v>
      </c>
      <c r="C1" s="3119"/>
      <c r="D1" s="3119"/>
      <c r="E1" s="3119"/>
      <c r="F1" s="3119"/>
      <c r="G1" s="3115" t="s">
        <v>1034</v>
      </c>
      <c r="H1" s="3115"/>
      <c r="I1" s="3115"/>
      <c r="J1" s="3115"/>
      <c r="K1" s="3115"/>
      <c r="L1" s="3115"/>
      <c r="N1" s="3115" t="s">
        <v>1035</v>
      </c>
      <c r="O1" s="3115"/>
      <c r="P1" s="3115"/>
      <c r="Q1" s="3115"/>
      <c r="R1" s="1548"/>
      <c r="S1" s="3115" t="s">
        <v>1036</v>
      </c>
      <c r="T1" s="3115"/>
      <c r="U1" s="3115"/>
      <c r="V1" s="3115"/>
      <c r="X1" s="3114" t="s">
        <v>1037</v>
      </c>
      <c r="Y1" s="3115"/>
      <c r="Z1" s="3115"/>
      <c r="AA1" s="3115"/>
      <c r="AB1" s="3115"/>
      <c r="AD1" s="3114" t="s">
        <v>1038</v>
      </c>
      <c r="AE1" s="3115"/>
      <c r="AF1" s="3115"/>
      <c r="AG1" s="3115"/>
      <c r="AH1" s="3115"/>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ROUND(AVERAGE(I4:I19),2)</f>
        <v>2.31</v>
      </c>
      <c r="J3" s="2724">
        <f>ROUND(AVERAGE(J4:J19),2)</f>
        <v>1.5</v>
      </c>
      <c r="K3" s="2724">
        <f>ROUND(AVERAGE(K4:K19),2)</f>
        <v>2.57</v>
      </c>
      <c r="L3" s="2725">
        <f>ROUND(AVERAGE(L4:L19),2)</f>
        <v>1.38</v>
      </c>
      <c r="N3" s="2722"/>
      <c r="O3" s="2726"/>
      <c r="P3" s="2726"/>
      <c r="Q3" s="2726"/>
      <c r="R3" s="2726"/>
      <c r="S3" s="2722"/>
      <c r="T3" s="2726"/>
      <c r="U3" s="2726"/>
      <c r="V3" s="2726"/>
      <c r="W3" s="2729"/>
      <c r="X3" s="2727">
        <f>ROUND(SUMPRODUCT(PRODUCT(1+N3:N$21)),4)</f>
        <v>1.4517</v>
      </c>
      <c r="Y3" s="2727">
        <f>ROUND(SUMPRODUCT(PRODUCT(1+O3:O$21)),4)</f>
        <v>1.2928999999999999</v>
      </c>
      <c r="Z3" s="2727">
        <f t="shared" ref="Z3:Z19" si="0">Y3</f>
        <v>1.2928999999999999</v>
      </c>
      <c r="AA3" s="2727">
        <f>ROUND(SUMPRODUCT(PRODUCT(1+P3:P$21)),4)</f>
        <v>1.5068999999999999</v>
      </c>
      <c r="AB3" s="2727">
        <f>ROUND(SUMPRODUCT(PRODUCT(1+Q3:Q$21)),4)</f>
        <v>1.2557</v>
      </c>
      <c r="AD3" s="2728">
        <f>ROUND(AVERAGE(I3:I$22)/100,4)</f>
        <v>2.2700000000000001E-2</v>
      </c>
      <c r="AE3" s="2728">
        <f>ROUND(AVERAGE(J3:J$22)/100,4)</f>
        <v>1.5699999999999999E-2</v>
      </c>
      <c r="AF3" s="2728">
        <f t="shared" ref="AF3:AF10" si="1">AE3</f>
        <v>1.5699999999999999E-2</v>
      </c>
      <c r="AG3" s="2728">
        <f>ROUND(AVERAGE(K3:K$22)/100,4)</f>
        <v>2.5100000000000001E-2</v>
      </c>
      <c r="AH3" s="2728">
        <f>ROUND(AVERAGE(L3:L$22)/100,4)</f>
        <v>1.35E-2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2813</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1">
        <v>2018</v>
      </c>
      <c r="H5" s="1821">
        <v>2</v>
      </c>
      <c r="I5" s="2712">
        <v>0</v>
      </c>
      <c r="J5" s="2712">
        <v>0</v>
      </c>
      <c r="K5" s="2712">
        <v>0</v>
      </c>
      <c r="L5" s="2713">
        <v>0</v>
      </c>
      <c r="N5" s="1570">
        <f t="shared" ref="N5" si="7">I5/100</f>
        <v>0</v>
      </c>
      <c r="O5" s="1570">
        <f t="shared" ref="O5" si="8">J5/100</f>
        <v>0</v>
      </c>
      <c r="P5" s="1570">
        <f t="shared" ref="P5" si="9">K5/100</f>
        <v>0</v>
      </c>
      <c r="Q5" s="1570">
        <f t="shared" ref="Q5" si="10">L5/100</f>
        <v>0</v>
      </c>
      <c r="R5" s="1823"/>
      <c r="S5" s="1824"/>
      <c r="T5" s="1823"/>
      <c r="U5" s="1823"/>
      <c r="V5" s="1823"/>
      <c r="W5" s="2718" t="s">
        <v>2808</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2814</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0">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2810</v>
      </c>
      <c r="B7" s="1572">
        <v>439</v>
      </c>
      <c r="C7" s="1572">
        <v>327</v>
      </c>
      <c r="D7" s="1572">
        <f t="shared" si="14"/>
        <v>327</v>
      </c>
      <c r="E7" s="1572">
        <v>627</v>
      </c>
      <c r="F7" s="1573">
        <v>283</v>
      </c>
      <c r="G7" s="2717">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2805</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0"/>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1259</v>
      </c>
      <c r="B9" s="1580">
        <f t="shared" si="2"/>
        <v>419.31181600000002</v>
      </c>
      <c r="C9" s="1580">
        <f t="shared" ref="C9" si="31">C10*(1+O9)</f>
        <v>313.95436800000004</v>
      </c>
      <c r="D9" s="1580">
        <f t="shared" si="14"/>
        <v>313.95436800000004</v>
      </c>
      <c r="E9" s="1580">
        <f t="shared" si="27"/>
        <v>596.63028431999999</v>
      </c>
      <c r="F9" s="1580">
        <f t="shared" si="27"/>
        <v>274.74220703999998</v>
      </c>
      <c r="G9" s="2709"/>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0"/>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20">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17"/>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17"/>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18"/>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16">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17"/>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17"/>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18"/>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16">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17"/>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17"/>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18"/>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21">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22"/>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22"/>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23"/>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16">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17"/>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17"/>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18"/>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16">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17">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17">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18">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16">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17">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17">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18">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16">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17">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17">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18">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16">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17">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17">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18">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16">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17">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17">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18">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16">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17">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17">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18">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16">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17">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17">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18">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16">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17">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17">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18">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16">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17">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17">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18">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16">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17">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17">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18">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43277</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3:O4"/>
  <sheetViews>
    <sheetView workbookViewId="0">
      <selection activeCell="A25" sqref="A25"/>
    </sheetView>
  </sheetViews>
  <sheetFormatPr defaultRowHeight="13.5"/>
  <cols>
    <col min="15" max="15" width="9.5" bestFit="1" customWidth="1"/>
  </cols>
  <sheetData>
    <row r="3" spans="15:15">
      <c r="O3" s="3124">
        <v>43253</v>
      </c>
    </row>
    <row r="4" spans="15:15">
      <c r="O4">
        <v>9594</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2018-07-01T10:46:19Z</dcterms:modified>
</cp:coreProperties>
</file>