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-docs\一部部门归档\2023年\综合\东方梅地亚-6.26分层\"/>
    </mc:Choice>
  </mc:AlternateContent>
  <xr:revisionPtr revIDLastSave="0" documentId="13_ncr:1_{3E4D1140-F62B-4091-81A5-3586EAEC751D}" xr6:coauthVersionLast="45" xr6:coauthVersionMax="45" xr10:uidLastSave="{00000000-0000-0000-0000-000000000000}"/>
  <bookViews>
    <workbookView xWindow="0" yWindow="0" windowWidth="21600" windowHeight="12900" xr2:uid="{00000000-000D-0000-FFFF-FFFF00000000}"/>
  </bookViews>
  <sheets>
    <sheet name="收益法汇总" sheetId="1" r:id="rId1"/>
    <sheet name="Sheet1" sheetId="3" r:id="rId2"/>
    <sheet name="分层价值" sheetId="2" state="hidden" r:id="rId3"/>
  </sheets>
  <externalReferences>
    <externalReference r:id="rId4"/>
  </externalReferences>
  <definedNames>
    <definedName name="_xlnm._FilterDatabase" localSheetId="0" hidden="1">收益法汇总!$A$3:$BN$239</definedName>
    <definedName name="办公层高">'[1]比较法-办公地上'!$B$119:$M$119</definedName>
    <definedName name="办公朝向">'[1]比较法-办公地上'!$B$91:$M$91</definedName>
    <definedName name="办公道路级别">'[1]比较法-办公地上'!$B$87:$M$87</definedName>
    <definedName name="办公公共部分装修">'[1]比较法-办公地上'!$B$108:$M$108</definedName>
    <definedName name="办公基础设施水平">'[1]比较法-办公地上'!$B$117:$M$117</definedName>
    <definedName name="办公集聚程度">[1]定义!$M$1:$M$6</definedName>
    <definedName name="办公建筑结构">'[1]比较法-办公地上'!$B$106:$M$106</definedName>
    <definedName name="办公建筑类型">'[1]比较法-办公地上'!$B$101:$M$101</definedName>
    <definedName name="办公交易情况">'[1]比较法-办公地上'!$A$62:$M$62</definedName>
    <definedName name="办公楼层">'[1]比较法-办公地上'!$B$89:$M$89</definedName>
    <definedName name="办公内部装修">'[1]比较法-办公地上'!$B$123:$M$123</definedName>
    <definedName name="办公物业管理">'[1]比较法-办公地上'!$B$115:$M$115</definedName>
    <definedName name="办公用途">'[1]比较法-办公地上'!$B$64:$M$64</definedName>
    <definedName name="仓储公共部分装修">'[1]比较法-仓储'!$B$77:$M$77</definedName>
    <definedName name="仓储交易情况">'[1]比较法-仓储'!$A$49:$M$49</definedName>
    <definedName name="仓储楼层">'[1]比较法-仓储'!$B$69:$M$69</definedName>
    <definedName name="仓储物业等级">'[1]比较法-仓储'!$B$82:$M$82</definedName>
    <definedName name="仓储用途">'[1]比较法-仓储'!$B$51:$M$51</definedName>
    <definedName name="产业集聚程度">[1]定义!$N$1:$N$6</definedName>
    <definedName name="车位公共部分装修">'[1]比较法-车位'!$B$83:$M$83</definedName>
    <definedName name="车位交易情况">'[1]比较法-车位'!$A$51:$M$51</definedName>
    <definedName name="车位类型">'[1]比较法-车位'!$B$93:$M$93</definedName>
    <definedName name="车位楼层">'[1]比较法-车位'!$B$71:$M$71</definedName>
    <definedName name="车位配套类型">'[1]比较法-车位'!$B$79:$M$79</definedName>
    <definedName name="车位物业等级">'[1]比较法-车位'!$B$88:$M$88</definedName>
    <definedName name="车位用途">'[1]比较法-车位'!$B$53:$M$53</definedName>
    <definedName name="城镇土地纳税等级分级范围">'[1]数据-取费表'!$A$53:$A$63</definedName>
    <definedName name="单价内涵">[1]定义!$V$1:$V$3</definedName>
    <definedName name="地类判定">[1]定义!$H$1:$H$9</definedName>
    <definedName name="二级分类">[1]修正!$C$19:$C$51</definedName>
    <definedName name="法定最高年限">[1]定义!$G$1:$G$6</definedName>
    <definedName name="工业公共部分装修">'[1]比较法-工业'!$B$95:$M$95</definedName>
    <definedName name="工业基础设施水平">'[1]比较法-工业'!$B$102:$M$102</definedName>
    <definedName name="工业建筑结构">'[1]比较法-工业'!$B$93:$M$93</definedName>
    <definedName name="工业建筑类型">'[1]比较法-工业'!$B$88:$M$88</definedName>
    <definedName name="工业交易情况">'[1]比较法-工业'!$A$55:$M$55</definedName>
    <definedName name="工业内部装修">'[1]比较法-工业'!$B$104:$M$104</definedName>
    <definedName name="工业物业管理">'[1]比较法-工业'!$B$100:$M$100</definedName>
    <definedName name="工业用途">'[1]比较法-工业'!$B$57:$M$57</definedName>
    <definedName name="公共配套设施">[1]定义!$Q$1:$Q$6</definedName>
    <definedName name="估价范围判定">[1]定义!$D$1:$D$4</definedName>
    <definedName name="估价方法">[1]定义!$B$1:$B$50</definedName>
    <definedName name="环境">[1]定义!$S$1:$S$6</definedName>
    <definedName name="基础设施水平">[1]定义!$R$1:$R$6</definedName>
    <definedName name="价值类型2">[1]定义!$B$54:$B$56</definedName>
    <definedName name="交通便捷度">[1]定义!$O$1:$O$6</definedName>
    <definedName name="居住社区成熟度">[1]定义!$K$1:$K$6</definedName>
    <definedName name="类别">[1]定义!$J$1:$J$3</definedName>
    <definedName name="临街状况">[1]定义!$T$1:$T$5</definedName>
    <definedName name="内部装修维护情况">[1]定义!$U$1:$U$6</definedName>
    <definedName name="七通一平">[1]修正!$A$8:$A$16</definedName>
    <definedName name="区域土地利用方向">[1]定义!$P$1:$P$6</definedName>
    <definedName name="商业层高">'[1]比较法-商业1层'!$B$116:$M$116</definedName>
    <definedName name="商业繁华度">[1]定义!$L$1:$L$6</definedName>
    <definedName name="商业公共部分装修">'[1]比较法-商业1层'!$B$107:$M$107</definedName>
    <definedName name="商业基础设施水平">'[1]比较法-商业1层'!$B$112:$M$112</definedName>
    <definedName name="商业建筑结构">'[1]比较法-商业1层'!$B$105:$M$105</definedName>
    <definedName name="商业交易情况">'[1]比较法-商业1层'!$A$61:$M$61</definedName>
    <definedName name="商业街名称">[1]修正!$C$71:$C$138</definedName>
    <definedName name="商业进深比">'[1]比较法-商业1层'!$B$120:$M$120</definedName>
    <definedName name="商业类型">'[1]比较法-商业1层'!$B$100:$M$100</definedName>
    <definedName name="商业临街状况">'[1]比较法-商业1层'!$B$86:$M$86</definedName>
    <definedName name="商业楼层">'[1]比较法-商业1层'!$B$92:$M$92</definedName>
    <definedName name="商业内部装修">'[1]比较法-商业1层'!$B$122:$M$122</definedName>
    <definedName name="商业人流量">'[1]比较法-商业1层'!$B$90:$M$90</definedName>
    <definedName name="商业业态">'[1]比较法-商业1层'!$B$114:$M$114</definedName>
    <definedName name="商业用途">'[1]比较法-商业1层'!$B$63:$M$63</definedName>
    <definedName name="是否封闭">'[1]比较法-仓储'!$B$89:$M$89</definedName>
    <definedName name="是否直接入户">'[1]比较法-车位'!$B$95:$M$95</definedName>
    <definedName name="套工道路等级">'[1]土地比较法-工业'!$B$97:$M$97</definedName>
    <definedName name="套工地质条件">'[1]土地比较法-工业'!$B$114:$M$114</definedName>
    <definedName name="套工交易情况">'[1]土地比较法-住宅、综合'!$A$72:$M$72</definedName>
    <definedName name="套工土地级别">'[1]土地比较法-工业'!$B$99:$M$99</definedName>
    <definedName name="套工用途">'[1]土地比较法-工业'!$B$70:$M$70</definedName>
    <definedName name="套工宗地开发程度">'[1]土地比较法-工业'!$B$112:$M$112</definedName>
    <definedName name="套工宗地形状">'[1]土地比较法-工业'!$B$110:$M$110</definedName>
    <definedName name="套综道路等级">'[1]土地比较法-住宅、综合'!$B$105:$M$105</definedName>
    <definedName name="套综工程地质条件">'[1]土地比较法-住宅、综合'!$B$124:$M$124</definedName>
    <definedName name="套综交易情况">'[1]土地比较法-住宅、综合'!$A$72:$M$72</definedName>
    <definedName name="套综临街宽度及深度">'[1]土地比较法-住宅、综合'!$B$120:$M$120</definedName>
    <definedName name="套综土地级别">'[1]土地比较法-住宅、综合'!$B$107:$M$107</definedName>
    <definedName name="套综用途">'[1]土地比较法-住宅、综合'!$B$74:$M$74</definedName>
    <definedName name="套综宗地内开发程度">'[1]土地比较法-住宅、综合'!$B$122:$M$122</definedName>
    <definedName name="套综宗地形状">'[1]土地比较法-住宅、综合'!$B$118:$M$118</definedName>
    <definedName name="土地级别">[1]定义!$C$1:$C$14</definedName>
    <definedName name="位置">[1]定义!$E$2:$E$4</definedName>
    <definedName name="五等判定">[1]定义!$W$1:$W$6</definedName>
    <definedName name="项目类型">'[1]数据-汇总表'!$C$17:$C$26</definedName>
    <definedName name="写字楼等级">'[1]比较法-办公地上'!$B$113:$M$113</definedName>
    <definedName name="一修多修正项2">[1]典型户型修正!$5:$5</definedName>
    <definedName name="一修多修正项3">[1]典型户型修正!$7:$7</definedName>
    <definedName name="一修多修正项4">[1]典型户型修正!$9:$9</definedName>
    <definedName name="一修多修正项5">[1]典型户型修正!$11:$11</definedName>
    <definedName name="一修多修正项6">[1]典型户型修正!$13:$13</definedName>
    <definedName name="一修多修正项7">[1]典型户型修正!$15:$15</definedName>
    <definedName name="一修多修正项8">[1]典型户型修正!$17:$17</definedName>
    <definedName name="用途明细">[1]定义!$A$1:$A$50</definedName>
    <definedName name="有无电梯">'[1]比较法-仓储'!$B$84:$M$84</definedName>
    <definedName name="主用途">[1]定义!$F$1:$F$12</definedName>
    <definedName name="住宅朝向">'[1]比较法-住宅'!$B$88:$M$88</definedName>
    <definedName name="住宅房型">'[1]比较法-住宅'!$B$118:$M$118</definedName>
    <definedName name="住宅公共部分装修">'[1]比较法-住宅'!$B$109:$M$109</definedName>
    <definedName name="住宅基础设施水平">'[1]比较法-住宅'!$B$116:$M$116</definedName>
    <definedName name="住宅建筑结构">'[1]比较法-住宅'!$B$105:$M$105</definedName>
    <definedName name="住宅建筑类型">'[1]比较法-住宅'!$B$100:$M$100</definedName>
    <definedName name="住宅建筑品质">'[1]比较法-住宅'!$B$107:$M$107</definedName>
    <definedName name="住宅交易情况">'[1]比较法-住宅'!$A$61:$M$61</definedName>
    <definedName name="住宅楼层">'[1]比较法-住宅'!$B$86:$M$86</definedName>
    <definedName name="住宅内部装修">'[1]比较法-住宅'!$B$122:$M$122</definedName>
    <definedName name="住宅物业管理">'[1]比较法-住宅'!$B$114:$M$114</definedName>
    <definedName name="住宅用途">'[1]比较法-住宅'!$B$63:$M$63</definedName>
    <definedName name="注册房地产估价师">[1]估价师及机构信息!$A$3:$A$16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3" l="1"/>
  <c r="N15" i="3"/>
  <c r="N14" i="3"/>
  <c r="M16" i="3"/>
  <c r="M14" i="3"/>
  <c r="BO18" i="1"/>
  <c r="BO19" i="1"/>
  <c r="BO8" i="1"/>
  <c r="M15" i="3"/>
  <c r="E234" i="1" l="1"/>
  <c r="BS230" i="1"/>
  <c r="BS225" i="1"/>
  <c r="BS215" i="1"/>
  <c r="BS205" i="1"/>
  <c r="BS194" i="1"/>
  <c r="BS184" i="1"/>
  <c r="BS173" i="1"/>
  <c r="BS162" i="1"/>
  <c r="BS151" i="1"/>
  <c r="BS145" i="1"/>
  <c r="BS135" i="1"/>
  <c r="BS133" i="1"/>
  <c r="BS125" i="1"/>
  <c r="BS114" i="1"/>
  <c r="BS83" i="1"/>
  <c r="BS72" i="1"/>
  <c r="BS62" i="1"/>
  <c r="BS55" i="1"/>
  <c r="BS50" i="1"/>
  <c r="BS45" i="1"/>
  <c r="N226" i="2" l="1"/>
  <c r="N211" i="2"/>
  <c r="N190" i="2"/>
  <c r="N169" i="2"/>
  <c r="N147" i="2"/>
  <c r="N131" i="2"/>
  <c r="N121" i="2"/>
  <c r="N100" i="2"/>
  <c r="N79" i="2"/>
  <c r="F22" i="2"/>
  <c r="E230" i="2"/>
  <c r="F226" i="2"/>
  <c r="F221" i="2"/>
  <c r="N221" i="2" s="1"/>
  <c r="F211" i="2"/>
  <c r="F201" i="2"/>
  <c r="N201" i="2" s="1"/>
  <c r="F190" i="2"/>
  <c r="F180" i="2"/>
  <c r="N180" i="2" s="1"/>
  <c r="F169" i="2"/>
  <c r="F158" i="2"/>
  <c r="N158" i="2" s="1"/>
  <c r="F147" i="2"/>
  <c r="F141" i="2"/>
  <c r="N141" i="2" s="1"/>
  <c r="F131" i="2"/>
  <c r="F129" i="2"/>
  <c r="N129" i="2" s="1"/>
  <c r="F121" i="2"/>
  <c r="F110" i="2"/>
  <c r="N110" i="2" s="1"/>
  <c r="F100" i="2"/>
  <c r="F89" i="2"/>
  <c r="N89" i="2" s="1"/>
  <c r="F79" i="2"/>
  <c r="F68" i="2"/>
  <c r="F58" i="2"/>
  <c r="F51" i="2"/>
  <c r="F46" i="2"/>
  <c r="F41" i="2"/>
  <c r="F33" i="2"/>
  <c r="F26" i="2"/>
  <c r="F14" i="2"/>
  <c r="F13" i="2"/>
  <c r="F12" i="2"/>
  <c r="F5" i="2"/>
  <c r="F2" i="2"/>
  <c r="N22" i="2" l="1"/>
  <c r="F230" i="2"/>
  <c r="M14" i="2"/>
  <c r="N14" i="2" s="1"/>
  <c r="M68" i="2"/>
  <c r="N68" i="2" s="1"/>
  <c r="M58" i="2"/>
  <c r="N58" i="2" s="1"/>
  <c r="M51" i="2"/>
  <c r="N51" i="2" s="1"/>
  <c r="M46" i="2"/>
  <c r="N46" i="2" s="1"/>
  <c r="L43" i="2"/>
  <c r="L42" i="2"/>
  <c r="M41" i="2"/>
  <c r="N41" i="2" s="1"/>
  <c r="L41" i="2"/>
  <c r="M33" i="2"/>
  <c r="N33" i="2" s="1"/>
  <c r="L33" i="2"/>
  <c r="M26" i="2"/>
  <c r="N26" i="2" s="1"/>
  <c r="L26" i="2"/>
  <c r="M22" i="2"/>
  <c r="L22" i="2"/>
  <c r="L16" i="2"/>
  <c r="L15" i="2"/>
  <c r="L14" i="2"/>
  <c r="M13" i="2"/>
  <c r="N13" i="2" s="1"/>
  <c r="M12" i="2"/>
  <c r="N12" i="2" s="1"/>
  <c r="L12" i="2"/>
  <c r="L9" i="2"/>
  <c r="L8" i="2"/>
  <c r="L7" i="2"/>
  <c r="L6" i="2"/>
  <c r="M5" i="2"/>
  <c r="N5" i="2" s="1"/>
  <c r="L5" i="2"/>
  <c r="M2" i="2"/>
  <c r="L2" i="2"/>
  <c r="AH233" i="1"/>
  <c r="AI233" i="1" s="1"/>
  <c r="AF233" i="1"/>
  <c r="P233" i="1"/>
  <c r="Q233" i="1" s="1"/>
  <c r="J233" i="1"/>
  <c r="AY233" i="1" s="1"/>
  <c r="AV233" i="1" s="1"/>
  <c r="AH232" i="1"/>
  <c r="AL232" i="1" s="1"/>
  <c r="AF232" i="1"/>
  <c r="Q232" i="1"/>
  <c r="P232" i="1"/>
  <c r="J232" i="1"/>
  <c r="AH231" i="1"/>
  <c r="AI231" i="1" s="1"/>
  <c r="AF231" i="1"/>
  <c r="P231" i="1"/>
  <c r="Q231" i="1" s="1"/>
  <c r="J231" i="1"/>
  <c r="AY231" i="1" s="1"/>
  <c r="AV231" i="1" s="1"/>
  <c r="AH230" i="1"/>
  <c r="AL230" i="1" s="1"/>
  <c r="AF230" i="1"/>
  <c r="P230" i="1"/>
  <c r="Q230" i="1" s="1"/>
  <c r="J230" i="1"/>
  <c r="AH229" i="1"/>
  <c r="AL229" i="1" s="1"/>
  <c r="AF229" i="1"/>
  <c r="Q229" i="1"/>
  <c r="P229" i="1"/>
  <c r="J229" i="1"/>
  <c r="AL228" i="1"/>
  <c r="AI228" i="1"/>
  <c r="AD228" i="1"/>
  <c r="AE228" i="1" s="1"/>
  <c r="Y228" i="1"/>
  <c r="X228" i="1"/>
  <c r="P228" i="1"/>
  <c r="Q228" i="1" s="1"/>
  <c r="J228" i="1"/>
  <c r="AL227" i="1"/>
  <c r="AI227" i="1"/>
  <c r="AD227" i="1"/>
  <c r="AE227" i="1" s="1"/>
  <c r="Y227" i="1"/>
  <c r="X227" i="1"/>
  <c r="P227" i="1"/>
  <c r="Q227" i="1" s="1"/>
  <c r="J227" i="1"/>
  <c r="AL226" i="1"/>
  <c r="AI226" i="1"/>
  <c r="AD226" i="1"/>
  <c r="AE226" i="1" s="1"/>
  <c r="Y226" i="1"/>
  <c r="X226" i="1"/>
  <c r="P226" i="1"/>
  <c r="Q226" i="1" s="1"/>
  <c r="J226" i="1"/>
  <c r="AL225" i="1"/>
  <c r="AI225" i="1"/>
  <c r="AD225" i="1"/>
  <c r="AE225" i="1" s="1"/>
  <c r="Y225" i="1"/>
  <c r="X225" i="1"/>
  <c r="L225" i="1"/>
  <c r="AB225" i="1" s="1"/>
  <c r="J225" i="1"/>
  <c r="AY225" i="1" s="1"/>
  <c r="AL224" i="1"/>
  <c r="AI224" i="1"/>
  <c r="AD224" i="1"/>
  <c r="AE224" i="1" s="1"/>
  <c r="Y224" i="1"/>
  <c r="X224" i="1"/>
  <c r="P224" i="1"/>
  <c r="Q224" i="1" s="1"/>
  <c r="J224" i="1"/>
  <c r="AL223" i="1"/>
  <c r="AI223" i="1"/>
  <c r="AD223" i="1"/>
  <c r="AE223" i="1" s="1"/>
  <c r="Y223" i="1"/>
  <c r="X223" i="1"/>
  <c r="W223" i="1"/>
  <c r="L223" i="1"/>
  <c r="AB223" i="1" s="1"/>
  <c r="J223" i="1"/>
  <c r="AL222" i="1"/>
  <c r="AI222" i="1"/>
  <c r="AD222" i="1"/>
  <c r="AE222" i="1" s="1"/>
  <c r="W222" i="1" s="1"/>
  <c r="Y222" i="1"/>
  <c r="X222" i="1"/>
  <c r="P222" i="1"/>
  <c r="Q222" i="1" s="1"/>
  <c r="J222" i="1"/>
  <c r="AY222" i="1" s="1"/>
  <c r="AL221" i="1"/>
  <c r="AI221" i="1"/>
  <c r="AD221" i="1"/>
  <c r="AE221" i="1" s="1"/>
  <c r="Y221" i="1"/>
  <c r="X221" i="1"/>
  <c r="P221" i="1"/>
  <c r="Q221" i="1" s="1"/>
  <c r="J221" i="1"/>
  <c r="AL220" i="1"/>
  <c r="AI220" i="1"/>
  <c r="AD220" i="1"/>
  <c r="AE220" i="1" s="1"/>
  <c r="Y220" i="1"/>
  <c r="X220" i="1"/>
  <c r="P220" i="1"/>
  <c r="Q220" i="1" s="1"/>
  <c r="L220" i="1"/>
  <c r="AB220" i="1" s="1"/>
  <c r="J220" i="1"/>
  <c r="AY220" i="1" s="1"/>
  <c r="AL219" i="1"/>
  <c r="AI219" i="1"/>
  <c r="AD219" i="1"/>
  <c r="AE219" i="1" s="1"/>
  <c r="Y219" i="1"/>
  <c r="X219" i="1"/>
  <c r="L219" i="1"/>
  <c r="AB219" i="1" s="1"/>
  <c r="J219" i="1"/>
  <c r="AY219" i="1" s="1"/>
  <c r="AL218" i="1"/>
  <c r="AI218" i="1"/>
  <c r="AD218" i="1"/>
  <c r="AE218" i="1" s="1"/>
  <c r="Y218" i="1"/>
  <c r="X218" i="1"/>
  <c r="P218" i="1"/>
  <c r="Q218" i="1" s="1"/>
  <c r="J218" i="1"/>
  <c r="AL217" i="1"/>
  <c r="AI217" i="1"/>
  <c r="AE217" i="1"/>
  <c r="AD217" i="1"/>
  <c r="Y217" i="1"/>
  <c r="X217" i="1"/>
  <c r="L217" i="1"/>
  <c r="AB217" i="1" s="1"/>
  <c r="J217" i="1"/>
  <c r="AY217" i="1" s="1"/>
  <c r="AL216" i="1"/>
  <c r="AI216" i="1"/>
  <c r="AE216" i="1"/>
  <c r="AD216" i="1"/>
  <c r="Y216" i="1"/>
  <c r="X216" i="1"/>
  <c r="Q216" i="1"/>
  <c r="P216" i="1"/>
  <c r="J216" i="1"/>
  <c r="AY216" i="1" s="1"/>
  <c r="AL215" i="1"/>
  <c r="AI215" i="1"/>
  <c r="AD215" i="1"/>
  <c r="AE215" i="1" s="1"/>
  <c r="Y215" i="1"/>
  <c r="X215" i="1"/>
  <c r="P215" i="1"/>
  <c r="Q215" i="1" s="1"/>
  <c r="L215" i="1"/>
  <c r="AB215" i="1" s="1"/>
  <c r="J215" i="1"/>
  <c r="AY215" i="1" s="1"/>
  <c r="AH214" i="1"/>
  <c r="AL214" i="1" s="1"/>
  <c r="AF214" i="1"/>
  <c r="P214" i="1"/>
  <c r="Q214" i="1" s="1"/>
  <c r="J214" i="1"/>
  <c r="AL213" i="1"/>
  <c r="AI213" i="1"/>
  <c r="AD213" i="1"/>
  <c r="AE213" i="1" s="1"/>
  <c r="Y213" i="1"/>
  <c r="X213" i="1"/>
  <c r="W213" i="1"/>
  <c r="L213" i="1"/>
  <c r="AB213" i="1" s="1"/>
  <c r="J213" i="1"/>
  <c r="AH212" i="1"/>
  <c r="AI212" i="1" s="1"/>
  <c r="AF212" i="1"/>
  <c r="P212" i="1"/>
  <c r="Q212" i="1" s="1"/>
  <c r="J212" i="1"/>
  <c r="AL211" i="1"/>
  <c r="AI211" i="1"/>
  <c r="AD211" i="1"/>
  <c r="AE211" i="1" s="1"/>
  <c r="Y211" i="1"/>
  <c r="X211" i="1"/>
  <c r="P211" i="1"/>
  <c r="Q211" i="1" s="1"/>
  <c r="J211" i="1"/>
  <c r="AL210" i="1"/>
  <c r="AI210" i="1"/>
  <c r="AD210" i="1"/>
  <c r="AE210" i="1" s="1"/>
  <c r="Y210" i="1"/>
  <c r="X210" i="1"/>
  <c r="P210" i="1"/>
  <c r="Q210" i="1" s="1"/>
  <c r="J210" i="1"/>
  <c r="AL209" i="1"/>
  <c r="AI209" i="1"/>
  <c r="AD209" i="1"/>
  <c r="AE209" i="1" s="1"/>
  <c r="Y209" i="1"/>
  <c r="X209" i="1"/>
  <c r="P209" i="1"/>
  <c r="Q209" i="1" s="1"/>
  <c r="J209" i="1"/>
  <c r="AL208" i="1"/>
  <c r="AI208" i="1"/>
  <c r="AD208" i="1"/>
  <c r="AE208" i="1" s="1"/>
  <c r="Y208" i="1"/>
  <c r="X208" i="1"/>
  <c r="P208" i="1"/>
  <c r="Q208" i="1" s="1"/>
  <c r="L208" i="1"/>
  <c r="AB208" i="1" s="1"/>
  <c r="J208" i="1"/>
  <c r="AY208" i="1" s="1"/>
  <c r="AH207" i="1"/>
  <c r="AL207" i="1" s="1"/>
  <c r="AF207" i="1"/>
  <c r="P207" i="1"/>
  <c r="Q207" i="1" s="1"/>
  <c r="J207" i="1"/>
  <c r="AH206" i="1"/>
  <c r="AL206" i="1" s="1"/>
  <c r="AF206" i="1"/>
  <c r="Q206" i="1"/>
  <c r="P206" i="1"/>
  <c r="J206" i="1"/>
  <c r="AH205" i="1"/>
  <c r="AL205" i="1" s="1"/>
  <c r="AF205" i="1"/>
  <c r="Q205" i="1"/>
  <c r="P205" i="1"/>
  <c r="J205" i="1"/>
  <c r="AH204" i="1"/>
  <c r="AL204" i="1" s="1"/>
  <c r="AF204" i="1"/>
  <c r="P204" i="1"/>
  <c r="Q204" i="1" s="1"/>
  <c r="J204" i="1"/>
  <c r="AH203" i="1"/>
  <c r="AL203" i="1" s="1"/>
  <c r="AF203" i="1"/>
  <c r="Q203" i="1"/>
  <c r="P203" i="1"/>
  <c r="J203" i="1"/>
  <c r="AL202" i="1"/>
  <c r="AI202" i="1"/>
  <c r="AD202" i="1"/>
  <c r="AE202" i="1" s="1"/>
  <c r="Y202" i="1"/>
  <c r="X202" i="1"/>
  <c r="P202" i="1"/>
  <c r="Q202" i="1" s="1"/>
  <c r="J202" i="1"/>
  <c r="AL201" i="1"/>
  <c r="AI201" i="1"/>
  <c r="AD201" i="1"/>
  <c r="AE201" i="1" s="1"/>
  <c r="Y201" i="1"/>
  <c r="X201" i="1"/>
  <c r="L201" i="1"/>
  <c r="AB201" i="1" s="1"/>
  <c r="J201" i="1"/>
  <c r="AY201" i="1" s="1"/>
  <c r="AL200" i="1"/>
  <c r="AI200" i="1"/>
  <c r="AE200" i="1"/>
  <c r="AD200" i="1"/>
  <c r="Y200" i="1"/>
  <c r="X200" i="1"/>
  <c r="L200" i="1"/>
  <c r="AB200" i="1" s="1"/>
  <c r="J200" i="1"/>
  <c r="AY200" i="1" s="1"/>
  <c r="AL199" i="1"/>
  <c r="AI199" i="1"/>
  <c r="AE199" i="1"/>
  <c r="W199" i="1" s="1"/>
  <c r="AD199" i="1"/>
  <c r="Y199" i="1"/>
  <c r="X199" i="1"/>
  <c r="Q199" i="1"/>
  <c r="P199" i="1"/>
  <c r="J199" i="1"/>
  <c r="AY199" i="1" s="1"/>
  <c r="AL198" i="1"/>
  <c r="AI198" i="1"/>
  <c r="AD198" i="1"/>
  <c r="AE198" i="1" s="1"/>
  <c r="W198" i="1" s="1"/>
  <c r="Y198" i="1"/>
  <c r="X198" i="1"/>
  <c r="L198" i="1"/>
  <c r="AB198" i="1" s="1"/>
  <c r="J198" i="1"/>
  <c r="AH197" i="1"/>
  <c r="AL197" i="1" s="1"/>
  <c r="AF197" i="1"/>
  <c r="P197" i="1"/>
  <c r="Q197" i="1" s="1"/>
  <c r="J197" i="1"/>
  <c r="AL196" i="1"/>
  <c r="AI196" i="1"/>
  <c r="AE196" i="1"/>
  <c r="AD196" i="1"/>
  <c r="Y196" i="1"/>
  <c r="X196" i="1"/>
  <c r="Q196" i="1"/>
  <c r="P196" i="1"/>
  <c r="J196" i="1"/>
  <c r="AY196" i="1" s="1"/>
  <c r="AL195" i="1"/>
  <c r="AI195" i="1"/>
  <c r="AD195" i="1"/>
  <c r="AE195" i="1" s="1"/>
  <c r="Y195" i="1"/>
  <c r="X195" i="1"/>
  <c r="P195" i="1"/>
  <c r="Q195" i="1" s="1"/>
  <c r="J195" i="1"/>
  <c r="AL194" i="1"/>
  <c r="AI194" i="1"/>
  <c r="AE194" i="1"/>
  <c r="AD194" i="1"/>
  <c r="Y194" i="1"/>
  <c r="X194" i="1"/>
  <c r="L194" i="1"/>
  <c r="AB194" i="1" s="1"/>
  <c r="J194" i="1"/>
  <c r="AY194" i="1" s="1"/>
  <c r="AI193" i="1"/>
  <c r="AH193" i="1"/>
  <c r="AL193" i="1" s="1"/>
  <c r="AF193" i="1"/>
  <c r="P193" i="1"/>
  <c r="Q193" i="1" s="1"/>
  <c r="J193" i="1"/>
  <c r="AH192" i="1"/>
  <c r="AL192" i="1" s="1"/>
  <c r="AF192" i="1"/>
  <c r="P192" i="1"/>
  <c r="Q192" i="1" s="1"/>
  <c r="J192" i="1"/>
  <c r="AI191" i="1"/>
  <c r="AH191" i="1"/>
  <c r="AL191" i="1" s="1"/>
  <c r="AF191" i="1"/>
  <c r="P191" i="1"/>
  <c r="Q191" i="1" s="1"/>
  <c r="J191" i="1"/>
  <c r="AH190" i="1"/>
  <c r="AL190" i="1" s="1"/>
  <c r="AF190" i="1"/>
  <c r="P190" i="1"/>
  <c r="Q190" i="1" s="1"/>
  <c r="J190" i="1"/>
  <c r="AI189" i="1"/>
  <c r="AH189" i="1"/>
  <c r="AL189" i="1" s="1"/>
  <c r="AF189" i="1"/>
  <c r="P189" i="1"/>
  <c r="Q189" i="1" s="1"/>
  <c r="J189" i="1"/>
  <c r="AL188" i="1"/>
  <c r="AI188" i="1"/>
  <c r="AE188" i="1"/>
  <c r="AD188" i="1"/>
  <c r="Y188" i="1"/>
  <c r="X188" i="1"/>
  <c r="L188" i="1"/>
  <c r="AB188" i="1" s="1"/>
  <c r="J188" i="1"/>
  <c r="AY188" i="1" s="1"/>
  <c r="AL187" i="1"/>
  <c r="AI187" i="1"/>
  <c r="AE187" i="1"/>
  <c r="AD187" i="1"/>
  <c r="Y187" i="1"/>
  <c r="X187" i="1"/>
  <c r="Q187" i="1"/>
  <c r="P187" i="1"/>
  <c r="J187" i="1"/>
  <c r="AY187" i="1" s="1"/>
  <c r="AL186" i="1"/>
  <c r="AI186" i="1"/>
  <c r="AD186" i="1"/>
  <c r="AE186" i="1" s="1"/>
  <c r="Y186" i="1"/>
  <c r="X186" i="1"/>
  <c r="P186" i="1"/>
  <c r="Q186" i="1" s="1"/>
  <c r="J186" i="1"/>
  <c r="AL185" i="1"/>
  <c r="AI185" i="1"/>
  <c r="AE185" i="1"/>
  <c r="AD185" i="1"/>
  <c r="Y185" i="1"/>
  <c r="X185" i="1"/>
  <c r="Q185" i="1"/>
  <c r="P185" i="1"/>
  <c r="J185" i="1"/>
  <c r="AY185" i="1" s="1"/>
  <c r="AL184" i="1"/>
  <c r="AI184" i="1"/>
  <c r="AD184" i="1"/>
  <c r="AE184" i="1" s="1"/>
  <c r="Y184" i="1"/>
  <c r="X184" i="1"/>
  <c r="P184" i="1"/>
  <c r="Q184" i="1" s="1"/>
  <c r="L184" i="1"/>
  <c r="AB184" i="1" s="1"/>
  <c r="J184" i="1"/>
  <c r="AY184" i="1" s="1"/>
  <c r="AH183" i="1"/>
  <c r="AL183" i="1" s="1"/>
  <c r="AF183" i="1"/>
  <c r="P183" i="1"/>
  <c r="Q183" i="1" s="1"/>
  <c r="J183" i="1"/>
  <c r="AH182" i="1"/>
  <c r="AL182" i="1" s="1"/>
  <c r="AF182" i="1"/>
  <c r="Q182" i="1"/>
  <c r="P182" i="1"/>
  <c r="J182" i="1"/>
  <c r="AH181" i="1"/>
  <c r="AI181" i="1" s="1"/>
  <c r="AF181" i="1"/>
  <c r="P181" i="1"/>
  <c r="Q181" i="1" s="1"/>
  <c r="J181" i="1"/>
  <c r="AY181" i="1" s="1"/>
  <c r="AR181" i="1" s="1"/>
  <c r="AH180" i="1"/>
  <c r="AL180" i="1" s="1"/>
  <c r="AF180" i="1"/>
  <c r="P180" i="1"/>
  <c r="Q180" i="1" s="1"/>
  <c r="J180" i="1"/>
  <c r="AH179" i="1"/>
  <c r="AL179" i="1" s="1"/>
  <c r="AF179" i="1"/>
  <c r="Q179" i="1"/>
  <c r="P179" i="1"/>
  <c r="J179" i="1"/>
  <c r="AH178" i="1"/>
  <c r="AL178" i="1" s="1"/>
  <c r="AF178" i="1"/>
  <c r="P178" i="1"/>
  <c r="Q178" i="1" s="1"/>
  <c r="J178" i="1"/>
  <c r="AH177" i="1"/>
  <c r="AL177" i="1" s="1"/>
  <c r="AF177" i="1"/>
  <c r="Q177" i="1"/>
  <c r="P177" i="1"/>
  <c r="J177" i="1"/>
  <c r="AH176" i="1"/>
  <c r="AL176" i="1" s="1"/>
  <c r="AF176" i="1"/>
  <c r="P176" i="1"/>
  <c r="Q176" i="1" s="1"/>
  <c r="J176" i="1"/>
  <c r="AH175" i="1"/>
  <c r="AL175" i="1" s="1"/>
  <c r="AF175" i="1"/>
  <c r="Q175" i="1"/>
  <c r="P175" i="1"/>
  <c r="J175" i="1"/>
  <c r="AH174" i="1"/>
  <c r="AL174" i="1" s="1"/>
  <c r="AF174" i="1"/>
  <c r="P174" i="1"/>
  <c r="Q174" i="1" s="1"/>
  <c r="J174" i="1"/>
  <c r="AH173" i="1"/>
  <c r="AL173" i="1" s="1"/>
  <c r="AF173" i="1"/>
  <c r="P173" i="1"/>
  <c r="Q173" i="1" s="1"/>
  <c r="J173" i="1"/>
  <c r="AL172" i="1"/>
  <c r="AI172" i="1"/>
  <c r="AD172" i="1"/>
  <c r="AE172" i="1" s="1"/>
  <c r="Y172" i="1"/>
  <c r="X172" i="1"/>
  <c r="P172" i="1"/>
  <c r="Q172" i="1" s="1"/>
  <c r="L172" i="1"/>
  <c r="AB172" i="1" s="1"/>
  <c r="J172" i="1"/>
  <c r="AY172" i="1" s="1"/>
  <c r="AL171" i="1"/>
  <c r="AI171" i="1"/>
  <c r="AE171" i="1"/>
  <c r="Y171" i="1"/>
  <c r="X171" i="1"/>
  <c r="W171" i="1"/>
  <c r="V171" i="1"/>
  <c r="Q171" i="1"/>
  <c r="P171" i="1"/>
  <c r="J171" i="1"/>
  <c r="AY171" i="1" s="1"/>
  <c r="AL170" i="1"/>
  <c r="AI170" i="1"/>
  <c r="AD170" i="1"/>
  <c r="AE170" i="1" s="1"/>
  <c r="Y170" i="1"/>
  <c r="X170" i="1"/>
  <c r="L170" i="1"/>
  <c r="AB170" i="1" s="1"/>
  <c r="J170" i="1"/>
  <c r="AY170" i="1" s="1"/>
  <c r="AH169" i="1"/>
  <c r="AL169" i="1" s="1"/>
  <c r="AF169" i="1"/>
  <c r="Q169" i="1"/>
  <c r="P169" i="1"/>
  <c r="J169" i="1"/>
  <c r="AH168" i="1"/>
  <c r="AL168" i="1" s="1"/>
  <c r="AF168" i="1"/>
  <c r="P168" i="1"/>
  <c r="Q168" i="1" s="1"/>
  <c r="J168" i="1"/>
  <c r="AH167" i="1"/>
  <c r="AL167" i="1" s="1"/>
  <c r="AF167" i="1"/>
  <c r="Q167" i="1"/>
  <c r="P167" i="1"/>
  <c r="J167" i="1"/>
  <c r="AH166" i="1"/>
  <c r="AL166" i="1" s="1"/>
  <c r="AF166" i="1"/>
  <c r="P166" i="1"/>
  <c r="Q166" i="1" s="1"/>
  <c r="J166" i="1"/>
  <c r="AH165" i="1"/>
  <c r="AL165" i="1" s="1"/>
  <c r="AF165" i="1"/>
  <c r="Q165" i="1"/>
  <c r="P165" i="1"/>
  <c r="J165" i="1"/>
  <c r="AH164" i="1"/>
  <c r="AL164" i="1" s="1"/>
  <c r="AF164" i="1"/>
  <c r="P164" i="1"/>
  <c r="Q164" i="1" s="1"/>
  <c r="J164" i="1"/>
  <c r="AH163" i="1"/>
  <c r="AL163" i="1" s="1"/>
  <c r="AF163" i="1"/>
  <c r="Q163" i="1"/>
  <c r="P163" i="1"/>
  <c r="J163" i="1"/>
  <c r="AH162" i="1"/>
  <c r="AL162" i="1" s="1"/>
  <c r="AF162" i="1"/>
  <c r="Q162" i="1"/>
  <c r="P162" i="1"/>
  <c r="J162" i="1"/>
  <c r="AH161" i="1"/>
  <c r="AL161" i="1" s="1"/>
  <c r="AF161" i="1"/>
  <c r="P161" i="1"/>
  <c r="Q161" i="1" s="1"/>
  <c r="J161" i="1"/>
  <c r="AH160" i="1"/>
  <c r="AL160" i="1" s="1"/>
  <c r="AF160" i="1"/>
  <c r="Q160" i="1"/>
  <c r="P160" i="1"/>
  <c r="J160" i="1"/>
  <c r="AH159" i="1"/>
  <c r="AL159" i="1" s="1"/>
  <c r="AF159" i="1"/>
  <c r="P159" i="1"/>
  <c r="Q159" i="1" s="1"/>
  <c r="J159" i="1"/>
  <c r="AL158" i="1"/>
  <c r="AI158" i="1"/>
  <c r="AD158" i="1"/>
  <c r="AE158" i="1" s="1"/>
  <c r="Y158" i="1"/>
  <c r="X158" i="1"/>
  <c r="P158" i="1"/>
  <c r="Q158" i="1" s="1"/>
  <c r="J158" i="1"/>
  <c r="AL157" i="1"/>
  <c r="AI157" i="1"/>
  <c r="AD157" i="1"/>
  <c r="AE157" i="1" s="1"/>
  <c r="Y157" i="1"/>
  <c r="X157" i="1"/>
  <c r="P157" i="1"/>
  <c r="Q157" i="1" s="1"/>
  <c r="J157" i="1"/>
  <c r="AL156" i="1"/>
  <c r="AI156" i="1"/>
  <c r="AD156" i="1"/>
  <c r="AE156" i="1" s="1"/>
  <c r="Y156" i="1"/>
  <c r="X156" i="1"/>
  <c r="P156" i="1"/>
  <c r="Q156" i="1" s="1"/>
  <c r="J156" i="1"/>
  <c r="AL155" i="1"/>
  <c r="AI155" i="1"/>
  <c r="AD155" i="1"/>
  <c r="AE155" i="1" s="1"/>
  <c r="Y155" i="1"/>
  <c r="X155" i="1"/>
  <c r="P155" i="1"/>
  <c r="Q155" i="1" s="1"/>
  <c r="J155" i="1"/>
  <c r="AL154" i="1"/>
  <c r="AI154" i="1"/>
  <c r="AD154" i="1"/>
  <c r="AE154" i="1" s="1"/>
  <c r="Y154" i="1"/>
  <c r="X154" i="1"/>
  <c r="P154" i="1"/>
  <c r="Q154" i="1" s="1"/>
  <c r="J154" i="1"/>
  <c r="AL153" i="1"/>
  <c r="AI153" i="1"/>
  <c r="AD153" i="1"/>
  <c r="AE153" i="1" s="1"/>
  <c r="W153" i="1" s="1"/>
  <c r="Y153" i="1"/>
  <c r="X153" i="1"/>
  <c r="P153" i="1"/>
  <c r="Q153" i="1" s="1"/>
  <c r="J153" i="1"/>
  <c r="AL152" i="1"/>
  <c r="AI152" i="1"/>
  <c r="AE152" i="1"/>
  <c r="W152" i="1" s="1"/>
  <c r="AD152" i="1"/>
  <c r="Y152" i="1"/>
  <c r="X152" i="1"/>
  <c r="Q152" i="1"/>
  <c r="P152" i="1"/>
  <c r="J152" i="1"/>
  <c r="AY152" i="1" s="1"/>
  <c r="AL151" i="1"/>
  <c r="AI151" i="1"/>
  <c r="AD151" i="1"/>
  <c r="AE151" i="1" s="1"/>
  <c r="Y151" i="1"/>
  <c r="X151" i="1"/>
  <c r="P151" i="1"/>
  <c r="Q151" i="1" s="1"/>
  <c r="L151" i="1"/>
  <c r="AB151" i="1" s="1"/>
  <c r="J151" i="1"/>
  <c r="AY151" i="1" s="1"/>
  <c r="AH150" i="1"/>
  <c r="AL150" i="1" s="1"/>
  <c r="AF150" i="1"/>
  <c r="Q150" i="1"/>
  <c r="P150" i="1"/>
  <c r="J150" i="1"/>
  <c r="AH149" i="1"/>
  <c r="AI149" i="1" s="1"/>
  <c r="AF149" i="1"/>
  <c r="P149" i="1"/>
  <c r="Q149" i="1" s="1"/>
  <c r="J149" i="1"/>
  <c r="AH148" i="1"/>
  <c r="AL148" i="1" s="1"/>
  <c r="AF148" i="1"/>
  <c r="Q148" i="1"/>
  <c r="P148" i="1"/>
  <c r="J148" i="1"/>
  <c r="AL147" i="1"/>
  <c r="AI147" i="1"/>
  <c r="AD147" i="1"/>
  <c r="AE147" i="1" s="1"/>
  <c r="W147" i="1" s="1"/>
  <c r="Y147" i="1"/>
  <c r="X147" i="1"/>
  <c r="L147" i="1"/>
  <c r="J147" i="1"/>
  <c r="AY147" i="1" s="1"/>
  <c r="AH146" i="1"/>
  <c r="AL146" i="1" s="1"/>
  <c r="AF146" i="1"/>
  <c r="Q146" i="1"/>
  <c r="P146" i="1"/>
  <c r="J146" i="1"/>
  <c r="AH145" i="1"/>
  <c r="AL145" i="1" s="1"/>
  <c r="AF145" i="1"/>
  <c r="Q145" i="1"/>
  <c r="P145" i="1"/>
  <c r="J145" i="1"/>
  <c r="AL144" i="1"/>
  <c r="AI144" i="1"/>
  <c r="AY144" i="1" s="1"/>
  <c r="AD144" i="1"/>
  <c r="AE144" i="1" s="1"/>
  <c r="Y144" i="1"/>
  <c r="X144" i="1"/>
  <c r="P144" i="1"/>
  <c r="Q144" i="1" s="1"/>
  <c r="J144" i="1"/>
  <c r="AL143" i="1"/>
  <c r="AI143" i="1"/>
  <c r="AD143" i="1"/>
  <c r="AE143" i="1" s="1"/>
  <c r="Y143" i="1"/>
  <c r="X143" i="1"/>
  <c r="L143" i="1"/>
  <c r="J143" i="1"/>
  <c r="AY143" i="1" s="1"/>
  <c r="AH142" i="1"/>
  <c r="AI142" i="1" s="1"/>
  <c r="AF142" i="1"/>
  <c r="P142" i="1"/>
  <c r="Q142" i="1" s="1"/>
  <c r="J142" i="1"/>
  <c r="AI141" i="1"/>
  <c r="AH141" i="1"/>
  <c r="AL141" i="1" s="1"/>
  <c r="AF141" i="1"/>
  <c r="P141" i="1"/>
  <c r="Q141" i="1" s="1"/>
  <c r="J141" i="1"/>
  <c r="AH140" i="1"/>
  <c r="AI140" i="1" s="1"/>
  <c r="AF140" i="1"/>
  <c r="P140" i="1"/>
  <c r="Q140" i="1" s="1"/>
  <c r="J140" i="1"/>
  <c r="AI139" i="1"/>
  <c r="AH139" i="1"/>
  <c r="AL139" i="1" s="1"/>
  <c r="AF139" i="1"/>
  <c r="P139" i="1"/>
  <c r="Q139" i="1" s="1"/>
  <c r="J139" i="1"/>
  <c r="AH138" i="1"/>
  <c r="AI138" i="1" s="1"/>
  <c r="AF138" i="1"/>
  <c r="P138" i="1"/>
  <c r="Q138" i="1" s="1"/>
  <c r="J138" i="1"/>
  <c r="AL137" i="1"/>
  <c r="AI137" i="1"/>
  <c r="AD137" i="1"/>
  <c r="AE137" i="1" s="1"/>
  <c r="Y137" i="1"/>
  <c r="X137" i="1"/>
  <c r="L137" i="1"/>
  <c r="J137" i="1"/>
  <c r="AY137" i="1" s="1"/>
  <c r="AL136" i="1"/>
  <c r="AI136" i="1"/>
  <c r="AD136" i="1"/>
  <c r="AE136" i="1" s="1"/>
  <c r="Y136" i="1"/>
  <c r="X136" i="1"/>
  <c r="P136" i="1"/>
  <c r="Q136" i="1" s="1"/>
  <c r="J136" i="1"/>
  <c r="AL135" i="1"/>
  <c r="AI135" i="1"/>
  <c r="AD135" i="1"/>
  <c r="AE135" i="1" s="1"/>
  <c r="W135" i="1" s="1"/>
  <c r="Y135" i="1"/>
  <c r="X135" i="1"/>
  <c r="L135" i="1"/>
  <c r="J135" i="1"/>
  <c r="AY135" i="1" s="1"/>
  <c r="AL134" i="1"/>
  <c r="AI134" i="1"/>
  <c r="AD134" i="1"/>
  <c r="AE134" i="1" s="1"/>
  <c r="Y134" i="1"/>
  <c r="X134" i="1"/>
  <c r="P134" i="1"/>
  <c r="Q134" i="1" s="1"/>
  <c r="L134" i="1"/>
  <c r="AB134" i="1" s="1"/>
  <c r="J134" i="1"/>
  <c r="AY134" i="1" s="1"/>
  <c r="AL133" i="1"/>
  <c r="AI133" i="1"/>
  <c r="AD133" i="1"/>
  <c r="AE133" i="1" s="1"/>
  <c r="Y133" i="1"/>
  <c r="X133" i="1"/>
  <c r="P133" i="1"/>
  <c r="Q133" i="1" s="1"/>
  <c r="L133" i="1"/>
  <c r="AB133" i="1" s="1"/>
  <c r="J133" i="1"/>
  <c r="AY133" i="1" s="1"/>
  <c r="AL132" i="1"/>
  <c r="AI132" i="1"/>
  <c r="AD132" i="1"/>
  <c r="AE132" i="1" s="1"/>
  <c r="W132" i="1" s="1"/>
  <c r="Y132" i="1"/>
  <c r="X132" i="1"/>
  <c r="L132" i="1"/>
  <c r="J132" i="1"/>
  <c r="AH131" i="1"/>
  <c r="AF131" i="1"/>
  <c r="Q131" i="1"/>
  <c r="P131" i="1"/>
  <c r="J131" i="1"/>
  <c r="AH130" i="1"/>
  <c r="AI130" i="1" s="1"/>
  <c r="AF130" i="1"/>
  <c r="P130" i="1"/>
  <c r="Q130" i="1" s="1"/>
  <c r="J130" i="1"/>
  <c r="AY130" i="1" s="1"/>
  <c r="AV130" i="1" s="1"/>
  <c r="AL129" i="1"/>
  <c r="AI129" i="1"/>
  <c r="AD129" i="1"/>
  <c r="AE129" i="1" s="1"/>
  <c r="W129" i="1" s="1"/>
  <c r="Y129" i="1"/>
  <c r="X129" i="1"/>
  <c r="P129" i="1"/>
  <c r="Q129" i="1" s="1"/>
  <c r="J129" i="1"/>
  <c r="AL128" i="1"/>
  <c r="AI128" i="1"/>
  <c r="AE128" i="1"/>
  <c r="W128" i="1" s="1"/>
  <c r="AD128" i="1"/>
  <c r="AB128" i="1"/>
  <c r="Y128" i="1"/>
  <c r="X128" i="1"/>
  <c r="L128" i="1"/>
  <c r="J128" i="1"/>
  <c r="AY128" i="1" s="1"/>
  <c r="AH127" i="1"/>
  <c r="AF127" i="1"/>
  <c r="Q127" i="1"/>
  <c r="P127" i="1"/>
  <c r="J127" i="1"/>
  <c r="AH126" i="1"/>
  <c r="AI126" i="1" s="1"/>
  <c r="AF126" i="1"/>
  <c r="P126" i="1"/>
  <c r="Q126" i="1" s="1"/>
  <c r="J126" i="1"/>
  <c r="AY126" i="1" s="1"/>
  <c r="AR126" i="1" s="1"/>
  <c r="AH125" i="1"/>
  <c r="AI125" i="1" s="1"/>
  <c r="AF125" i="1"/>
  <c r="P125" i="1"/>
  <c r="Q125" i="1" s="1"/>
  <c r="J125" i="1"/>
  <c r="AY125" i="1" s="1"/>
  <c r="AR125" i="1" s="1"/>
  <c r="AH124" i="1"/>
  <c r="AF124" i="1"/>
  <c r="Q124" i="1"/>
  <c r="P124" i="1"/>
  <c r="J124" i="1"/>
  <c r="AH123" i="1"/>
  <c r="AI123" i="1" s="1"/>
  <c r="AF123" i="1"/>
  <c r="P123" i="1"/>
  <c r="Q123" i="1" s="1"/>
  <c r="J123" i="1"/>
  <c r="AY123" i="1" s="1"/>
  <c r="AV123" i="1" s="1"/>
  <c r="AH122" i="1"/>
  <c r="AL122" i="1" s="1"/>
  <c r="AF122" i="1"/>
  <c r="P122" i="1"/>
  <c r="Q122" i="1" s="1"/>
  <c r="J122" i="1"/>
  <c r="AL121" i="1"/>
  <c r="AI121" i="1"/>
  <c r="AD121" i="1"/>
  <c r="AE121" i="1" s="1"/>
  <c r="Y121" i="1"/>
  <c r="X121" i="1"/>
  <c r="P121" i="1"/>
  <c r="Q121" i="1" s="1"/>
  <c r="J121" i="1"/>
  <c r="AL120" i="1"/>
  <c r="AI120" i="1"/>
  <c r="AD120" i="1"/>
  <c r="AE120" i="1" s="1"/>
  <c r="Y120" i="1"/>
  <c r="X120" i="1"/>
  <c r="P120" i="1"/>
  <c r="Q120" i="1" s="1"/>
  <c r="J120" i="1"/>
  <c r="AL119" i="1"/>
  <c r="AI119" i="1"/>
  <c r="AD119" i="1"/>
  <c r="AE119" i="1" s="1"/>
  <c r="Y119" i="1"/>
  <c r="X119" i="1"/>
  <c r="P119" i="1"/>
  <c r="Q119" i="1" s="1"/>
  <c r="L119" i="1"/>
  <c r="AB119" i="1" s="1"/>
  <c r="J119" i="1"/>
  <c r="AY119" i="1" s="1"/>
  <c r="AL118" i="1"/>
  <c r="AI118" i="1"/>
  <c r="AY118" i="1" s="1"/>
  <c r="AD118" i="1"/>
  <c r="AE118" i="1" s="1"/>
  <c r="Y118" i="1"/>
  <c r="X118" i="1"/>
  <c r="P118" i="1"/>
  <c r="Q118" i="1" s="1"/>
  <c r="J118" i="1"/>
  <c r="AL117" i="1"/>
  <c r="AI117" i="1"/>
  <c r="AE117" i="1"/>
  <c r="AD117" i="1"/>
  <c r="Y117" i="1"/>
  <c r="X117" i="1"/>
  <c r="Q117" i="1"/>
  <c r="P117" i="1"/>
  <c r="J117" i="1"/>
  <c r="AY117" i="1" s="1"/>
  <c r="AL116" i="1"/>
  <c r="AI116" i="1"/>
  <c r="AY116" i="1" s="1"/>
  <c r="AD116" i="1"/>
  <c r="AE116" i="1" s="1"/>
  <c r="Y116" i="1"/>
  <c r="X116" i="1"/>
  <c r="P116" i="1"/>
  <c r="Q116" i="1" s="1"/>
  <c r="J116" i="1"/>
  <c r="AL115" i="1"/>
  <c r="AI115" i="1"/>
  <c r="AE115" i="1"/>
  <c r="AD115" i="1"/>
  <c r="Y115" i="1"/>
  <c r="X115" i="1"/>
  <c r="Q115" i="1"/>
  <c r="P115" i="1"/>
  <c r="J115" i="1"/>
  <c r="AY115" i="1" s="1"/>
  <c r="AL114" i="1"/>
  <c r="AI114" i="1"/>
  <c r="AD114" i="1"/>
  <c r="AE114" i="1" s="1"/>
  <c r="Y114" i="1"/>
  <c r="X114" i="1"/>
  <c r="P114" i="1"/>
  <c r="Q114" i="1" s="1"/>
  <c r="L114" i="1"/>
  <c r="AB114" i="1" s="1"/>
  <c r="J114" i="1"/>
  <c r="AY114" i="1" s="1"/>
  <c r="AL113" i="1"/>
  <c r="AI113" i="1"/>
  <c r="AY113" i="1" s="1"/>
  <c r="AD113" i="1"/>
  <c r="AE113" i="1" s="1"/>
  <c r="Y113" i="1"/>
  <c r="X113" i="1"/>
  <c r="P113" i="1"/>
  <c r="Q113" i="1" s="1"/>
  <c r="J113" i="1"/>
  <c r="AL112" i="1"/>
  <c r="AI112" i="1"/>
  <c r="AE112" i="1"/>
  <c r="AD112" i="1"/>
  <c r="Y112" i="1"/>
  <c r="X112" i="1"/>
  <c r="Q112" i="1"/>
  <c r="P112" i="1"/>
  <c r="J112" i="1"/>
  <c r="AY112" i="1" s="1"/>
  <c r="AL111" i="1"/>
  <c r="AI111" i="1"/>
  <c r="AD111" i="1"/>
  <c r="AE111" i="1" s="1"/>
  <c r="Y111" i="1"/>
  <c r="X111" i="1"/>
  <c r="P111" i="1"/>
  <c r="Q111" i="1" s="1"/>
  <c r="J111" i="1"/>
  <c r="AL110" i="1"/>
  <c r="AI110" i="1"/>
  <c r="AD110" i="1"/>
  <c r="AE110" i="1" s="1"/>
  <c r="Y110" i="1"/>
  <c r="X110" i="1"/>
  <c r="P110" i="1"/>
  <c r="Q110" i="1" s="1"/>
  <c r="J110" i="1"/>
  <c r="AY110" i="1" s="1"/>
  <c r="AL109" i="1"/>
  <c r="AI109" i="1"/>
  <c r="AD109" i="1"/>
  <c r="AE109" i="1" s="1"/>
  <c r="Y109" i="1"/>
  <c r="X109" i="1"/>
  <c r="P109" i="1"/>
  <c r="Q109" i="1" s="1"/>
  <c r="J109" i="1"/>
  <c r="AL108" i="1"/>
  <c r="AI108" i="1"/>
  <c r="AD108" i="1"/>
  <c r="AE108" i="1" s="1"/>
  <c r="Y108" i="1"/>
  <c r="X108" i="1"/>
  <c r="P108" i="1"/>
  <c r="Q108" i="1" s="1"/>
  <c r="J108" i="1"/>
  <c r="AY108" i="1" s="1"/>
  <c r="AL107" i="1"/>
  <c r="AI107" i="1"/>
  <c r="AD107" i="1"/>
  <c r="AE107" i="1" s="1"/>
  <c r="Y107" i="1"/>
  <c r="X107" i="1"/>
  <c r="P107" i="1"/>
  <c r="Q107" i="1" s="1"/>
  <c r="J107" i="1"/>
  <c r="AL106" i="1"/>
  <c r="AI106" i="1"/>
  <c r="AD106" i="1"/>
  <c r="AE106" i="1" s="1"/>
  <c r="Y106" i="1"/>
  <c r="X106" i="1"/>
  <c r="P106" i="1"/>
  <c r="Q106" i="1" s="1"/>
  <c r="J106" i="1"/>
  <c r="AY106" i="1" s="1"/>
  <c r="AL105" i="1"/>
  <c r="AI105" i="1"/>
  <c r="AD105" i="1"/>
  <c r="AE105" i="1" s="1"/>
  <c r="Y105" i="1"/>
  <c r="X105" i="1"/>
  <c r="P105" i="1"/>
  <c r="Q105" i="1" s="1"/>
  <c r="J105" i="1"/>
  <c r="AL104" i="1"/>
  <c r="AI104" i="1"/>
  <c r="AD104" i="1"/>
  <c r="AE104" i="1" s="1"/>
  <c r="Y104" i="1"/>
  <c r="X104" i="1"/>
  <c r="P104" i="1"/>
  <c r="Q104" i="1" s="1"/>
  <c r="J104" i="1"/>
  <c r="AL103" i="1"/>
  <c r="AI103" i="1"/>
  <c r="AD103" i="1"/>
  <c r="AE103" i="1" s="1"/>
  <c r="Y103" i="1"/>
  <c r="X103" i="1"/>
  <c r="P103" i="1"/>
  <c r="Q103" i="1" s="1"/>
  <c r="J103" i="1"/>
  <c r="AY103" i="1" s="1"/>
  <c r="AL102" i="1"/>
  <c r="AI102" i="1"/>
  <c r="AD102" i="1"/>
  <c r="AE102" i="1" s="1"/>
  <c r="Y102" i="1"/>
  <c r="X102" i="1"/>
  <c r="P102" i="1"/>
  <c r="Q102" i="1" s="1"/>
  <c r="J102" i="1"/>
  <c r="AL101" i="1"/>
  <c r="AI101" i="1"/>
  <c r="AD101" i="1"/>
  <c r="AE101" i="1" s="1"/>
  <c r="Y101" i="1"/>
  <c r="X101" i="1"/>
  <c r="P101" i="1"/>
  <c r="Q101" i="1" s="1"/>
  <c r="J101" i="1"/>
  <c r="AY101" i="1" s="1"/>
  <c r="AL100" i="1"/>
  <c r="AI100" i="1"/>
  <c r="AD100" i="1"/>
  <c r="AE100" i="1" s="1"/>
  <c r="Y100" i="1"/>
  <c r="X100" i="1"/>
  <c r="P100" i="1"/>
  <c r="Q100" i="1" s="1"/>
  <c r="J100" i="1"/>
  <c r="AL99" i="1"/>
  <c r="AI99" i="1"/>
  <c r="AD99" i="1"/>
  <c r="AE99" i="1" s="1"/>
  <c r="Y99" i="1"/>
  <c r="X99" i="1"/>
  <c r="P99" i="1"/>
  <c r="Q99" i="1" s="1"/>
  <c r="J99" i="1"/>
  <c r="AL98" i="1"/>
  <c r="AI98" i="1"/>
  <c r="AD98" i="1"/>
  <c r="AE98" i="1" s="1"/>
  <c r="Y98" i="1"/>
  <c r="X98" i="1"/>
  <c r="P98" i="1"/>
  <c r="Q98" i="1" s="1"/>
  <c r="J98" i="1"/>
  <c r="AL97" i="1"/>
  <c r="AI97" i="1"/>
  <c r="AD97" i="1"/>
  <c r="AE97" i="1" s="1"/>
  <c r="Y97" i="1"/>
  <c r="X97" i="1"/>
  <c r="P97" i="1"/>
  <c r="Q97" i="1" s="1"/>
  <c r="J97" i="1"/>
  <c r="AL96" i="1"/>
  <c r="AI96" i="1"/>
  <c r="AD96" i="1"/>
  <c r="AE96" i="1" s="1"/>
  <c r="Y96" i="1"/>
  <c r="X96" i="1"/>
  <c r="P96" i="1"/>
  <c r="Q96" i="1" s="1"/>
  <c r="J96" i="1"/>
  <c r="BS95" i="1"/>
  <c r="AL95" i="1"/>
  <c r="AI95" i="1"/>
  <c r="AD95" i="1"/>
  <c r="AE95" i="1" s="1"/>
  <c r="Y95" i="1"/>
  <c r="X95" i="1"/>
  <c r="P95" i="1"/>
  <c r="Q95" i="1" s="1"/>
  <c r="J95" i="1"/>
  <c r="BS94" i="1"/>
  <c r="BV94" i="1" s="1"/>
  <c r="AL94" i="1"/>
  <c r="AI94" i="1"/>
  <c r="AD94" i="1"/>
  <c r="AE94" i="1" s="1"/>
  <c r="Y94" i="1"/>
  <c r="X94" i="1"/>
  <c r="P94" i="1"/>
  <c r="Q94" i="1" s="1"/>
  <c r="J94" i="1"/>
  <c r="BS93" i="1"/>
  <c r="BV93" i="1" s="1"/>
  <c r="BV95" i="1" s="1"/>
  <c r="AL93" i="1"/>
  <c r="AI93" i="1"/>
  <c r="AD93" i="1"/>
  <c r="AE93" i="1" s="1"/>
  <c r="Y93" i="1"/>
  <c r="X93" i="1"/>
  <c r="L93" i="1"/>
  <c r="AB93" i="1" s="1"/>
  <c r="J93" i="1"/>
  <c r="AY93" i="1" s="1"/>
  <c r="AL92" i="1"/>
  <c r="AI92" i="1"/>
  <c r="AE92" i="1"/>
  <c r="AD92" i="1"/>
  <c r="Y92" i="1"/>
  <c r="X92" i="1"/>
  <c r="L92" i="1"/>
  <c r="AB92" i="1" s="1"/>
  <c r="J92" i="1"/>
  <c r="AY92" i="1" s="1"/>
  <c r="AI91" i="1"/>
  <c r="AH91" i="1"/>
  <c r="AL91" i="1" s="1"/>
  <c r="AF91" i="1"/>
  <c r="P91" i="1"/>
  <c r="Q91" i="1" s="1"/>
  <c r="J91" i="1"/>
  <c r="AH90" i="1"/>
  <c r="AL90" i="1" s="1"/>
  <c r="AF90" i="1"/>
  <c r="P90" i="1"/>
  <c r="Q90" i="1" s="1"/>
  <c r="J90" i="1"/>
  <c r="AI89" i="1"/>
  <c r="AH89" i="1"/>
  <c r="AL89" i="1" s="1"/>
  <c r="AF89" i="1"/>
  <c r="P89" i="1"/>
  <c r="Q89" i="1" s="1"/>
  <c r="J89" i="1"/>
  <c r="AL88" i="1"/>
  <c r="AI88" i="1"/>
  <c r="AD88" i="1"/>
  <c r="AE88" i="1" s="1"/>
  <c r="Y88" i="1"/>
  <c r="X88" i="1"/>
  <c r="P88" i="1"/>
  <c r="Q88" i="1" s="1"/>
  <c r="J88" i="1"/>
  <c r="AL87" i="1"/>
  <c r="AI87" i="1"/>
  <c r="AD87" i="1"/>
  <c r="AE87" i="1" s="1"/>
  <c r="Y87" i="1"/>
  <c r="X87" i="1"/>
  <c r="P87" i="1"/>
  <c r="Q87" i="1" s="1"/>
  <c r="J87" i="1"/>
  <c r="AL86" i="1"/>
  <c r="AI86" i="1"/>
  <c r="AE86" i="1"/>
  <c r="AD86" i="1"/>
  <c r="Y86" i="1"/>
  <c r="X86" i="1"/>
  <c r="L86" i="1"/>
  <c r="AB86" i="1" s="1"/>
  <c r="J86" i="1"/>
  <c r="AY86" i="1" s="1"/>
  <c r="AL85" i="1"/>
  <c r="AI85" i="1"/>
  <c r="AE85" i="1"/>
  <c r="AD85" i="1"/>
  <c r="Y85" i="1"/>
  <c r="X85" i="1"/>
  <c r="Q85" i="1"/>
  <c r="P85" i="1"/>
  <c r="J85" i="1"/>
  <c r="AY85" i="1" s="1"/>
  <c r="AL84" i="1"/>
  <c r="AI84" i="1"/>
  <c r="AD84" i="1"/>
  <c r="AE84" i="1" s="1"/>
  <c r="Y84" i="1"/>
  <c r="X84" i="1"/>
  <c r="P84" i="1"/>
  <c r="Q84" i="1" s="1"/>
  <c r="J84" i="1"/>
  <c r="AL83" i="1"/>
  <c r="AI83" i="1"/>
  <c r="AE83" i="1"/>
  <c r="AD83" i="1"/>
  <c r="Y83" i="1"/>
  <c r="X83" i="1"/>
  <c r="L83" i="1"/>
  <c r="AB83" i="1" s="1"/>
  <c r="J83" i="1"/>
  <c r="AY83" i="1" s="1"/>
  <c r="AI82" i="1"/>
  <c r="AH82" i="1"/>
  <c r="AL82" i="1" s="1"/>
  <c r="AF82" i="1"/>
  <c r="P82" i="1"/>
  <c r="Q82" i="1" s="1"/>
  <c r="J82" i="1"/>
  <c r="AY82" i="1" s="1"/>
  <c r="AL81" i="1"/>
  <c r="AI81" i="1"/>
  <c r="AD81" i="1"/>
  <c r="AE81" i="1" s="1"/>
  <c r="Y81" i="1"/>
  <c r="X81" i="1"/>
  <c r="L81" i="1"/>
  <c r="AB81" i="1" s="1"/>
  <c r="J81" i="1"/>
  <c r="AY81" i="1" s="1"/>
  <c r="AL80" i="1"/>
  <c r="AI80" i="1"/>
  <c r="AD80" i="1"/>
  <c r="AE80" i="1" s="1"/>
  <c r="Y80" i="1"/>
  <c r="X80" i="1"/>
  <c r="P80" i="1"/>
  <c r="Q80" i="1" s="1"/>
  <c r="J80" i="1"/>
  <c r="AY80" i="1" s="1"/>
  <c r="AL79" i="1"/>
  <c r="AI79" i="1"/>
  <c r="AD79" i="1"/>
  <c r="AE79" i="1" s="1"/>
  <c r="Y79" i="1"/>
  <c r="X79" i="1"/>
  <c r="P79" i="1"/>
  <c r="Q79" i="1" s="1"/>
  <c r="J79" i="1"/>
  <c r="AL78" i="1"/>
  <c r="AI78" i="1"/>
  <c r="AD78" i="1"/>
  <c r="AE78" i="1" s="1"/>
  <c r="Y78" i="1"/>
  <c r="X78" i="1"/>
  <c r="L78" i="1"/>
  <c r="AB78" i="1" s="1"/>
  <c r="J78" i="1"/>
  <c r="AY78" i="1" s="1"/>
  <c r="AL77" i="1"/>
  <c r="AI77" i="1"/>
  <c r="AD77" i="1"/>
  <c r="AE77" i="1" s="1"/>
  <c r="Y77" i="1"/>
  <c r="X77" i="1"/>
  <c r="P77" i="1"/>
  <c r="Q77" i="1" s="1"/>
  <c r="J77" i="1"/>
  <c r="AL76" i="1"/>
  <c r="AI76" i="1"/>
  <c r="AD76" i="1"/>
  <c r="AE76" i="1" s="1"/>
  <c r="Y76" i="1"/>
  <c r="X76" i="1"/>
  <c r="L76" i="1"/>
  <c r="AB76" i="1" s="1"/>
  <c r="J76" i="1"/>
  <c r="AY76" i="1" s="1"/>
  <c r="AH75" i="1"/>
  <c r="AL75" i="1" s="1"/>
  <c r="AF75" i="1"/>
  <c r="P75" i="1"/>
  <c r="Q75" i="1" s="1"/>
  <c r="J75" i="1"/>
  <c r="AI74" i="1"/>
  <c r="AH74" i="1"/>
  <c r="AL74" i="1" s="1"/>
  <c r="AF74" i="1"/>
  <c r="P74" i="1"/>
  <c r="Q74" i="1" s="1"/>
  <c r="J74" i="1"/>
  <c r="AY74" i="1" s="1"/>
  <c r="AH73" i="1"/>
  <c r="AL73" i="1" s="1"/>
  <c r="AF73" i="1"/>
  <c r="P73" i="1"/>
  <c r="Q73" i="1" s="1"/>
  <c r="J73" i="1"/>
  <c r="AH72" i="1"/>
  <c r="AL72" i="1" s="1"/>
  <c r="AF72" i="1"/>
  <c r="P72" i="1"/>
  <c r="Q72" i="1" s="1"/>
  <c r="J72" i="1"/>
  <c r="AI71" i="1"/>
  <c r="AH71" i="1"/>
  <c r="AL71" i="1" s="1"/>
  <c r="AF71" i="1"/>
  <c r="P71" i="1"/>
  <c r="Q71" i="1" s="1"/>
  <c r="J71" i="1"/>
  <c r="AH70" i="1"/>
  <c r="AL70" i="1" s="1"/>
  <c r="AF70" i="1"/>
  <c r="P70" i="1"/>
  <c r="Q70" i="1" s="1"/>
  <c r="J70" i="1"/>
  <c r="AI69" i="1"/>
  <c r="AH69" i="1"/>
  <c r="AL69" i="1" s="1"/>
  <c r="AF69" i="1"/>
  <c r="P69" i="1"/>
  <c r="Q69" i="1" s="1"/>
  <c r="J69" i="1"/>
  <c r="AH68" i="1"/>
  <c r="AL68" i="1" s="1"/>
  <c r="AF68" i="1"/>
  <c r="P68" i="1"/>
  <c r="Q68" i="1" s="1"/>
  <c r="J68" i="1"/>
  <c r="AL67" i="1"/>
  <c r="AI67" i="1"/>
  <c r="AE67" i="1"/>
  <c r="AD67" i="1"/>
  <c r="Y67" i="1"/>
  <c r="X67" i="1"/>
  <c r="Q67" i="1"/>
  <c r="P67" i="1"/>
  <c r="J67" i="1"/>
  <c r="AY67" i="1" s="1"/>
  <c r="AL66" i="1"/>
  <c r="AI66" i="1"/>
  <c r="AD66" i="1"/>
  <c r="AE66" i="1" s="1"/>
  <c r="Y66" i="1"/>
  <c r="X66" i="1"/>
  <c r="P66" i="1"/>
  <c r="Q66" i="1" s="1"/>
  <c r="J66" i="1"/>
  <c r="AL65" i="1"/>
  <c r="AI65" i="1"/>
  <c r="AE65" i="1"/>
  <c r="AD65" i="1"/>
  <c r="Y65" i="1"/>
  <c r="X65" i="1"/>
  <c r="Q65" i="1"/>
  <c r="P65" i="1"/>
  <c r="J65" i="1"/>
  <c r="AY65" i="1" s="1"/>
  <c r="AL64" i="1"/>
  <c r="AI64" i="1"/>
  <c r="AD64" i="1"/>
  <c r="AE64" i="1" s="1"/>
  <c r="Y64" i="1"/>
  <c r="X64" i="1"/>
  <c r="W64" i="1"/>
  <c r="P64" i="1"/>
  <c r="Q64" i="1" s="1"/>
  <c r="J64" i="1"/>
  <c r="AL63" i="1"/>
  <c r="AI63" i="1"/>
  <c r="AD63" i="1"/>
  <c r="AE63" i="1" s="1"/>
  <c r="W63" i="1" s="1"/>
  <c r="Y63" i="1"/>
  <c r="X63" i="1"/>
  <c r="P63" i="1"/>
  <c r="Q63" i="1" s="1"/>
  <c r="L63" i="1"/>
  <c r="AB63" i="1" s="1"/>
  <c r="J63" i="1"/>
  <c r="AY63" i="1" s="1"/>
  <c r="AH62" i="1"/>
  <c r="AL62" i="1" s="1"/>
  <c r="AF62" i="1"/>
  <c r="Q62" i="1"/>
  <c r="P62" i="1"/>
  <c r="J62" i="1"/>
  <c r="AH61" i="1"/>
  <c r="AL61" i="1" s="1"/>
  <c r="AF61" i="1"/>
  <c r="P61" i="1"/>
  <c r="Q61" i="1" s="1"/>
  <c r="J61" i="1"/>
  <c r="AH60" i="1"/>
  <c r="AL60" i="1" s="1"/>
  <c r="AF60" i="1"/>
  <c r="Q60" i="1"/>
  <c r="P60" i="1"/>
  <c r="J60" i="1"/>
  <c r="AL59" i="1"/>
  <c r="AI59" i="1"/>
  <c r="AD59" i="1"/>
  <c r="AE59" i="1" s="1"/>
  <c r="Y59" i="1"/>
  <c r="X59" i="1"/>
  <c r="L59" i="1"/>
  <c r="AB59" i="1" s="1"/>
  <c r="J59" i="1"/>
  <c r="AY59" i="1" s="1"/>
  <c r="AL58" i="1"/>
  <c r="AI58" i="1"/>
  <c r="AD58" i="1"/>
  <c r="AE58" i="1" s="1"/>
  <c r="Y58" i="1"/>
  <c r="X58" i="1"/>
  <c r="P58" i="1"/>
  <c r="Q58" i="1" s="1"/>
  <c r="L58" i="1"/>
  <c r="AB58" i="1" s="1"/>
  <c r="J58" i="1"/>
  <c r="AY58" i="1" s="1"/>
  <c r="AL57" i="1"/>
  <c r="AI57" i="1"/>
  <c r="AD57" i="1"/>
  <c r="AE57" i="1" s="1"/>
  <c r="Y57" i="1"/>
  <c r="X57" i="1"/>
  <c r="L57" i="1"/>
  <c r="AB57" i="1" s="1"/>
  <c r="J57" i="1"/>
  <c r="AY57" i="1" s="1"/>
  <c r="AH56" i="1"/>
  <c r="AL56" i="1" s="1"/>
  <c r="AF56" i="1"/>
  <c r="Q56" i="1"/>
  <c r="P56" i="1"/>
  <c r="J56" i="1"/>
  <c r="AH55" i="1"/>
  <c r="AL55" i="1" s="1"/>
  <c r="AF55" i="1"/>
  <c r="Q55" i="1"/>
  <c r="P55" i="1"/>
  <c r="J55" i="1"/>
  <c r="AL54" i="1"/>
  <c r="AI54" i="1"/>
  <c r="AD54" i="1"/>
  <c r="AE54" i="1" s="1"/>
  <c r="Y54" i="1"/>
  <c r="X54" i="1"/>
  <c r="L54" i="1"/>
  <c r="AB54" i="1" s="1"/>
  <c r="J54" i="1"/>
  <c r="AY54" i="1" s="1"/>
  <c r="AH53" i="1"/>
  <c r="AL53" i="1" s="1"/>
  <c r="AF53" i="1"/>
  <c r="Q53" i="1"/>
  <c r="P53" i="1"/>
  <c r="J53" i="1"/>
  <c r="AL52" i="1"/>
  <c r="AI52" i="1"/>
  <c r="AD52" i="1"/>
  <c r="AE52" i="1" s="1"/>
  <c r="Y52" i="1"/>
  <c r="X52" i="1"/>
  <c r="L52" i="1"/>
  <c r="AB52" i="1" s="1"/>
  <c r="J52" i="1"/>
  <c r="AY52" i="1" s="1"/>
  <c r="AL51" i="1"/>
  <c r="AI51" i="1"/>
  <c r="AD51" i="1"/>
  <c r="AE51" i="1" s="1"/>
  <c r="Y51" i="1"/>
  <c r="X51" i="1"/>
  <c r="P51" i="1"/>
  <c r="Q51" i="1" s="1"/>
  <c r="L51" i="1"/>
  <c r="AB51" i="1" s="1"/>
  <c r="J51" i="1"/>
  <c r="AY51" i="1" s="1"/>
  <c r="AL50" i="1"/>
  <c r="AI50" i="1"/>
  <c r="AD50" i="1"/>
  <c r="AE50" i="1" s="1"/>
  <c r="Y50" i="1"/>
  <c r="X50" i="1"/>
  <c r="P50" i="1"/>
  <c r="Q50" i="1" s="1"/>
  <c r="L50" i="1"/>
  <c r="AB50" i="1" s="1"/>
  <c r="J50" i="1"/>
  <c r="AY50" i="1" s="1"/>
  <c r="AH49" i="1"/>
  <c r="AL49" i="1" s="1"/>
  <c r="AF49" i="1"/>
  <c r="P49" i="1"/>
  <c r="Q49" i="1" s="1"/>
  <c r="J49" i="1"/>
  <c r="AH48" i="1"/>
  <c r="AL48" i="1" s="1"/>
  <c r="AF48" i="1"/>
  <c r="Q48" i="1"/>
  <c r="P48" i="1"/>
  <c r="J48" i="1"/>
  <c r="AH47" i="1"/>
  <c r="AL47" i="1" s="1"/>
  <c r="AF47" i="1"/>
  <c r="P47" i="1"/>
  <c r="Q47" i="1" s="1"/>
  <c r="J47" i="1"/>
  <c r="AH46" i="1"/>
  <c r="AL46" i="1" s="1"/>
  <c r="AF46" i="1"/>
  <c r="Q46" i="1"/>
  <c r="P46" i="1"/>
  <c r="J46" i="1"/>
  <c r="AH45" i="1"/>
  <c r="AL45" i="1" s="1"/>
  <c r="AF45" i="1"/>
  <c r="Q45" i="1"/>
  <c r="P45" i="1"/>
  <c r="J45" i="1"/>
  <c r="AL44" i="1"/>
  <c r="AI44" i="1"/>
  <c r="AY44" i="1" s="1"/>
  <c r="AD44" i="1"/>
  <c r="AE44" i="1" s="1"/>
  <c r="Y44" i="1"/>
  <c r="X44" i="1"/>
  <c r="P44" i="1"/>
  <c r="Q44" i="1" s="1"/>
  <c r="J44" i="1"/>
  <c r="AL43" i="1"/>
  <c r="AI43" i="1"/>
  <c r="AE43" i="1"/>
  <c r="AD43" i="1"/>
  <c r="Y43" i="1"/>
  <c r="X43" i="1"/>
  <c r="Q43" i="1"/>
  <c r="P43" i="1"/>
  <c r="J43" i="1"/>
  <c r="AY43" i="1" s="1"/>
  <c r="AL42" i="1"/>
  <c r="AI42" i="1"/>
  <c r="AY42" i="1" s="1"/>
  <c r="AD42" i="1"/>
  <c r="AE42" i="1" s="1"/>
  <c r="Y42" i="1"/>
  <c r="X42" i="1"/>
  <c r="P42" i="1"/>
  <c r="Q42" i="1" s="1"/>
  <c r="J42" i="1"/>
  <c r="AL41" i="1"/>
  <c r="AI41" i="1"/>
  <c r="AE41" i="1"/>
  <c r="AD41" i="1"/>
  <c r="Y41" i="1"/>
  <c r="X41" i="1"/>
  <c r="Q41" i="1"/>
  <c r="P41" i="1"/>
  <c r="J41" i="1"/>
  <c r="AY41" i="1" s="1"/>
  <c r="AL40" i="1"/>
  <c r="AI40" i="1"/>
  <c r="AY40" i="1" s="1"/>
  <c r="AD40" i="1"/>
  <c r="AE40" i="1" s="1"/>
  <c r="Y40" i="1"/>
  <c r="X40" i="1"/>
  <c r="P40" i="1"/>
  <c r="Q40" i="1" s="1"/>
  <c r="J40" i="1"/>
  <c r="AL39" i="1"/>
  <c r="AI39" i="1"/>
  <c r="AE39" i="1"/>
  <c r="AD39" i="1"/>
  <c r="Y39" i="1"/>
  <c r="X39" i="1"/>
  <c r="Q39" i="1"/>
  <c r="P39" i="1"/>
  <c r="J39" i="1"/>
  <c r="AY39" i="1" s="1"/>
  <c r="AL38" i="1"/>
  <c r="AI38" i="1"/>
  <c r="AY38" i="1" s="1"/>
  <c r="AD38" i="1"/>
  <c r="AE38" i="1" s="1"/>
  <c r="Y38" i="1"/>
  <c r="X38" i="1"/>
  <c r="P38" i="1"/>
  <c r="Q38" i="1" s="1"/>
  <c r="J38" i="1"/>
  <c r="AI37" i="1"/>
  <c r="AD37" i="1"/>
  <c r="AE37" i="1" s="1"/>
  <c r="Y37" i="1"/>
  <c r="X37" i="1"/>
  <c r="P37" i="1"/>
  <c r="Q37" i="1" s="1"/>
  <c r="L37" i="1"/>
  <c r="AB37" i="1" s="1"/>
  <c r="J37" i="1"/>
  <c r="AY37" i="1" s="1"/>
  <c r="AL36" i="1"/>
  <c r="AI36" i="1"/>
  <c r="AD36" i="1"/>
  <c r="AE36" i="1" s="1"/>
  <c r="Y36" i="1"/>
  <c r="X36" i="1"/>
  <c r="P36" i="1"/>
  <c r="Q36" i="1" s="1"/>
  <c r="J36" i="1"/>
  <c r="AL35" i="1"/>
  <c r="AI35" i="1"/>
  <c r="AD35" i="1"/>
  <c r="AE35" i="1" s="1"/>
  <c r="Y35" i="1"/>
  <c r="X35" i="1"/>
  <c r="P35" i="1"/>
  <c r="Q35" i="1" s="1"/>
  <c r="J35" i="1"/>
  <c r="AY35" i="1" s="1"/>
  <c r="AL34" i="1"/>
  <c r="AI34" i="1"/>
  <c r="AD34" i="1"/>
  <c r="AE34" i="1" s="1"/>
  <c r="Y34" i="1"/>
  <c r="X34" i="1"/>
  <c r="P34" i="1"/>
  <c r="Q34" i="1" s="1"/>
  <c r="J34" i="1"/>
  <c r="AL33" i="1"/>
  <c r="AI33" i="1"/>
  <c r="AD33" i="1"/>
  <c r="AE33" i="1" s="1"/>
  <c r="Y33" i="1"/>
  <c r="X33" i="1"/>
  <c r="P33" i="1"/>
  <c r="Q33" i="1" s="1"/>
  <c r="J33" i="1"/>
  <c r="AY33" i="1" s="1"/>
  <c r="AL32" i="1"/>
  <c r="AI32" i="1"/>
  <c r="AD32" i="1"/>
  <c r="AE32" i="1" s="1"/>
  <c r="Y32" i="1"/>
  <c r="X32" i="1"/>
  <c r="P32" i="1"/>
  <c r="Q32" i="1" s="1"/>
  <c r="J32" i="1"/>
  <c r="AL31" i="1"/>
  <c r="AI31" i="1"/>
  <c r="AD31" i="1"/>
  <c r="AE31" i="1" s="1"/>
  <c r="Y31" i="1"/>
  <c r="X31" i="1"/>
  <c r="P31" i="1"/>
  <c r="Q31" i="1" s="1"/>
  <c r="J31" i="1"/>
  <c r="AT30" i="1"/>
  <c r="AU30" i="1" s="1"/>
  <c r="AI30" i="1"/>
  <c r="AE30" i="1"/>
  <c r="AD30" i="1"/>
  <c r="Y30" i="1"/>
  <c r="X30" i="1"/>
  <c r="L30" i="1"/>
  <c r="J30" i="1"/>
  <c r="AY30" i="1" s="1"/>
  <c r="AL29" i="1"/>
  <c r="AI29" i="1"/>
  <c r="AE29" i="1"/>
  <c r="AD29" i="1"/>
  <c r="Y29" i="1"/>
  <c r="X29" i="1"/>
  <c r="Q29" i="1"/>
  <c r="P29" i="1"/>
  <c r="J29" i="1"/>
  <c r="AY29" i="1" s="1"/>
  <c r="AL28" i="1"/>
  <c r="AI28" i="1"/>
  <c r="AD28" i="1"/>
  <c r="AE28" i="1" s="1"/>
  <c r="Y28" i="1"/>
  <c r="X28" i="1"/>
  <c r="P28" i="1"/>
  <c r="Q28" i="1" s="1"/>
  <c r="J28" i="1"/>
  <c r="AL27" i="1"/>
  <c r="AI27" i="1"/>
  <c r="AE27" i="1"/>
  <c r="AD27" i="1"/>
  <c r="Y27" i="1"/>
  <c r="X27" i="1"/>
  <c r="Q27" i="1"/>
  <c r="P27" i="1"/>
  <c r="J27" i="1"/>
  <c r="AY27" i="1" s="1"/>
  <c r="AT26" i="1"/>
  <c r="AL26" i="1"/>
  <c r="AI26" i="1"/>
  <c r="AE26" i="1"/>
  <c r="AD26" i="1"/>
  <c r="Y26" i="1"/>
  <c r="X26" i="1"/>
  <c r="L26" i="1"/>
  <c r="AB26" i="1" s="1"/>
  <c r="J26" i="1"/>
  <c r="AY26" i="1" s="1"/>
  <c r="AL25" i="1"/>
  <c r="AI25" i="1"/>
  <c r="AE25" i="1"/>
  <c r="AD25" i="1"/>
  <c r="Y25" i="1"/>
  <c r="X25" i="1"/>
  <c r="Q25" i="1"/>
  <c r="P25" i="1"/>
  <c r="J25" i="1"/>
  <c r="AY25" i="1" s="1"/>
  <c r="AL24" i="1"/>
  <c r="AI24" i="1"/>
  <c r="AD24" i="1"/>
  <c r="AE24" i="1" s="1"/>
  <c r="Y24" i="1"/>
  <c r="X24" i="1"/>
  <c r="P24" i="1"/>
  <c r="Q24" i="1" s="1"/>
  <c r="J24" i="1"/>
  <c r="AL23" i="1"/>
  <c r="AI23" i="1"/>
  <c r="AD23" i="1"/>
  <c r="AE23" i="1" s="1"/>
  <c r="Y23" i="1"/>
  <c r="X23" i="1"/>
  <c r="P23" i="1"/>
  <c r="Q23" i="1" s="1"/>
  <c r="J23" i="1"/>
  <c r="AY23" i="1" s="1"/>
  <c r="AL22" i="1"/>
  <c r="AI22" i="1"/>
  <c r="AD22" i="1"/>
  <c r="AE22" i="1" s="1"/>
  <c r="Y22" i="1"/>
  <c r="X22" i="1"/>
  <c r="P22" i="1"/>
  <c r="Q22" i="1" s="1"/>
  <c r="J22" i="1"/>
  <c r="AL21" i="1"/>
  <c r="AI21" i="1"/>
  <c r="AD21" i="1"/>
  <c r="AE21" i="1" s="1"/>
  <c r="Y21" i="1"/>
  <c r="X21" i="1"/>
  <c r="P21" i="1"/>
  <c r="Q21" i="1" s="1"/>
  <c r="J21" i="1"/>
  <c r="AT20" i="1"/>
  <c r="AL20" i="1"/>
  <c r="AI20" i="1"/>
  <c r="AD20" i="1"/>
  <c r="AE20" i="1" s="1"/>
  <c r="Y20" i="1"/>
  <c r="X20" i="1"/>
  <c r="L20" i="1"/>
  <c r="AB20" i="1" s="1"/>
  <c r="J20" i="1"/>
  <c r="AY20" i="1" s="1"/>
  <c r="AT19" i="1"/>
  <c r="AL19" i="1"/>
  <c r="AI19" i="1"/>
  <c r="AU19" i="1" s="1"/>
  <c r="AD19" i="1"/>
  <c r="AE19" i="1" s="1"/>
  <c r="Y19" i="1"/>
  <c r="X19" i="1"/>
  <c r="L19" i="1"/>
  <c r="AB19" i="1" s="1"/>
  <c r="J19" i="1"/>
  <c r="AY19" i="1" s="1"/>
  <c r="AT18" i="1"/>
  <c r="AL18" i="1"/>
  <c r="AI18" i="1"/>
  <c r="AU18" i="1" s="1"/>
  <c r="AD18" i="1"/>
  <c r="AE18" i="1" s="1"/>
  <c r="Y18" i="1"/>
  <c r="X18" i="1"/>
  <c r="P18" i="1"/>
  <c r="Q18" i="1" s="1"/>
  <c r="L18" i="1"/>
  <c r="J18" i="1"/>
  <c r="AY18" i="1" s="1"/>
  <c r="BJ16" i="1"/>
  <c r="AI16" i="1"/>
  <c r="Z16" i="1"/>
  <c r="AA16" i="1" s="1"/>
  <c r="J16" i="1"/>
  <c r="AY16" i="1" s="1"/>
  <c r="AL15" i="1"/>
  <c r="AI15" i="1"/>
  <c r="AD15" i="1"/>
  <c r="AE15" i="1" s="1"/>
  <c r="Y15" i="1"/>
  <c r="X15" i="1"/>
  <c r="P15" i="1"/>
  <c r="Q15" i="1" s="1"/>
  <c r="L15" i="1"/>
  <c r="AB15" i="1" s="1"/>
  <c r="J15" i="1"/>
  <c r="AY15" i="1" s="1"/>
  <c r="BJ14" i="1"/>
  <c r="AI14" i="1"/>
  <c r="AF14" i="1"/>
  <c r="AE14" i="1"/>
  <c r="W14" i="1" s="1"/>
  <c r="AD14" i="1"/>
  <c r="Y14" i="1"/>
  <c r="X14" i="1"/>
  <c r="Q14" i="1"/>
  <c r="P14" i="1"/>
  <c r="J14" i="1"/>
  <c r="AY14" i="1" s="1"/>
  <c r="BJ13" i="1"/>
  <c r="AI13" i="1"/>
  <c r="AF13" i="1"/>
  <c r="AE13" i="1"/>
  <c r="W13" i="1" s="1"/>
  <c r="AD13" i="1"/>
  <c r="Y13" i="1"/>
  <c r="X13" i="1"/>
  <c r="Q13" i="1"/>
  <c r="P13" i="1"/>
  <c r="J13" i="1"/>
  <c r="AY13" i="1" s="1"/>
  <c r="AL12" i="1"/>
  <c r="AI12" i="1"/>
  <c r="AD12" i="1"/>
  <c r="AE12" i="1" s="1"/>
  <c r="Y12" i="1"/>
  <c r="X12" i="1"/>
  <c r="L12" i="1"/>
  <c r="J12" i="1"/>
  <c r="AY12" i="1" s="1"/>
  <c r="AH11" i="1"/>
  <c r="AL11" i="1" s="1"/>
  <c r="AF11" i="1"/>
  <c r="Q11" i="1"/>
  <c r="P11" i="1"/>
  <c r="J11" i="1"/>
  <c r="AH10" i="1"/>
  <c r="AL10" i="1" s="1"/>
  <c r="AF10" i="1"/>
  <c r="P10" i="1"/>
  <c r="Q10" i="1" s="1"/>
  <c r="J10" i="1"/>
  <c r="AH9" i="1"/>
  <c r="AL9" i="1" s="1"/>
  <c r="AF9" i="1"/>
  <c r="Q9" i="1"/>
  <c r="P9" i="1"/>
  <c r="J9" i="1"/>
  <c r="AH8" i="1"/>
  <c r="AL8" i="1" s="1"/>
  <c r="AF8" i="1"/>
  <c r="Q8" i="1"/>
  <c r="P8" i="1"/>
  <c r="J8" i="1"/>
  <c r="BN7" i="1"/>
  <c r="BK7" i="1"/>
  <c r="BE7" i="1"/>
  <c r="BI7" i="1" s="1"/>
  <c r="BA7" i="1"/>
  <c r="BB7" i="1" s="1"/>
  <c r="AV7" i="1"/>
  <c r="AW7" i="1" s="1"/>
  <c r="AU7" i="1"/>
  <c r="AS7" i="1"/>
  <c r="AR7" i="1"/>
  <c r="AQ7" i="1"/>
  <c r="AP7" i="1"/>
  <c r="AM7" i="1"/>
  <c r="AN7" i="1" s="1"/>
  <c r="AL7" i="1"/>
  <c r="AD7" i="1"/>
  <c r="AE7" i="1" s="1"/>
  <c r="Y7" i="1"/>
  <c r="X7" i="1"/>
  <c r="V7" i="1"/>
  <c r="P7" i="1"/>
  <c r="Q7" i="1" s="1"/>
  <c r="J7" i="1"/>
  <c r="BN6" i="1"/>
  <c r="BK6" i="1"/>
  <c r="BE6" i="1"/>
  <c r="BI6" i="1" s="1"/>
  <c r="BA6" i="1"/>
  <c r="BB6" i="1" s="1"/>
  <c r="AV6" i="1"/>
  <c r="AP6" i="1" s="1"/>
  <c r="AU6" i="1"/>
  <c r="AS6" i="1"/>
  <c r="AR6" i="1"/>
  <c r="AQ6" i="1"/>
  <c r="AM6" i="1"/>
  <c r="AN6" i="1" s="1"/>
  <c r="AL6" i="1"/>
  <c r="AD6" i="1"/>
  <c r="AE6" i="1" s="1"/>
  <c r="Y6" i="1"/>
  <c r="X6" i="1"/>
  <c r="V6" i="1"/>
  <c r="Q6" i="1"/>
  <c r="P6" i="1"/>
  <c r="J6" i="1"/>
  <c r="AL5" i="1"/>
  <c r="AI5" i="1"/>
  <c r="AE5" i="1"/>
  <c r="Y5" i="1"/>
  <c r="X5" i="1"/>
  <c r="W5" i="1"/>
  <c r="S5" i="1"/>
  <c r="P5" i="1"/>
  <c r="Q5" i="1" s="1"/>
  <c r="L5" i="1"/>
  <c r="AB5" i="1" s="1"/>
  <c r="J5" i="1"/>
  <c r="AY5" i="1" s="1"/>
  <c r="AH4" i="1"/>
  <c r="AL4" i="1" s="1"/>
  <c r="AF4" i="1"/>
  <c r="P4" i="1"/>
  <c r="Q4" i="1" s="1"/>
  <c r="J4" i="1"/>
  <c r="M2" i="1"/>
  <c r="L2" i="1"/>
  <c r="K2" i="1"/>
  <c r="AT61" i="1" s="1"/>
  <c r="AI8" i="1" l="1"/>
  <c r="AI9" i="1"/>
  <c r="AI11" i="1"/>
  <c r="AB12" i="1"/>
  <c r="BS8" i="1"/>
  <c r="AB18" i="1"/>
  <c r="BS18" i="1"/>
  <c r="P19" i="1"/>
  <c r="Q19" i="1" s="1"/>
  <c r="AY21" i="1"/>
  <c r="AB30" i="1"/>
  <c r="BS30" i="1"/>
  <c r="AI45" i="1"/>
  <c r="AI46" i="1"/>
  <c r="AI48" i="1"/>
  <c r="AI53" i="1"/>
  <c r="AI55" i="1"/>
  <c r="AI56" i="1"/>
  <c r="AI60" i="1"/>
  <c r="AI62" i="1"/>
  <c r="P78" i="1"/>
  <c r="Q78" i="1" s="1"/>
  <c r="Z80" i="1"/>
  <c r="AY87" i="1"/>
  <c r="AY89" i="1"/>
  <c r="AY91" i="1"/>
  <c r="P93" i="1"/>
  <c r="Q93" i="1" s="1"/>
  <c r="AY97" i="1"/>
  <c r="AY99" i="1"/>
  <c r="Z121" i="1"/>
  <c r="AL127" i="1"/>
  <c r="AI127" i="1"/>
  <c r="AY127" i="1" s="1"/>
  <c r="Z129" i="1"/>
  <c r="AY132" i="1"/>
  <c r="AB137" i="1"/>
  <c r="P137" i="1"/>
  <c r="Q137" i="1" s="1"/>
  <c r="AY8" i="1"/>
  <c r="AY9" i="1"/>
  <c r="AY11" i="1"/>
  <c r="AU20" i="1"/>
  <c r="AU26" i="1"/>
  <c r="AY31" i="1"/>
  <c r="AY34" i="1"/>
  <c r="AY36" i="1"/>
  <c r="AY45" i="1"/>
  <c r="AY46" i="1"/>
  <c r="AY48" i="1"/>
  <c r="AY53" i="1"/>
  <c r="AY55" i="1"/>
  <c r="AY56" i="1"/>
  <c r="AY60" i="1"/>
  <c r="AY62" i="1"/>
  <c r="Z67" i="1"/>
  <c r="AY69" i="1"/>
  <c r="AY71" i="1"/>
  <c r="P76" i="1"/>
  <c r="Q76" i="1" s="1"/>
  <c r="AY105" i="1"/>
  <c r="AY107" i="1"/>
  <c r="AY109" i="1"/>
  <c r="AY111" i="1"/>
  <c r="AL124" i="1"/>
  <c r="AI124" i="1"/>
  <c r="AL131" i="1"/>
  <c r="AI131" i="1"/>
  <c r="AB143" i="1"/>
  <c r="P143" i="1"/>
  <c r="Q143" i="1" s="1"/>
  <c r="AY121" i="1"/>
  <c r="AY129" i="1"/>
  <c r="AY138" i="1"/>
  <c r="AY139" i="1"/>
  <c r="AY140" i="1"/>
  <c r="AY141" i="1"/>
  <c r="AY142" i="1"/>
  <c r="AI145" i="1"/>
  <c r="AI146" i="1"/>
  <c r="AI148" i="1"/>
  <c r="AI150" i="1"/>
  <c r="AY154" i="1"/>
  <c r="AY156" i="1"/>
  <c r="AY158" i="1"/>
  <c r="AI160" i="1"/>
  <c r="AI162" i="1"/>
  <c r="AI163" i="1"/>
  <c r="AI165" i="1"/>
  <c r="AI167" i="1"/>
  <c r="AI169" i="1"/>
  <c r="AI175" i="1"/>
  <c r="AI177" i="1"/>
  <c r="AI179" i="1"/>
  <c r="AI182" i="1"/>
  <c r="Z184" i="1"/>
  <c r="Z185" i="1"/>
  <c r="Z186" i="1"/>
  <c r="Z187" i="1"/>
  <c r="AY189" i="1"/>
  <c r="AY191" i="1"/>
  <c r="AY193" i="1"/>
  <c r="AY198" i="1"/>
  <c r="P201" i="1"/>
  <c r="Q201" i="1" s="1"/>
  <c r="AI203" i="1"/>
  <c r="AI205" i="1"/>
  <c r="AI206" i="1"/>
  <c r="AY210" i="1"/>
  <c r="AY212" i="1"/>
  <c r="AV212" i="1" s="1"/>
  <c r="AY213" i="1"/>
  <c r="P213" i="1"/>
  <c r="Q213" i="1" s="1"/>
  <c r="AY218" i="1"/>
  <c r="AY223" i="1"/>
  <c r="P223" i="1"/>
  <c r="Q223" i="1" s="1"/>
  <c r="P225" i="1"/>
  <c r="Q225" i="1" s="1"/>
  <c r="AY226" i="1"/>
  <c r="AY228" i="1"/>
  <c r="AI229" i="1"/>
  <c r="AI232" i="1"/>
  <c r="M230" i="2"/>
  <c r="N2" i="2"/>
  <c r="AY145" i="1"/>
  <c r="AY146" i="1"/>
  <c r="AY148" i="1"/>
  <c r="AY150" i="1"/>
  <c r="AY160" i="1"/>
  <c r="AY162" i="1"/>
  <c r="AY163" i="1"/>
  <c r="AY165" i="1"/>
  <c r="AY167" i="1"/>
  <c r="AY169" i="1"/>
  <c r="AY175" i="1"/>
  <c r="AY177" i="1"/>
  <c r="AY179" i="1"/>
  <c r="AY182" i="1"/>
  <c r="AY203" i="1"/>
  <c r="AY205" i="1"/>
  <c r="AY206" i="1"/>
  <c r="Z228" i="1"/>
  <c r="AY232" i="1"/>
  <c r="Z97" i="1"/>
  <c r="Z99" i="1"/>
  <c r="Z101" i="1"/>
  <c r="Z103" i="1"/>
  <c r="Z154" i="1"/>
  <c r="Z156" i="1"/>
  <c r="Z158" i="1"/>
  <c r="AY32" i="1"/>
  <c r="AY202" i="1"/>
  <c r="Z25" i="1"/>
  <c r="Z29" i="1"/>
  <c r="Z85" i="1"/>
  <c r="AY88" i="1"/>
  <c r="Z196" i="1"/>
  <c r="Z216" i="1"/>
  <c r="Z6" i="1"/>
  <c r="Z5" i="1"/>
  <c r="Z7" i="1"/>
  <c r="AW6" i="1"/>
  <c r="AX6" i="1" s="1"/>
  <c r="AO6" i="1" s="1"/>
  <c r="AX7" i="1"/>
  <c r="AO7" i="1" s="1"/>
  <c r="Z13" i="1"/>
  <c r="Z14" i="1"/>
  <c r="Z15" i="1"/>
  <c r="Z18" i="1"/>
  <c r="AY22" i="1"/>
  <c r="AY24" i="1"/>
  <c r="AY28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50" i="1"/>
  <c r="Z51" i="1"/>
  <c r="Z58" i="1"/>
  <c r="AY64" i="1"/>
  <c r="AY66" i="1"/>
  <c r="Z76" i="1"/>
  <c r="AY77" i="1"/>
  <c r="Z79" i="1"/>
  <c r="Z84" i="1"/>
  <c r="AY94" i="1"/>
  <c r="AY95" i="1"/>
  <c r="AY96" i="1"/>
  <c r="AY98" i="1"/>
  <c r="AY100" i="1"/>
  <c r="AY102" i="1"/>
  <c r="AY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AY120" i="1"/>
  <c r="AY124" i="1"/>
  <c r="AV125" i="1"/>
  <c r="AV126" i="1"/>
  <c r="AY131" i="1"/>
  <c r="Z133" i="1"/>
  <c r="Z134" i="1"/>
  <c r="AY136" i="1"/>
  <c r="Z144" i="1"/>
  <c r="Z151" i="1"/>
  <c r="Z152" i="1"/>
  <c r="AY153" i="1"/>
  <c r="AY155" i="1"/>
  <c r="AY157" i="1"/>
  <c r="Z171" i="1"/>
  <c r="Z172" i="1"/>
  <c r="AV181" i="1"/>
  <c r="Z195" i="1"/>
  <c r="Z199" i="1"/>
  <c r="Z202" i="1"/>
  <c r="Z208" i="1"/>
  <c r="AY209" i="1"/>
  <c r="AY211" i="1"/>
  <c r="AR212" i="1"/>
  <c r="Z215" i="1"/>
  <c r="Z220" i="1"/>
  <c r="Z224" i="1"/>
  <c r="Z225" i="1"/>
  <c r="Z226" i="1"/>
  <c r="Z227" i="1"/>
  <c r="AR231" i="1"/>
  <c r="Z21" i="1"/>
  <c r="Z23" i="1"/>
  <c r="Z27" i="1"/>
  <c r="Z65" i="1"/>
  <c r="AY79" i="1"/>
  <c r="AY84" i="1"/>
  <c r="Z87" i="1"/>
  <c r="AY186" i="1"/>
  <c r="AY195" i="1"/>
  <c r="Z210" i="1"/>
  <c r="Z218" i="1"/>
  <c r="AY224" i="1"/>
  <c r="AY227" i="1"/>
  <c r="AY229" i="1"/>
  <c r="L230" i="2"/>
  <c r="W6" i="1"/>
  <c r="BK8" i="1"/>
  <c r="BE8" i="1"/>
  <c r="AS8" i="1"/>
  <c r="AM8" i="1"/>
  <c r="AN8" i="1" s="1"/>
  <c r="BN8" i="1"/>
  <c r="AV8" i="1"/>
  <c r="AR8" i="1"/>
  <c r="BK9" i="1"/>
  <c r="BE9" i="1"/>
  <c r="AS9" i="1"/>
  <c r="AM9" i="1"/>
  <c r="AN9" i="1" s="1"/>
  <c r="BN9" i="1"/>
  <c r="AV9" i="1"/>
  <c r="AR9" i="1"/>
  <c r="BK11" i="1"/>
  <c r="BE11" i="1"/>
  <c r="AS11" i="1"/>
  <c r="AM11" i="1"/>
  <c r="AN11" i="1" s="1"/>
  <c r="BN11" i="1"/>
  <c r="AV11" i="1"/>
  <c r="AR11" i="1"/>
  <c r="BN13" i="1"/>
  <c r="BN14" i="1"/>
  <c r="BE18" i="1"/>
  <c r="AV18" i="1"/>
  <c r="Z19" i="1"/>
  <c r="W19" i="1"/>
  <c r="AV20" i="1"/>
  <c r="BE20" i="1"/>
  <c r="Z22" i="1"/>
  <c r="W22" i="1"/>
  <c r="Z24" i="1"/>
  <c r="W24" i="1"/>
  <c r="AV26" i="1"/>
  <c r="BE26" i="1"/>
  <c r="Z28" i="1"/>
  <c r="W28" i="1"/>
  <c r="BK45" i="1"/>
  <c r="BE45" i="1"/>
  <c r="AS45" i="1"/>
  <c r="AM45" i="1"/>
  <c r="AN45" i="1" s="1"/>
  <c r="BN45" i="1"/>
  <c r="AV45" i="1"/>
  <c r="AR45" i="1"/>
  <c r="BK46" i="1"/>
  <c r="BE46" i="1"/>
  <c r="AS46" i="1"/>
  <c r="AM46" i="1"/>
  <c r="AN46" i="1" s="1"/>
  <c r="BN46" i="1"/>
  <c r="AV46" i="1"/>
  <c r="AR46" i="1"/>
  <c r="BK48" i="1"/>
  <c r="BE48" i="1"/>
  <c r="AS48" i="1"/>
  <c r="AM48" i="1"/>
  <c r="AN48" i="1" s="1"/>
  <c r="BN48" i="1"/>
  <c r="AV48" i="1"/>
  <c r="AR48" i="1"/>
  <c r="BK53" i="1"/>
  <c r="BE53" i="1"/>
  <c r="AS53" i="1"/>
  <c r="AM53" i="1"/>
  <c r="AN53" i="1" s="1"/>
  <c r="BN53" i="1"/>
  <c r="AV53" i="1"/>
  <c r="AR53" i="1"/>
  <c r="BK55" i="1"/>
  <c r="BE55" i="1"/>
  <c r="AS55" i="1"/>
  <c r="AM55" i="1"/>
  <c r="AN55" i="1" s="1"/>
  <c r="BN55" i="1"/>
  <c r="AV55" i="1"/>
  <c r="AR55" i="1"/>
  <c r="BK56" i="1"/>
  <c r="BE56" i="1"/>
  <c r="AS56" i="1"/>
  <c r="AM56" i="1"/>
  <c r="AN56" i="1" s="1"/>
  <c r="BN56" i="1"/>
  <c r="AV56" i="1"/>
  <c r="AR56" i="1"/>
  <c r="BK60" i="1"/>
  <c r="BE60" i="1"/>
  <c r="AS60" i="1"/>
  <c r="AM60" i="1"/>
  <c r="AN60" i="1" s="1"/>
  <c r="BN60" i="1"/>
  <c r="AV60" i="1"/>
  <c r="AR60" i="1"/>
  <c r="BK62" i="1"/>
  <c r="BE62" i="1"/>
  <c r="AS62" i="1"/>
  <c r="AM62" i="1"/>
  <c r="AN62" i="1" s="1"/>
  <c r="BN62" i="1"/>
  <c r="AV62" i="1"/>
  <c r="AR62" i="1"/>
  <c r="W7" i="1"/>
  <c r="W15" i="1"/>
  <c r="W18" i="1"/>
  <c r="BE19" i="1"/>
  <c r="AV19" i="1"/>
  <c r="W32" i="1"/>
  <c r="W34" i="1"/>
  <c r="W36" i="1"/>
  <c r="W37" i="1"/>
  <c r="W38" i="1"/>
  <c r="W40" i="1"/>
  <c r="W42" i="1"/>
  <c r="W44" i="1"/>
  <c r="W50" i="1"/>
  <c r="W51" i="1"/>
  <c r="W58" i="1"/>
  <c r="AB233" i="1"/>
  <c r="AC233" i="1" s="1"/>
  <c r="AT232" i="1"/>
  <c r="AU232" i="1" s="1"/>
  <c r="AB231" i="1"/>
  <c r="AC231" i="1" s="1"/>
  <c r="AT233" i="1"/>
  <c r="AU233" i="1" s="1"/>
  <c r="AT230" i="1"/>
  <c r="AB232" i="1"/>
  <c r="AC232" i="1" s="1"/>
  <c r="AT231" i="1"/>
  <c r="AU231" i="1" s="1"/>
  <c r="AB230" i="1"/>
  <c r="AC230" i="1" s="1"/>
  <c r="AT229" i="1"/>
  <c r="AU229" i="1" s="1"/>
  <c r="AB229" i="1"/>
  <c r="AC229" i="1" s="1"/>
  <c r="AT228" i="1"/>
  <c r="AU228" i="1" s="1"/>
  <c r="AB228" i="1"/>
  <c r="AT226" i="1"/>
  <c r="AU226" i="1" s="1"/>
  <c r="AB226" i="1"/>
  <c r="AT227" i="1"/>
  <c r="AU227" i="1" s="1"/>
  <c r="AB227" i="1"/>
  <c r="AT225" i="1"/>
  <c r="AU225" i="1" s="1"/>
  <c r="AT224" i="1"/>
  <c r="AU224" i="1" s="1"/>
  <c r="AB224" i="1"/>
  <c r="AT223" i="1"/>
  <c r="AU223" i="1" s="1"/>
  <c r="AT222" i="1"/>
  <c r="AU222" i="1" s="1"/>
  <c r="AB222" i="1"/>
  <c r="AT219" i="1"/>
  <c r="AU219" i="1" s="1"/>
  <c r="AT218" i="1"/>
  <c r="AU218" i="1" s="1"/>
  <c r="AB218" i="1"/>
  <c r="AT217" i="1"/>
  <c r="AU217" i="1" s="1"/>
  <c r="AT216" i="1"/>
  <c r="AU216" i="1" s="1"/>
  <c r="AB216" i="1"/>
  <c r="AT214" i="1"/>
  <c r="AT221" i="1"/>
  <c r="AU221" i="1" s="1"/>
  <c r="AB221" i="1"/>
  <c r="AT220" i="1"/>
  <c r="AU220" i="1" s="1"/>
  <c r="AT215" i="1"/>
  <c r="AU215" i="1" s="1"/>
  <c r="AB214" i="1"/>
  <c r="AC214" i="1" s="1"/>
  <c r="AT213" i="1"/>
  <c r="AU213" i="1" s="1"/>
  <c r="AB212" i="1"/>
  <c r="AC212" i="1" s="1"/>
  <c r="AT210" i="1"/>
  <c r="AU210" i="1" s="1"/>
  <c r="AB210" i="1"/>
  <c r="AT207" i="1"/>
  <c r="AB206" i="1"/>
  <c r="AC206" i="1" s="1"/>
  <c r="AB205" i="1"/>
  <c r="AC205" i="1" s="1"/>
  <c r="AT204" i="1"/>
  <c r="AB203" i="1"/>
  <c r="AC203" i="1" s="1"/>
  <c r="AT200" i="1"/>
  <c r="AU200" i="1" s="1"/>
  <c r="AT212" i="1"/>
  <c r="AU212" i="1" s="1"/>
  <c r="AT211" i="1"/>
  <c r="AU211" i="1" s="1"/>
  <c r="AB211" i="1"/>
  <c r="AT209" i="1"/>
  <c r="AU209" i="1" s="1"/>
  <c r="AB209" i="1"/>
  <c r="AT208" i="1"/>
  <c r="AU208" i="1" s="1"/>
  <c r="AB207" i="1"/>
  <c r="AC207" i="1" s="1"/>
  <c r="AT206" i="1"/>
  <c r="AU206" i="1" s="1"/>
  <c r="AT205" i="1"/>
  <c r="AU205" i="1" s="1"/>
  <c r="AB204" i="1"/>
  <c r="AC204" i="1" s="1"/>
  <c r="AT203" i="1"/>
  <c r="AU203" i="1" s="1"/>
  <c r="AT202" i="1"/>
  <c r="AU202" i="1" s="1"/>
  <c r="AB202" i="1"/>
  <c r="AT201" i="1"/>
  <c r="AU201" i="1" s="1"/>
  <c r="AB199" i="1"/>
  <c r="AT197" i="1"/>
  <c r="AT196" i="1"/>
  <c r="AU196" i="1" s="1"/>
  <c r="AB196" i="1"/>
  <c r="AT194" i="1"/>
  <c r="AU194" i="1" s="1"/>
  <c r="AB193" i="1"/>
  <c r="AC193" i="1" s="1"/>
  <c r="AT192" i="1"/>
  <c r="AB191" i="1"/>
  <c r="AC191" i="1" s="1"/>
  <c r="AT190" i="1"/>
  <c r="AB189" i="1"/>
  <c r="AC189" i="1" s="1"/>
  <c r="AT188" i="1"/>
  <c r="AU188" i="1" s="1"/>
  <c r="AT187" i="1"/>
  <c r="AU187" i="1" s="1"/>
  <c r="AB187" i="1"/>
  <c r="AT185" i="1"/>
  <c r="AU185" i="1" s="1"/>
  <c r="AB185" i="1"/>
  <c r="AT183" i="1"/>
  <c r="AT199" i="1"/>
  <c r="AU199" i="1" s="1"/>
  <c r="AT198" i="1"/>
  <c r="AU198" i="1" s="1"/>
  <c r="AB197" i="1"/>
  <c r="AC197" i="1" s="1"/>
  <c r="AT195" i="1"/>
  <c r="AU195" i="1" s="1"/>
  <c r="AB195" i="1"/>
  <c r="AT193" i="1"/>
  <c r="AU193" i="1" s="1"/>
  <c r="AB192" i="1"/>
  <c r="AC192" i="1" s="1"/>
  <c r="AT191" i="1"/>
  <c r="AU191" i="1" s="1"/>
  <c r="AB190" i="1"/>
  <c r="AC190" i="1" s="1"/>
  <c r="AT189" i="1"/>
  <c r="AU189" i="1" s="1"/>
  <c r="AT186" i="1"/>
  <c r="AU186" i="1" s="1"/>
  <c r="AB186" i="1"/>
  <c r="AT184" i="1"/>
  <c r="AU184" i="1" s="1"/>
  <c r="AB183" i="1"/>
  <c r="AC183" i="1" s="1"/>
  <c r="AT182" i="1"/>
  <c r="AU182" i="1" s="1"/>
  <c r="AB181" i="1"/>
  <c r="AC181" i="1" s="1"/>
  <c r="AT180" i="1"/>
  <c r="AB179" i="1"/>
  <c r="AC179" i="1" s="1"/>
  <c r="AT178" i="1"/>
  <c r="AB177" i="1"/>
  <c r="AC177" i="1" s="1"/>
  <c r="AT176" i="1"/>
  <c r="AB175" i="1"/>
  <c r="AC175" i="1" s="1"/>
  <c r="AT174" i="1"/>
  <c r="AT173" i="1"/>
  <c r="AT170" i="1"/>
  <c r="AU170" i="1" s="1"/>
  <c r="AB169" i="1"/>
  <c r="AC169" i="1" s="1"/>
  <c r="AT168" i="1"/>
  <c r="AB167" i="1"/>
  <c r="AC167" i="1" s="1"/>
  <c r="AT166" i="1"/>
  <c r="AB165" i="1"/>
  <c r="AC165" i="1" s="1"/>
  <c r="AT164" i="1"/>
  <c r="AB163" i="1"/>
  <c r="AC163" i="1" s="1"/>
  <c r="AB162" i="1"/>
  <c r="AC162" i="1" s="1"/>
  <c r="AT161" i="1"/>
  <c r="AB160" i="1"/>
  <c r="AC160" i="1" s="1"/>
  <c r="AT159" i="1"/>
  <c r="AT158" i="1"/>
  <c r="AU158" i="1" s="1"/>
  <c r="AB158" i="1"/>
  <c r="AT156" i="1"/>
  <c r="AU156" i="1" s="1"/>
  <c r="AB156" i="1"/>
  <c r="AT154" i="1"/>
  <c r="AU154" i="1" s="1"/>
  <c r="AB154" i="1"/>
  <c r="AB182" i="1"/>
  <c r="AC182" i="1" s="1"/>
  <c r="AT181" i="1"/>
  <c r="AU181" i="1" s="1"/>
  <c r="AB180" i="1"/>
  <c r="AC180" i="1" s="1"/>
  <c r="AT179" i="1"/>
  <c r="AU179" i="1" s="1"/>
  <c r="AB178" i="1"/>
  <c r="AC178" i="1" s="1"/>
  <c r="AT177" i="1"/>
  <c r="AU177" i="1" s="1"/>
  <c r="AB176" i="1"/>
  <c r="AC176" i="1" s="1"/>
  <c r="AT175" i="1"/>
  <c r="AU175" i="1" s="1"/>
  <c r="AB174" i="1"/>
  <c r="AC174" i="1" s="1"/>
  <c r="AB173" i="1"/>
  <c r="AC173" i="1" s="1"/>
  <c r="AT172" i="1"/>
  <c r="AU172" i="1" s="1"/>
  <c r="AT171" i="1"/>
  <c r="AU171" i="1" s="1"/>
  <c r="AT169" i="1"/>
  <c r="AU169" i="1" s="1"/>
  <c r="AB168" i="1"/>
  <c r="AC168" i="1" s="1"/>
  <c r="AT167" i="1"/>
  <c r="AU167" i="1" s="1"/>
  <c r="AB166" i="1"/>
  <c r="AC166" i="1" s="1"/>
  <c r="AT165" i="1"/>
  <c r="AU165" i="1" s="1"/>
  <c r="AB164" i="1"/>
  <c r="AC164" i="1" s="1"/>
  <c r="AT163" i="1"/>
  <c r="AU163" i="1" s="1"/>
  <c r="AT162" i="1"/>
  <c r="AU162" i="1" s="1"/>
  <c r="AB161" i="1"/>
  <c r="AC161" i="1" s="1"/>
  <c r="AT160" i="1"/>
  <c r="AU160" i="1" s="1"/>
  <c r="AB159" i="1"/>
  <c r="AC159" i="1" s="1"/>
  <c r="AT157" i="1"/>
  <c r="AU157" i="1" s="1"/>
  <c r="AB157" i="1"/>
  <c r="AT155" i="1"/>
  <c r="AU155" i="1" s="1"/>
  <c r="AB155" i="1"/>
  <c r="AT153" i="1"/>
  <c r="AU153" i="1" s="1"/>
  <c r="AB153" i="1"/>
  <c r="AT152" i="1"/>
  <c r="AU152" i="1" s="1"/>
  <c r="AT150" i="1"/>
  <c r="AU150" i="1" s="1"/>
  <c r="AB149" i="1"/>
  <c r="AC149" i="1" s="1"/>
  <c r="AT148" i="1"/>
  <c r="AU148" i="1" s="1"/>
  <c r="AT146" i="1"/>
  <c r="AU146" i="1" s="1"/>
  <c r="AT145" i="1"/>
  <c r="AU145" i="1" s="1"/>
  <c r="AB152" i="1"/>
  <c r="AT151" i="1"/>
  <c r="AU151" i="1" s="1"/>
  <c r="AB150" i="1"/>
  <c r="AC150" i="1" s="1"/>
  <c r="AT149" i="1"/>
  <c r="AU149" i="1" s="1"/>
  <c r="AB148" i="1"/>
  <c r="AC148" i="1" s="1"/>
  <c r="AT147" i="1"/>
  <c r="AU147" i="1" s="1"/>
  <c r="AB146" i="1"/>
  <c r="AC146" i="1" s="1"/>
  <c r="AB145" i="1"/>
  <c r="AC145" i="1" s="1"/>
  <c r="AT112" i="1"/>
  <c r="AU112" i="1" s="1"/>
  <c r="AB112" i="1"/>
  <c r="AT110" i="1"/>
  <c r="AU110" i="1" s="1"/>
  <c r="AB110" i="1"/>
  <c r="AT108" i="1"/>
  <c r="AU108" i="1" s="1"/>
  <c r="AB108" i="1"/>
  <c r="AT106" i="1"/>
  <c r="AU106" i="1" s="1"/>
  <c r="AB106" i="1"/>
  <c r="AT113" i="1"/>
  <c r="AU113" i="1" s="1"/>
  <c r="AV113" i="1" s="1"/>
  <c r="AB113" i="1"/>
  <c r="AT111" i="1"/>
  <c r="AU111" i="1" s="1"/>
  <c r="AB111" i="1"/>
  <c r="AT109" i="1"/>
  <c r="AU109" i="1" s="1"/>
  <c r="AB109" i="1"/>
  <c r="AT107" i="1"/>
  <c r="AU107" i="1" s="1"/>
  <c r="AB107" i="1"/>
  <c r="AT105" i="1"/>
  <c r="AU105" i="1" s="1"/>
  <c r="AV105" i="1" s="1"/>
  <c r="AB105" i="1"/>
  <c r="AT104" i="1"/>
  <c r="AU104" i="1" s="1"/>
  <c r="AB104" i="1"/>
  <c r="AT4" i="1"/>
  <c r="AT144" i="1"/>
  <c r="AU144" i="1" s="1"/>
  <c r="AB144" i="1"/>
  <c r="AT143" i="1"/>
  <c r="AU143" i="1" s="1"/>
  <c r="AB142" i="1"/>
  <c r="AC142" i="1" s="1"/>
  <c r="AT141" i="1"/>
  <c r="AU141" i="1" s="1"/>
  <c r="AB140" i="1"/>
  <c r="AC140" i="1" s="1"/>
  <c r="AT139" i="1"/>
  <c r="AU139" i="1" s="1"/>
  <c r="AB138" i="1"/>
  <c r="AC138" i="1" s="1"/>
  <c r="AT137" i="1"/>
  <c r="AU137" i="1" s="1"/>
  <c r="AT136" i="1"/>
  <c r="AU136" i="1" s="1"/>
  <c r="AB136" i="1"/>
  <c r="AT134" i="1"/>
  <c r="AU134" i="1" s="1"/>
  <c r="AT133" i="1"/>
  <c r="AU133" i="1" s="1"/>
  <c r="AT131" i="1"/>
  <c r="AU131" i="1" s="1"/>
  <c r="AB130" i="1"/>
  <c r="AC130" i="1" s="1"/>
  <c r="AT127" i="1"/>
  <c r="AU127" i="1" s="1"/>
  <c r="AB126" i="1"/>
  <c r="AC126" i="1" s="1"/>
  <c r="AB125" i="1"/>
  <c r="AC125" i="1" s="1"/>
  <c r="AT124" i="1"/>
  <c r="AU124" i="1" s="1"/>
  <c r="AB123" i="1"/>
  <c r="AC123" i="1" s="1"/>
  <c r="AT122" i="1"/>
  <c r="AT142" i="1"/>
  <c r="AU142" i="1" s="1"/>
  <c r="AB141" i="1"/>
  <c r="AC141" i="1" s="1"/>
  <c r="AT140" i="1"/>
  <c r="AU140" i="1" s="1"/>
  <c r="AB139" i="1"/>
  <c r="AC139" i="1" s="1"/>
  <c r="AT138" i="1"/>
  <c r="AU138" i="1" s="1"/>
  <c r="AT135" i="1"/>
  <c r="AU135" i="1" s="1"/>
  <c r="AT132" i="1"/>
  <c r="AU132" i="1" s="1"/>
  <c r="AB131" i="1"/>
  <c r="AC131" i="1" s="1"/>
  <c r="AT130" i="1"/>
  <c r="AU130" i="1" s="1"/>
  <c r="AB129" i="1"/>
  <c r="AB124" i="1"/>
  <c r="AC124" i="1" s="1"/>
  <c r="AT123" i="1"/>
  <c r="AU123" i="1" s="1"/>
  <c r="AT121" i="1"/>
  <c r="AU121" i="1" s="1"/>
  <c r="AV121" i="1" s="1"/>
  <c r="AB121" i="1"/>
  <c r="AT117" i="1"/>
  <c r="AU117" i="1" s="1"/>
  <c r="AB117" i="1"/>
  <c r="AT115" i="1"/>
  <c r="AU115" i="1" s="1"/>
  <c r="AV115" i="1" s="1"/>
  <c r="AB115" i="1"/>
  <c r="AT103" i="1"/>
  <c r="AU103" i="1" s="1"/>
  <c r="AB103" i="1"/>
  <c r="AT101" i="1"/>
  <c r="AU101" i="1" s="1"/>
  <c r="AB101" i="1"/>
  <c r="AT99" i="1"/>
  <c r="AU99" i="1" s="1"/>
  <c r="AB99" i="1"/>
  <c r="AT97" i="1"/>
  <c r="AU97" i="1" s="1"/>
  <c r="AB97" i="1"/>
  <c r="AT92" i="1"/>
  <c r="AU92" i="1" s="1"/>
  <c r="AB91" i="1"/>
  <c r="AC91" i="1" s="1"/>
  <c r="AT90" i="1"/>
  <c r="AB89" i="1"/>
  <c r="AC89" i="1" s="1"/>
  <c r="AT87" i="1"/>
  <c r="AU87" i="1" s="1"/>
  <c r="AB87" i="1"/>
  <c r="AT86" i="1"/>
  <c r="AU86" i="1" s="1"/>
  <c r="AT85" i="1"/>
  <c r="AU85" i="1" s="1"/>
  <c r="AV85" i="1" s="1"/>
  <c r="AB85" i="1"/>
  <c r="AT83" i="1"/>
  <c r="AU83" i="1" s="1"/>
  <c r="AB82" i="1"/>
  <c r="AC82" i="1" s="1"/>
  <c r="AT81" i="1"/>
  <c r="AU81" i="1" s="1"/>
  <c r="AT80" i="1"/>
  <c r="AU80" i="1" s="1"/>
  <c r="AB80" i="1"/>
  <c r="AT75" i="1"/>
  <c r="AB74" i="1"/>
  <c r="AC74" i="1" s="1"/>
  <c r="AT73" i="1"/>
  <c r="AT72" i="1"/>
  <c r="AB71" i="1"/>
  <c r="AC71" i="1" s="1"/>
  <c r="AT70" i="1"/>
  <c r="AB69" i="1"/>
  <c r="AC69" i="1" s="1"/>
  <c r="AT68" i="1"/>
  <c r="AT67" i="1"/>
  <c r="AU67" i="1" s="1"/>
  <c r="AV67" i="1" s="1"/>
  <c r="AB67" i="1"/>
  <c r="AT65" i="1"/>
  <c r="AU65" i="1" s="1"/>
  <c r="AB65" i="1"/>
  <c r="AT129" i="1"/>
  <c r="AU129" i="1" s="1"/>
  <c r="AT128" i="1"/>
  <c r="AU128" i="1" s="1"/>
  <c r="AB127" i="1"/>
  <c r="AC127" i="1" s="1"/>
  <c r="AT126" i="1"/>
  <c r="AU126" i="1" s="1"/>
  <c r="AT125" i="1"/>
  <c r="AU125" i="1" s="1"/>
  <c r="AB122" i="1"/>
  <c r="AC122" i="1" s="1"/>
  <c r="AT120" i="1"/>
  <c r="AU120" i="1" s="1"/>
  <c r="AB120" i="1"/>
  <c r="AT119" i="1"/>
  <c r="AU119" i="1" s="1"/>
  <c r="AT118" i="1"/>
  <c r="AU118" i="1" s="1"/>
  <c r="AB118" i="1"/>
  <c r="AT116" i="1"/>
  <c r="AU116" i="1" s="1"/>
  <c r="AB116" i="1"/>
  <c r="AT114" i="1"/>
  <c r="AU114" i="1" s="1"/>
  <c r="AT102" i="1"/>
  <c r="AU102" i="1" s="1"/>
  <c r="AB102" i="1"/>
  <c r="AT100" i="1"/>
  <c r="AU100" i="1" s="1"/>
  <c r="AB100" i="1"/>
  <c r="AT98" i="1"/>
  <c r="AU98" i="1" s="1"/>
  <c r="AV98" i="1" s="1"/>
  <c r="AB98" i="1"/>
  <c r="AT96" i="1"/>
  <c r="AU96" i="1" s="1"/>
  <c r="AB96" i="1"/>
  <c r="AT95" i="1"/>
  <c r="AU95" i="1" s="1"/>
  <c r="AB95" i="1"/>
  <c r="AT94" i="1"/>
  <c r="AU94" i="1" s="1"/>
  <c r="AV94" i="1" s="1"/>
  <c r="AB94" i="1"/>
  <c r="AT93" i="1"/>
  <c r="AU93" i="1" s="1"/>
  <c r="AT91" i="1"/>
  <c r="AU91" i="1" s="1"/>
  <c r="AB90" i="1"/>
  <c r="AC90" i="1" s="1"/>
  <c r="AT89" i="1"/>
  <c r="AU89" i="1" s="1"/>
  <c r="AT88" i="1"/>
  <c r="AU88" i="1" s="1"/>
  <c r="AB88" i="1"/>
  <c r="AT84" i="1"/>
  <c r="AU84" i="1" s="1"/>
  <c r="AB84" i="1"/>
  <c r="AT82" i="1"/>
  <c r="AU82" i="1" s="1"/>
  <c r="AT79" i="1"/>
  <c r="AU79" i="1" s="1"/>
  <c r="AB79" i="1"/>
  <c r="AT78" i="1"/>
  <c r="AU78" i="1" s="1"/>
  <c r="AT77" i="1"/>
  <c r="AU77" i="1" s="1"/>
  <c r="AB77" i="1"/>
  <c r="AT76" i="1"/>
  <c r="AU76" i="1" s="1"/>
  <c r="AV76" i="1" s="1"/>
  <c r="AB75" i="1"/>
  <c r="AC75" i="1" s="1"/>
  <c r="AT74" i="1"/>
  <c r="AU74" i="1" s="1"/>
  <c r="AB73" i="1"/>
  <c r="AC73" i="1" s="1"/>
  <c r="AB72" i="1"/>
  <c r="AC72" i="1" s="1"/>
  <c r="AT71" i="1"/>
  <c r="AU71" i="1" s="1"/>
  <c r="AB70" i="1"/>
  <c r="AC70" i="1" s="1"/>
  <c r="AT69" i="1"/>
  <c r="AU69" i="1" s="1"/>
  <c r="AB68" i="1"/>
  <c r="AC68" i="1" s="1"/>
  <c r="AT66" i="1"/>
  <c r="AU66" i="1" s="1"/>
  <c r="AB66" i="1"/>
  <c r="AT64" i="1"/>
  <c r="AU64" i="1" s="1"/>
  <c r="AV64" i="1" s="1"/>
  <c r="AB64" i="1"/>
  <c r="AT63" i="1"/>
  <c r="AU63" i="1" s="1"/>
  <c r="AV63" i="1" s="1"/>
  <c r="AB4" i="1"/>
  <c r="AC4" i="1" s="1"/>
  <c r="AI4" i="1"/>
  <c r="AY4" i="1" s="1"/>
  <c r="AB6" i="1"/>
  <c r="BF6" i="1"/>
  <c r="BG6" i="1" s="1"/>
  <c r="AB7" i="1"/>
  <c r="BF7" i="1"/>
  <c r="AT8" i="1"/>
  <c r="AU8" i="1" s="1"/>
  <c r="AT9" i="1"/>
  <c r="AU9" i="1" s="1"/>
  <c r="AB10" i="1"/>
  <c r="AC10" i="1" s="1"/>
  <c r="AI10" i="1"/>
  <c r="AY10" i="1" s="1"/>
  <c r="AT11" i="1"/>
  <c r="AU11" i="1" s="1"/>
  <c r="P12" i="1"/>
  <c r="Q12" i="1" s="1"/>
  <c r="Z12" i="1" s="1"/>
  <c r="W12" i="1"/>
  <c r="AT13" i="1"/>
  <c r="BE13" i="1" s="1"/>
  <c r="AT14" i="1"/>
  <c r="BE14" i="1" s="1"/>
  <c r="AT15" i="1"/>
  <c r="AU15" i="1" s="1"/>
  <c r="AV15" i="1" s="1"/>
  <c r="P20" i="1"/>
  <c r="Q20" i="1" s="1"/>
  <c r="Z20" i="1" s="1"/>
  <c r="W20" i="1"/>
  <c r="W21" i="1"/>
  <c r="AB22" i="1"/>
  <c r="AT22" i="1"/>
  <c r="AU22" i="1" s="1"/>
  <c r="AV22" i="1" s="1"/>
  <c r="W23" i="1"/>
  <c r="AB24" i="1"/>
  <c r="AT24" i="1"/>
  <c r="AU24" i="1" s="1"/>
  <c r="AV24" i="1" s="1"/>
  <c r="W25" i="1"/>
  <c r="P26" i="1"/>
  <c r="Q26" i="1" s="1"/>
  <c r="Z26" i="1" s="1"/>
  <c r="W26" i="1"/>
  <c r="W27" i="1"/>
  <c r="AB28" i="1"/>
  <c r="AT28" i="1"/>
  <c r="AU28" i="1" s="1"/>
  <c r="AV28" i="1" s="1"/>
  <c r="W29" i="1"/>
  <c r="P30" i="1"/>
  <c r="Q30" i="1" s="1"/>
  <c r="Z30" i="1" s="1"/>
  <c r="W30" i="1"/>
  <c r="AV30" i="1"/>
  <c r="W31" i="1"/>
  <c r="AB32" i="1"/>
  <c r="AT32" i="1"/>
  <c r="AU32" i="1" s="1"/>
  <c r="AV32" i="1" s="1"/>
  <c r="W33" i="1"/>
  <c r="AB34" i="1"/>
  <c r="AT34" i="1"/>
  <c r="AU34" i="1" s="1"/>
  <c r="AV34" i="1" s="1"/>
  <c r="W35" i="1"/>
  <c r="AB36" i="1"/>
  <c r="AT36" i="1"/>
  <c r="AU36" i="1" s="1"/>
  <c r="AV36" i="1" s="1"/>
  <c r="AB38" i="1"/>
  <c r="AT38" i="1"/>
  <c r="AU38" i="1" s="1"/>
  <c r="AV38" i="1" s="1"/>
  <c r="W39" i="1"/>
  <c r="AB40" i="1"/>
  <c r="AT40" i="1"/>
  <c r="AU40" i="1" s="1"/>
  <c r="AV40" i="1" s="1"/>
  <c r="W41" i="1"/>
  <c r="AB42" i="1"/>
  <c r="AT42" i="1"/>
  <c r="AU42" i="1" s="1"/>
  <c r="AV42" i="1" s="1"/>
  <c r="W43" i="1"/>
  <c r="AB44" i="1"/>
  <c r="AT44" i="1"/>
  <c r="AU44" i="1" s="1"/>
  <c r="AV44" i="1" s="1"/>
  <c r="AT45" i="1"/>
  <c r="AU45" i="1" s="1"/>
  <c r="AT46" i="1"/>
  <c r="AU46" i="1" s="1"/>
  <c r="AB47" i="1"/>
  <c r="AC47" i="1" s="1"/>
  <c r="AI47" i="1"/>
  <c r="AY47" i="1" s="1"/>
  <c r="AT48" i="1"/>
  <c r="AU48" i="1" s="1"/>
  <c r="AB49" i="1"/>
  <c r="AC49" i="1" s="1"/>
  <c r="AI49" i="1"/>
  <c r="AY49" i="1" s="1"/>
  <c r="AT50" i="1"/>
  <c r="AU50" i="1" s="1"/>
  <c r="AV50" i="1" s="1"/>
  <c r="AT51" i="1"/>
  <c r="AU51" i="1" s="1"/>
  <c r="AV51" i="1" s="1"/>
  <c r="P52" i="1"/>
  <c r="Q52" i="1" s="1"/>
  <c r="Z52" i="1" s="1"/>
  <c r="W52" i="1"/>
  <c r="AT53" i="1"/>
  <c r="AU53" i="1" s="1"/>
  <c r="P54" i="1"/>
  <c r="Q54" i="1" s="1"/>
  <c r="Z54" i="1" s="1"/>
  <c r="W54" i="1"/>
  <c r="AT55" i="1"/>
  <c r="AU55" i="1" s="1"/>
  <c r="AT56" i="1"/>
  <c r="AU56" i="1" s="1"/>
  <c r="P57" i="1"/>
  <c r="Q57" i="1" s="1"/>
  <c r="Z57" i="1" s="1"/>
  <c r="W57" i="1"/>
  <c r="AT58" i="1"/>
  <c r="AU58" i="1" s="1"/>
  <c r="AV58" i="1" s="1"/>
  <c r="P59" i="1"/>
  <c r="Q59" i="1" s="1"/>
  <c r="Z59" i="1" s="1"/>
  <c r="W59" i="1"/>
  <c r="AT60" i="1"/>
  <c r="AU60" i="1" s="1"/>
  <c r="AB61" i="1"/>
  <c r="AC61" i="1" s="1"/>
  <c r="AI61" i="1"/>
  <c r="AU61" i="1" s="1"/>
  <c r="AT62" i="1"/>
  <c r="AU62" i="1" s="1"/>
  <c r="Z63" i="1"/>
  <c r="Z66" i="1"/>
  <c r="W66" i="1"/>
  <c r="BK69" i="1"/>
  <c r="BE69" i="1"/>
  <c r="AS69" i="1"/>
  <c r="AM69" i="1"/>
  <c r="AN69" i="1" s="1"/>
  <c r="BN69" i="1"/>
  <c r="AV69" i="1"/>
  <c r="AR69" i="1"/>
  <c r="BK71" i="1"/>
  <c r="BE71" i="1"/>
  <c r="AS71" i="1"/>
  <c r="AM71" i="1"/>
  <c r="AN71" i="1" s="1"/>
  <c r="BN71" i="1"/>
  <c r="AV71" i="1"/>
  <c r="AR71" i="1"/>
  <c r="BK74" i="1"/>
  <c r="BE74" i="1"/>
  <c r="AS74" i="1"/>
  <c r="AM74" i="1"/>
  <c r="AN74" i="1" s="1"/>
  <c r="BN74" i="1"/>
  <c r="AV74" i="1"/>
  <c r="AR74" i="1"/>
  <c r="BE76" i="1"/>
  <c r="Z77" i="1"/>
  <c r="W77" i="1"/>
  <c r="Z78" i="1"/>
  <c r="W78" i="1"/>
  <c r="BE79" i="1"/>
  <c r="AV79" i="1"/>
  <c r="AV80" i="1"/>
  <c r="AV84" i="1"/>
  <c r="BE85" i="1"/>
  <c r="Z88" i="1"/>
  <c r="W88" i="1"/>
  <c r="Z93" i="1"/>
  <c r="W93" i="1"/>
  <c r="Z94" i="1"/>
  <c r="W94" i="1"/>
  <c r="Z95" i="1"/>
  <c r="W95" i="1"/>
  <c r="Z96" i="1"/>
  <c r="W96" i="1"/>
  <c r="Z98" i="1"/>
  <c r="W98" i="1"/>
  <c r="Z100" i="1"/>
  <c r="W100" i="1"/>
  <c r="Z102" i="1"/>
  <c r="W102" i="1"/>
  <c r="Z104" i="1"/>
  <c r="W104" i="1"/>
  <c r="BE105" i="1"/>
  <c r="AV106" i="1"/>
  <c r="BE106" i="1"/>
  <c r="AV107" i="1"/>
  <c r="AV108" i="1"/>
  <c r="BE108" i="1"/>
  <c r="BE109" i="1"/>
  <c r="AV109" i="1"/>
  <c r="AV110" i="1"/>
  <c r="BE110" i="1"/>
  <c r="AV111" i="1"/>
  <c r="AV112" i="1"/>
  <c r="BE112" i="1"/>
  <c r="BE113" i="1"/>
  <c r="BE114" i="1"/>
  <c r="AV114" i="1"/>
  <c r="BE115" i="1"/>
  <c r="BE116" i="1"/>
  <c r="AV116" i="1"/>
  <c r="AV117" i="1"/>
  <c r="BE118" i="1"/>
  <c r="AV118" i="1"/>
  <c r="AV119" i="1"/>
  <c r="Z120" i="1"/>
  <c r="W120" i="1"/>
  <c r="AW123" i="1"/>
  <c r="AX123" i="1" s="1"/>
  <c r="AQ123" i="1"/>
  <c r="AP123" i="1"/>
  <c r="AW130" i="1"/>
  <c r="AX130" i="1" s="1"/>
  <c r="AQ130" i="1"/>
  <c r="AP130" i="1"/>
  <c r="BG7" i="1"/>
  <c r="AB8" i="1"/>
  <c r="AC8" i="1" s="1"/>
  <c r="AB9" i="1"/>
  <c r="AC9" i="1" s="1"/>
  <c r="AT10" i="1"/>
  <c r="AU10" i="1" s="1"/>
  <c r="AB11" i="1"/>
  <c r="AC11" i="1" s="1"/>
  <c r="AT12" i="1"/>
  <c r="AU12" i="1" s="1"/>
  <c r="AV12" i="1" s="1"/>
  <c r="AB13" i="1"/>
  <c r="AB14" i="1"/>
  <c r="AB16" i="1"/>
  <c r="AT16" i="1"/>
  <c r="BE16" i="1" s="1"/>
  <c r="BI16" i="1" s="1"/>
  <c r="BK16" i="1" s="1"/>
  <c r="BL16" i="1" s="1"/>
  <c r="BM16" i="1" s="1"/>
  <c r="BN16" i="1" s="1"/>
  <c r="AB21" i="1"/>
  <c r="AT21" i="1"/>
  <c r="AU21" i="1" s="1"/>
  <c r="AV21" i="1" s="1"/>
  <c r="AB23" i="1"/>
  <c r="AT23" i="1"/>
  <c r="AU23" i="1" s="1"/>
  <c r="AV23" i="1" s="1"/>
  <c r="AB25" i="1"/>
  <c r="AT25" i="1"/>
  <c r="AU25" i="1" s="1"/>
  <c r="AV25" i="1" s="1"/>
  <c r="AB27" i="1"/>
  <c r="AT27" i="1"/>
  <c r="AU27" i="1" s="1"/>
  <c r="AV27" i="1" s="1"/>
  <c r="AB29" i="1"/>
  <c r="AT29" i="1"/>
  <c r="AU29" i="1" s="1"/>
  <c r="AV29" i="1" s="1"/>
  <c r="BE30" i="1"/>
  <c r="AB31" i="1"/>
  <c r="AT31" i="1"/>
  <c r="AU31" i="1" s="1"/>
  <c r="AV31" i="1" s="1"/>
  <c r="AB33" i="1"/>
  <c r="AT33" i="1"/>
  <c r="AU33" i="1" s="1"/>
  <c r="AV33" i="1" s="1"/>
  <c r="AB35" i="1"/>
  <c r="AT35" i="1"/>
  <c r="AU35" i="1" s="1"/>
  <c r="AV35" i="1" s="1"/>
  <c r="AT37" i="1"/>
  <c r="AU37" i="1" s="1"/>
  <c r="AV37" i="1" s="1"/>
  <c r="AB39" i="1"/>
  <c r="AT39" i="1"/>
  <c r="AU39" i="1" s="1"/>
  <c r="AV39" i="1" s="1"/>
  <c r="AB41" i="1"/>
  <c r="AT41" i="1"/>
  <c r="AU41" i="1" s="1"/>
  <c r="AV41" i="1" s="1"/>
  <c r="AB43" i="1"/>
  <c r="AT43" i="1"/>
  <c r="AU43" i="1" s="1"/>
  <c r="AV43" i="1" s="1"/>
  <c r="AB45" i="1"/>
  <c r="AC45" i="1" s="1"/>
  <c r="AB46" i="1"/>
  <c r="AC46" i="1" s="1"/>
  <c r="AT47" i="1"/>
  <c r="AU47" i="1" s="1"/>
  <c r="AB48" i="1"/>
  <c r="AC48" i="1" s="1"/>
  <c r="AT49" i="1"/>
  <c r="AU49" i="1" s="1"/>
  <c r="AT52" i="1"/>
  <c r="AU52" i="1" s="1"/>
  <c r="AV52" i="1" s="1"/>
  <c r="AB53" i="1"/>
  <c r="AC53" i="1" s="1"/>
  <c r="AT54" i="1"/>
  <c r="AU54" i="1" s="1"/>
  <c r="AV54" i="1" s="1"/>
  <c r="AB55" i="1"/>
  <c r="AC55" i="1" s="1"/>
  <c r="AB56" i="1"/>
  <c r="AC56" i="1" s="1"/>
  <c r="AT57" i="1"/>
  <c r="AU57" i="1" s="1"/>
  <c r="AV57" i="1" s="1"/>
  <c r="AT59" i="1"/>
  <c r="AU59" i="1" s="1"/>
  <c r="AV59" i="1" s="1"/>
  <c r="AB60" i="1"/>
  <c r="AC60" i="1" s="1"/>
  <c r="AB62" i="1"/>
  <c r="AC62" i="1" s="1"/>
  <c r="Z64" i="1"/>
  <c r="AV65" i="1"/>
  <c r="BE65" i="1"/>
  <c r="BE66" i="1"/>
  <c r="AV66" i="1"/>
  <c r="BE67" i="1"/>
  <c r="W76" i="1"/>
  <c r="BE77" i="1"/>
  <c r="AV77" i="1"/>
  <c r="AV78" i="1"/>
  <c r="W79" i="1"/>
  <c r="AV81" i="1"/>
  <c r="BE81" i="1"/>
  <c r="BK82" i="1"/>
  <c r="BE82" i="1"/>
  <c r="AS82" i="1"/>
  <c r="AM82" i="1"/>
  <c r="AN82" i="1" s="1"/>
  <c r="BN82" i="1"/>
  <c r="AV82" i="1"/>
  <c r="AR82" i="1"/>
  <c r="AV83" i="1"/>
  <c r="BE83" i="1"/>
  <c r="W84" i="1"/>
  <c r="AV86" i="1"/>
  <c r="AV87" i="1"/>
  <c r="BE87" i="1"/>
  <c r="BE88" i="1"/>
  <c r="AV88" i="1"/>
  <c r="BK89" i="1"/>
  <c r="BE89" i="1"/>
  <c r="AS89" i="1"/>
  <c r="AM89" i="1"/>
  <c r="AN89" i="1" s="1"/>
  <c r="BN89" i="1"/>
  <c r="AV89" i="1"/>
  <c r="AR89" i="1"/>
  <c r="BK91" i="1"/>
  <c r="BE91" i="1"/>
  <c r="AS91" i="1"/>
  <c r="AM91" i="1"/>
  <c r="AN91" i="1" s="1"/>
  <c r="BN91" i="1"/>
  <c r="AV91" i="1"/>
  <c r="AR91" i="1"/>
  <c r="AV92" i="1"/>
  <c r="BE92" i="1"/>
  <c r="BE93" i="1"/>
  <c r="AV93" i="1"/>
  <c r="BE94" i="1"/>
  <c r="BE95" i="1"/>
  <c r="AV95" i="1"/>
  <c r="AV96" i="1"/>
  <c r="AV97" i="1"/>
  <c r="BE97" i="1"/>
  <c r="BE98" i="1"/>
  <c r="AV99" i="1"/>
  <c r="BE99" i="1"/>
  <c r="AV100" i="1"/>
  <c r="AV101" i="1"/>
  <c r="BE101" i="1"/>
  <c r="BE102" i="1"/>
  <c r="AV102" i="1"/>
  <c r="AV103" i="1"/>
  <c r="BE103" i="1"/>
  <c r="AV104" i="1"/>
  <c r="W105" i="1"/>
  <c r="W107" i="1"/>
  <c r="W109" i="1"/>
  <c r="W111" i="1"/>
  <c r="W113" i="1"/>
  <c r="W114" i="1"/>
  <c r="W116" i="1"/>
  <c r="W118" i="1"/>
  <c r="W119" i="1"/>
  <c r="BE120" i="1"/>
  <c r="AV120" i="1"/>
  <c r="BE121" i="1"/>
  <c r="BN124" i="1"/>
  <c r="AV124" i="1"/>
  <c r="AR124" i="1"/>
  <c r="BK124" i="1"/>
  <c r="AM124" i="1"/>
  <c r="AN124" i="1" s="1"/>
  <c r="BE124" i="1"/>
  <c r="AS124" i="1"/>
  <c r="BN131" i="1"/>
  <c r="AV131" i="1"/>
  <c r="AR131" i="1"/>
  <c r="BK131" i="1"/>
  <c r="AM131" i="1"/>
  <c r="AN131" i="1" s="1"/>
  <c r="BE131" i="1"/>
  <c r="AS131" i="1"/>
  <c r="W65" i="1"/>
  <c r="W67" i="1"/>
  <c r="AI68" i="1"/>
  <c r="AY68" i="1" s="1"/>
  <c r="AI70" i="1"/>
  <c r="AY70" i="1" s="1"/>
  <c r="AI72" i="1"/>
  <c r="AY72" i="1" s="1"/>
  <c r="AI73" i="1"/>
  <c r="AY73" i="1" s="1"/>
  <c r="AI75" i="1"/>
  <c r="AY75" i="1" s="1"/>
  <c r="W80" i="1"/>
  <c r="P81" i="1"/>
  <c r="Q81" i="1" s="1"/>
  <c r="Z81" i="1" s="1"/>
  <c r="W81" i="1"/>
  <c r="P83" i="1"/>
  <c r="Q83" i="1" s="1"/>
  <c r="Z83" i="1" s="1"/>
  <c r="W83" i="1"/>
  <c r="W85" i="1"/>
  <c r="P86" i="1"/>
  <c r="Q86" i="1" s="1"/>
  <c r="Z86" i="1" s="1"/>
  <c r="W86" i="1"/>
  <c r="W87" i="1"/>
  <c r="AI90" i="1"/>
  <c r="AY90" i="1" s="1"/>
  <c r="P92" i="1"/>
  <c r="Q92" i="1" s="1"/>
  <c r="Z92" i="1" s="1"/>
  <c r="W92" i="1"/>
  <c r="W97" i="1"/>
  <c r="W99" i="1"/>
  <c r="W101" i="1"/>
  <c r="W103" i="1"/>
  <c r="W106" i="1"/>
  <c r="W108" i="1"/>
  <c r="W110" i="1"/>
  <c r="W112" i="1"/>
  <c r="W115" i="1"/>
  <c r="W117" i="1"/>
  <c r="W121" i="1"/>
  <c r="AI122" i="1"/>
  <c r="AY122" i="1" s="1"/>
  <c r="AR123" i="1"/>
  <c r="BK125" i="1"/>
  <c r="BE125" i="1"/>
  <c r="AS125" i="1"/>
  <c r="AM125" i="1"/>
  <c r="AN125" i="1" s="1"/>
  <c r="AL125" i="1"/>
  <c r="AP125" i="1"/>
  <c r="BN125" i="1"/>
  <c r="BK126" i="1"/>
  <c r="BE126" i="1"/>
  <c r="AS126" i="1"/>
  <c r="AM126" i="1"/>
  <c r="AN126" i="1" s="1"/>
  <c r="AL126" i="1"/>
  <c r="AP126" i="1"/>
  <c r="BN126" i="1"/>
  <c r="P128" i="1"/>
  <c r="Q128" i="1" s="1"/>
  <c r="Z128" i="1" s="1"/>
  <c r="AR130" i="1"/>
  <c r="AV132" i="1"/>
  <c r="AV133" i="1"/>
  <c r="AV134" i="1"/>
  <c r="BE134" i="1"/>
  <c r="BE135" i="1"/>
  <c r="AV135" i="1"/>
  <c r="Z136" i="1"/>
  <c r="W136" i="1"/>
  <c r="Z137" i="1"/>
  <c r="W137" i="1"/>
  <c r="Z143" i="1"/>
  <c r="W143" i="1"/>
  <c r="AV144" i="1"/>
  <c r="BE144" i="1"/>
  <c r="BN145" i="1"/>
  <c r="AV145" i="1"/>
  <c r="AR145" i="1"/>
  <c r="BK145" i="1"/>
  <c r="BE145" i="1"/>
  <c r="AS145" i="1"/>
  <c r="AM145" i="1"/>
  <c r="AN145" i="1" s="1"/>
  <c r="BN146" i="1"/>
  <c r="AV146" i="1"/>
  <c r="AR146" i="1"/>
  <c r="BK146" i="1"/>
  <c r="BE146" i="1"/>
  <c r="AS146" i="1"/>
  <c r="AM146" i="1"/>
  <c r="AN146" i="1" s="1"/>
  <c r="BE147" i="1"/>
  <c r="AV147" i="1"/>
  <c r="BN148" i="1"/>
  <c r="AV148" i="1"/>
  <c r="AR148" i="1"/>
  <c r="BK148" i="1"/>
  <c r="BE148" i="1"/>
  <c r="AS148" i="1"/>
  <c r="AM148" i="1"/>
  <c r="AN148" i="1" s="1"/>
  <c r="AY149" i="1"/>
  <c r="BN150" i="1"/>
  <c r="AV150" i="1"/>
  <c r="AR150" i="1"/>
  <c r="BK150" i="1"/>
  <c r="BE150" i="1"/>
  <c r="AS150" i="1"/>
  <c r="AM150" i="1"/>
  <c r="AN150" i="1" s="1"/>
  <c r="AV151" i="1"/>
  <c r="BK123" i="1"/>
  <c r="BE123" i="1"/>
  <c r="AS123" i="1"/>
  <c r="AM123" i="1"/>
  <c r="AN123" i="1" s="1"/>
  <c r="AL123" i="1"/>
  <c r="BN123" i="1"/>
  <c r="AW125" i="1"/>
  <c r="AX125" i="1" s="1"/>
  <c r="AQ125" i="1"/>
  <c r="AW126" i="1"/>
  <c r="AX126" i="1" s="1"/>
  <c r="AQ126" i="1"/>
  <c r="BE128" i="1"/>
  <c r="AV128" i="1"/>
  <c r="BE129" i="1"/>
  <c r="AV129" i="1"/>
  <c r="BK130" i="1"/>
  <c r="BE130" i="1"/>
  <c r="AS130" i="1"/>
  <c r="AM130" i="1"/>
  <c r="AN130" i="1" s="1"/>
  <c r="AL130" i="1"/>
  <c r="BN130" i="1"/>
  <c r="W133" i="1"/>
  <c r="W134" i="1"/>
  <c r="AV136" i="1"/>
  <c r="BE136" i="1"/>
  <c r="AV137" i="1"/>
  <c r="BE137" i="1"/>
  <c r="BK138" i="1"/>
  <c r="BE138" i="1"/>
  <c r="AS138" i="1"/>
  <c r="AM138" i="1"/>
  <c r="AN138" i="1" s="1"/>
  <c r="BN138" i="1"/>
  <c r="AV138" i="1"/>
  <c r="AR138" i="1"/>
  <c r="BN139" i="1"/>
  <c r="AV139" i="1"/>
  <c r="AR139" i="1"/>
  <c r="BK139" i="1"/>
  <c r="BE139" i="1"/>
  <c r="AS139" i="1"/>
  <c r="AM139" i="1"/>
  <c r="AN139" i="1" s="1"/>
  <c r="BK140" i="1"/>
  <c r="BE140" i="1"/>
  <c r="AS140" i="1"/>
  <c r="AM140" i="1"/>
  <c r="AN140" i="1" s="1"/>
  <c r="BN140" i="1"/>
  <c r="AV140" i="1"/>
  <c r="AR140" i="1"/>
  <c r="BN141" i="1"/>
  <c r="AV141" i="1"/>
  <c r="AR141" i="1"/>
  <c r="BK141" i="1"/>
  <c r="BE141" i="1"/>
  <c r="AS141" i="1"/>
  <c r="AM141" i="1"/>
  <c r="AN141" i="1" s="1"/>
  <c r="BK142" i="1"/>
  <c r="BE142" i="1"/>
  <c r="AS142" i="1"/>
  <c r="AM142" i="1"/>
  <c r="AN142" i="1" s="1"/>
  <c r="BN142" i="1"/>
  <c r="AV142" i="1"/>
  <c r="AR142" i="1"/>
  <c r="AV143" i="1"/>
  <c r="BE143" i="1"/>
  <c r="W144" i="1"/>
  <c r="W151" i="1"/>
  <c r="BE153" i="1"/>
  <c r="AV153" i="1"/>
  <c r="AB132" i="1"/>
  <c r="AB135" i="1"/>
  <c r="AL138" i="1"/>
  <c r="AL140" i="1"/>
  <c r="AL142" i="1"/>
  <c r="AB147" i="1"/>
  <c r="AL149" i="1"/>
  <c r="BE152" i="1"/>
  <c r="AV152" i="1"/>
  <c r="Z155" i="1"/>
  <c r="W155" i="1"/>
  <c r="Z157" i="1"/>
  <c r="W157" i="1"/>
  <c r="BK160" i="1"/>
  <c r="BE160" i="1"/>
  <c r="AS160" i="1"/>
  <c r="AM160" i="1"/>
  <c r="AN160" i="1" s="1"/>
  <c r="BN160" i="1"/>
  <c r="AV160" i="1"/>
  <c r="AR160" i="1"/>
  <c r="BK162" i="1"/>
  <c r="BE162" i="1"/>
  <c r="AS162" i="1"/>
  <c r="AM162" i="1"/>
  <c r="AN162" i="1" s="1"/>
  <c r="BN162" i="1"/>
  <c r="AV162" i="1"/>
  <c r="AR162" i="1"/>
  <c r="BK163" i="1"/>
  <c r="BE163" i="1"/>
  <c r="AS163" i="1"/>
  <c r="AM163" i="1"/>
  <c r="AN163" i="1" s="1"/>
  <c r="BN163" i="1"/>
  <c r="AV163" i="1"/>
  <c r="AR163" i="1"/>
  <c r="BK165" i="1"/>
  <c r="BE165" i="1"/>
  <c r="AS165" i="1"/>
  <c r="AM165" i="1"/>
  <c r="AN165" i="1" s="1"/>
  <c r="BN165" i="1"/>
  <c r="AV165" i="1"/>
  <c r="AR165" i="1"/>
  <c r="BK167" i="1"/>
  <c r="BE167" i="1"/>
  <c r="AS167" i="1"/>
  <c r="AM167" i="1"/>
  <c r="AN167" i="1" s="1"/>
  <c r="BN167" i="1"/>
  <c r="AV167" i="1"/>
  <c r="AR167" i="1"/>
  <c r="BK169" i="1"/>
  <c r="BE169" i="1"/>
  <c r="AS169" i="1"/>
  <c r="AM169" i="1"/>
  <c r="AN169" i="1" s="1"/>
  <c r="BN169" i="1"/>
  <c r="AV169" i="1"/>
  <c r="AR169" i="1"/>
  <c r="AV170" i="1"/>
  <c r="BE170" i="1"/>
  <c r="BE171" i="1"/>
  <c r="AV171" i="1"/>
  <c r="BE172" i="1"/>
  <c r="AV172" i="1"/>
  <c r="AY173" i="1"/>
  <c r="BK175" i="1"/>
  <c r="BE175" i="1"/>
  <c r="AS175" i="1"/>
  <c r="AM175" i="1"/>
  <c r="AN175" i="1" s="1"/>
  <c r="BN175" i="1"/>
  <c r="AV175" i="1"/>
  <c r="AR175" i="1"/>
  <c r="BK177" i="1"/>
  <c r="BE177" i="1"/>
  <c r="AS177" i="1"/>
  <c r="AM177" i="1"/>
  <c r="AN177" i="1" s="1"/>
  <c r="BN177" i="1"/>
  <c r="AV177" i="1"/>
  <c r="AR177" i="1"/>
  <c r="BK179" i="1"/>
  <c r="BE179" i="1"/>
  <c r="AS179" i="1"/>
  <c r="AM179" i="1"/>
  <c r="AN179" i="1" s="1"/>
  <c r="BN179" i="1"/>
  <c r="AV179" i="1"/>
  <c r="AR179" i="1"/>
  <c r="BK182" i="1"/>
  <c r="BN182" i="1"/>
  <c r="AV182" i="1"/>
  <c r="AR182" i="1"/>
  <c r="BE182" i="1"/>
  <c r="AS182" i="1"/>
  <c r="AM182" i="1"/>
  <c r="AN182" i="1" s="1"/>
  <c r="P132" i="1"/>
  <c r="Q132" i="1" s="1"/>
  <c r="Z132" i="1" s="1"/>
  <c r="P135" i="1"/>
  <c r="Q135" i="1" s="1"/>
  <c r="Z135" i="1" s="1"/>
  <c r="P147" i="1"/>
  <c r="Q147" i="1" s="1"/>
  <c r="Z147" i="1" s="1"/>
  <c r="BE151" i="1"/>
  <c r="Z153" i="1"/>
  <c r="AV154" i="1"/>
  <c r="BE154" i="1"/>
  <c r="BE155" i="1"/>
  <c r="AV155" i="1"/>
  <c r="AV156" i="1"/>
  <c r="BE156" i="1"/>
  <c r="BE157" i="1"/>
  <c r="AV157" i="1"/>
  <c r="AV158" i="1"/>
  <c r="BE158" i="1"/>
  <c r="W172" i="1"/>
  <c r="W154" i="1"/>
  <c r="W156" i="1"/>
  <c r="W158" i="1"/>
  <c r="AI159" i="1"/>
  <c r="AY159" i="1" s="1"/>
  <c r="AI161" i="1"/>
  <c r="AY161" i="1" s="1"/>
  <c r="AI164" i="1"/>
  <c r="AY164" i="1" s="1"/>
  <c r="AI166" i="1"/>
  <c r="AY166" i="1" s="1"/>
  <c r="AI168" i="1"/>
  <c r="AY168" i="1" s="1"/>
  <c r="P170" i="1"/>
  <c r="Q170" i="1" s="1"/>
  <c r="Z170" i="1" s="1"/>
  <c r="W170" i="1"/>
  <c r="AI173" i="1"/>
  <c r="AI174" i="1"/>
  <c r="AY174" i="1" s="1"/>
  <c r="AI176" i="1"/>
  <c r="AY176" i="1" s="1"/>
  <c r="AI178" i="1"/>
  <c r="AY178" i="1" s="1"/>
  <c r="AI180" i="1"/>
  <c r="AY180" i="1" s="1"/>
  <c r="BK181" i="1"/>
  <c r="BE181" i="1"/>
  <c r="AS181" i="1"/>
  <c r="AM181" i="1"/>
  <c r="AN181" i="1" s="1"/>
  <c r="AL181" i="1"/>
  <c r="AP181" i="1"/>
  <c r="BN181" i="1"/>
  <c r="BE184" i="1"/>
  <c r="AV184" i="1"/>
  <c r="AV185" i="1"/>
  <c r="BE185" i="1"/>
  <c r="BE186" i="1"/>
  <c r="AV186" i="1"/>
  <c r="AV187" i="1"/>
  <c r="BE187" i="1"/>
  <c r="BE195" i="1"/>
  <c r="AV195" i="1"/>
  <c r="AV196" i="1"/>
  <c r="BE196" i="1"/>
  <c r="AW181" i="1"/>
  <c r="AX181" i="1" s="1"/>
  <c r="AQ181" i="1"/>
  <c r="W184" i="1"/>
  <c r="W186" i="1"/>
  <c r="AV188" i="1"/>
  <c r="BE188" i="1"/>
  <c r="BK189" i="1"/>
  <c r="BE189" i="1"/>
  <c r="AS189" i="1"/>
  <c r="AM189" i="1"/>
  <c r="AN189" i="1" s="1"/>
  <c r="BN189" i="1"/>
  <c r="AV189" i="1"/>
  <c r="AR189" i="1"/>
  <c r="BK191" i="1"/>
  <c r="BE191" i="1"/>
  <c r="AS191" i="1"/>
  <c r="AM191" i="1"/>
  <c r="AN191" i="1" s="1"/>
  <c r="BN191" i="1"/>
  <c r="AV191" i="1"/>
  <c r="AR191" i="1"/>
  <c r="BK193" i="1"/>
  <c r="BE193" i="1"/>
  <c r="AS193" i="1"/>
  <c r="AM193" i="1"/>
  <c r="AN193" i="1" s="1"/>
  <c r="BN193" i="1"/>
  <c r="AV193" i="1"/>
  <c r="AR193" i="1"/>
  <c r="AV194" i="1"/>
  <c r="BE194" i="1"/>
  <c r="W195" i="1"/>
  <c r="AI183" i="1"/>
  <c r="AY183" i="1" s="1"/>
  <c r="W185" i="1"/>
  <c r="W187" i="1"/>
  <c r="P188" i="1"/>
  <c r="Q188" i="1" s="1"/>
  <c r="Z188" i="1" s="1"/>
  <c r="W188" i="1"/>
  <c r="AI190" i="1"/>
  <c r="AY190" i="1" s="1"/>
  <c r="AI192" i="1"/>
  <c r="AY192" i="1" s="1"/>
  <c r="P194" i="1"/>
  <c r="Q194" i="1" s="1"/>
  <c r="Z194" i="1" s="1"/>
  <c r="W194" i="1"/>
  <c r="W196" i="1"/>
  <c r="AI197" i="1"/>
  <c r="AY197" i="1" s="1"/>
  <c r="P198" i="1"/>
  <c r="Q198" i="1" s="1"/>
  <c r="Z198" i="1" s="1"/>
  <c r="Z201" i="1"/>
  <c r="W201" i="1"/>
  <c r="BE202" i="1"/>
  <c r="AV202" i="1"/>
  <c r="BK203" i="1"/>
  <c r="BE203" i="1"/>
  <c r="AS203" i="1"/>
  <c r="AM203" i="1"/>
  <c r="AN203" i="1" s="1"/>
  <c r="BN203" i="1"/>
  <c r="AV203" i="1"/>
  <c r="AR203" i="1"/>
  <c r="BK205" i="1"/>
  <c r="BE205" i="1"/>
  <c r="AS205" i="1"/>
  <c r="AM205" i="1"/>
  <c r="AN205" i="1" s="1"/>
  <c r="BN205" i="1"/>
  <c r="AV205" i="1"/>
  <c r="AR205" i="1"/>
  <c r="BK206" i="1"/>
  <c r="BE206" i="1"/>
  <c r="AS206" i="1"/>
  <c r="AM206" i="1"/>
  <c r="AN206" i="1" s="1"/>
  <c r="BN206" i="1"/>
  <c r="AV206" i="1"/>
  <c r="AR206" i="1"/>
  <c r="BE208" i="1"/>
  <c r="AV208" i="1"/>
  <c r="Z209" i="1"/>
  <c r="W209" i="1"/>
  <c r="Z211" i="1"/>
  <c r="W211" i="1"/>
  <c r="BE198" i="1"/>
  <c r="AV198" i="1"/>
  <c r="BE199" i="1"/>
  <c r="AV199" i="1"/>
  <c r="AV200" i="1"/>
  <c r="BE200" i="1"/>
  <c r="BE201" i="1"/>
  <c r="AV201" i="1"/>
  <c r="W202" i="1"/>
  <c r="W208" i="1"/>
  <c r="BE209" i="1"/>
  <c r="AV209" i="1"/>
  <c r="AV210" i="1"/>
  <c r="BE210" i="1"/>
  <c r="BE211" i="1"/>
  <c r="AV211" i="1"/>
  <c r="AV213" i="1"/>
  <c r="BE213" i="1"/>
  <c r="P200" i="1"/>
  <c r="Q200" i="1" s="1"/>
  <c r="Z200" i="1" s="1"/>
  <c r="W200" i="1"/>
  <c r="AI204" i="1"/>
  <c r="AY204" i="1" s="1"/>
  <c r="AI207" i="1"/>
  <c r="AY207" i="1" s="1"/>
  <c r="W210" i="1"/>
  <c r="BK212" i="1"/>
  <c r="BE212" i="1"/>
  <c r="AS212" i="1"/>
  <c r="AM212" i="1"/>
  <c r="AN212" i="1" s="1"/>
  <c r="AL212" i="1"/>
  <c r="AP212" i="1"/>
  <c r="BN212" i="1"/>
  <c r="BE215" i="1"/>
  <c r="AV215" i="1"/>
  <c r="AV216" i="1"/>
  <c r="BE216" i="1"/>
  <c r="AV219" i="1"/>
  <c r="BE219" i="1"/>
  <c r="BE220" i="1"/>
  <c r="AV220" i="1"/>
  <c r="Z221" i="1"/>
  <c r="W221" i="1"/>
  <c r="AW212" i="1"/>
  <c r="AX212" i="1" s="1"/>
  <c r="AQ212" i="1"/>
  <c r="Z213" i="1"/>
  <c r="W215" i="1"/>
  <c r="AV217" i="1"/>
  <c r="BE217" i="1"/>
  <c r="AV218" i="1"/>
  <c r="BE218" i="1"/>
  <c r="W220" i="1"/>
  <c r="BE222" i="1"/>
  <c r="AI214" i="1"/>
  <c r="AY214" i="1" s="1"/>
  <c r="W216" i="1"/>
  <c r="P217" i="1"/>
  <c r="Q217" i="1" s="1"/>
  <c r="Z217" i="1" s="1"/>
  <c r="W217" i="1"/>
  <c r="W218" i="1"/>
  <c r="P219" i="1"/>
  <c r="Q219" i="1" s="1"/>
  <c r="Z219" i="1" s="1"/>
  <c r="W219" i="1"/>
  <c r="AY221" i="1"/>
  <c r="Z222" i="1"/>
  <c r="BE224" i="1"/>
  <c r="AV224" i="1"/>
  <c r="BE225" i="1"/>
  <c r="AV225" i="1"/>
  <c r="AV226" i="1"/>
  <c r="BE226" i="1"/>
  <c r="BE227" i="1"/>
  <c r="AV227" i="1"/>
  <c r="AV228" i="1"/>
  <c r="BE228" i="1"/>
  <c r="BN229" i="1"/>
  <c r="AV229" i="1"/>
  <c r="AR229" i="1"/>
  <c r="BK229" i="1"/>
  <c r="AM229" i="1"/>
  <c r="AN229" i="1" s="1"/>
  <c r="BE229" i="1"/>
  <c r="AS229" i="1"/>
  <c r="AV222" i="1"/>
  <c r="BE223" i="1"/>
  <c r="AV223" i="1"/>
  <c r="Z223" i="1"/>
  <c r="W224" i="1"/>
  <c r="W225" i="1"/>
  <c r="W227" i="1"/>
  <c r="W226" i="1"/>
  <c r="W228" i="1"/>
  <c r="BN232" i="1"/>
  <c r="AV232" i="1"/>
  <c r="AR232" i="1"/>
  <c r="BE232" i="1"/>
  <c r="AS232" i="1"/>
  <c r="BK232" i="1"/>
  <c r="AM232" i="1"/>
  <c r="AN232" i="1" s="1"/>
  <c r="AW233" i="1"/>
  <c r="AX233" i="1" s="1"/>
  <c r="AQ233" i="1"/>
  <c r="AP233" i="1"/>
  <c r="AI230" i="1"/>
  <c r="AY230" i="1" s="1"/>
  <c r="BK231" i="1"/>
  <c r="BE231" i="1"/>
  <c r="AS231" i="1"/>
  <c r="AM231" i="1"/>
  <c r="AN231" i="1" s="1"/>
  <c r="AL231" i="1"/>
  <c r="AP231" i="1"/>
  <c r="BN231" i="1"/>
  <c r="AR233" i="1"/>
  <c r="AW231" i="1"/>
  <c r="AX231" i="1" s="1"/>
  <c r="AQ231" i="1"/>
  <c r="BK233" i="1"/>
  <c r="BE233" i="1"/>
  <c r="AS233" i="1"/>
  <c r="AM233" i="1"/>
  <c r="AN233" i="1" s="1"/>
  <c r="BN233" i="1"/>
  <c r="AL233" i="1"/>
  <c r="BN127" i="1" l="1"/>
  <c r="AR127" i="1"/>
  <c r="AS127" i="1"/>
  <c r="AM127" i="1"/>
  <c r="AN127" i="1" s="1"/>
  <c r="AV127" i="1"/>
  <c r="BE127" i="1"/>
  <c r="BK127" i="1"/>
  <c r="BE132" i="1"/>
  <c r="BE86" i="1"/>
  <c r="BE78" i="1"/>
  <c r="BE117" i="1"/>
  <c r="BE80" i="1"/>
  <c r="BE133" i="1"/>
  <c r="BE104" i="1"/>
  <c r="BE100" i="1"/>
  <c r="BE96" i="1"/>
  <c r="BE119" i="1"/>
  <c r="BE111" i="1"/>
  <c r="BE107" i="1"/>
  <c r="BE84" i="1"/>
  <c r="AO231" i="1"/>
  <c r="AZ231" i="1"/>
  <c r="BA231" i="1" s="1"/>
  <c r="BB231" i="1" s="1"/>
  <c r="BN214" i="1"/>
  <c r="AV214" i="1"/>
  <c r="AR214" i="1"/>
  <c r="BK214" i="1"/>
  <c r="BE214" i="1"/>
  <c r="AS214" i="1"/>
  <c r="AM214" i="1"/>
  <c r="AN214" i="1" s="1"/>
  <c r="AO212" i="1"/>
  <c r="AZ212" i="1"/>
  <c r="BA212" i="1" s="1"/>
  <c r="BB212" i="1" s="1"/>
  <c r="BN204" i="1"/>
  <c r="AV204" i="1"/>
  <c r="AR204" i="1"/>
  <c r="BK204" i="1"/>
  <c r="BE204" i="1"/>
  <c r="AS204" i="1"/>
  <c r="AM204" i="1"/>
  <c r="AN204" i="1" s="1"/>
  <c r="BN197" i="1"/>
  <c r="AV197" i="1"/>
  <c r="BE197" i="1"/>
  <c r="AR197" i="1"/>
  <c r="BK197" i="1"/>
  <c r="AS197" i="1"/>
  <c r="AM197" i="1"/>
  <c r="AN197" i="1" s="1"/>
  <c r="BN192" i="1"/>
  <c r="AV192" i="1"/>
  <c r="AR192" i="1"/>
  <c r="BK192" i="1"/>
  <c r="BE192" i="1"/>
  <c r="AS192" i="1"/>
  <c r="AM192" i="1"/>
  <c r="AN192" i="1" s="1"/>
  <c r="BN183" i="1"/>
  <c r="AV183" i="1"/>
  <c r="AR183" i="1"/>
  <c r="BK183" i="1"/>
  <c r="BE183" i="1"/>
  <c r="AS183" i="1"/>
  <c r="AM183" i="1"/>
  <c r="AN183" i="1" s="1"/>
  <c r="BN178" i="1"/>
  <c r="AV178" i="1"/>
  <c r="AR178" i="1"/>
  <c r="BK178" i="1"/>
  <c r="BE178" i="1"/>
  <c r="AS178" i="1"/>
  <c r="AM178" i="1"/>
  <c r="AN178" i="1" s="1"/>
  <c r="BN174" i="1"/>
  <c r="AV174" i="1"/>
  <c r="AR174" i="1"/>
  <c r="BK174" i="1"/>
  <c r="BE174" i="1"/>
  <c r="AS174" i="1"/>
  <c r="AM174" i="1"/>
  <c r="AN174" i="1" s="1"/>
  <c r="BN159" i="1"/>
  <c r="AV159" i="1"/>
  <c r="AR159" i="1"/>
  <c r="BK159" i="1"/>
  <c r="BE159" i="1"/>
  <c r="AS159" i="1"/>
  <c r="AM159" i="1"/>
  <c r="AN159" i="1" s="1"/>
  <c r="AO125" i="1"/>
  <c r="AZ125" i="1"/>
  <c r="BA125" i="1" s="1"/>
  <c r="BB125" i="1" s="1"/>
  <c r="BN122" i="1"/>
  <c r="AV122" i="1"/>
  <c r="AR122" i="1"/>
  <c r="BE122" i="1"/>
  <c r="AS122" i="1"/>
  <c r="BK122" i="1"/>
  <c r="AM122" i="1"/>
  <c r="AN122" i="1" s="1"/>
  <c r="BN90" i="1"/>
  <c r="AV90" i="1"/>
  <c r="AR90" i="1"/>
  <c r="BK90" i="1"/>
  <c r="BE90" i="1"/>
  <c r="AS90" i="1"/>
  <c r="AM90" i="1"/>
  <c r="AN90" i="1" s="1"/>
  <c r="BN72" i="1"/>
  <c r="AV72" i="1"/>
  <c r="AR72" i="1"/>
  <c r="BK72" i="1"/>
  <c r="BE72" i="1"/>
  <c r="AS72" i="1"/>
  <c r="AM72" i="1"/>
  <c r="AN72" i="1" s="1"/>
  <c r="BN68" i="1"/>
  <c r="AV68" i="1"/>
  <c r="AR68" i="1"/>
  <c r="BK68" i="1"/>
  <c r="BE68" i="1"/>
  <c r="AS68" i="1"/>
  <c r="AM68" i="1"/>
  <c r="AN68" i="1" s="1"/>
  <c r="AP59" i="1"/>
  <c r="AW59" i="1"/>
  <c r="AX59" i="1" s="1"/>
  <c r="AQ59" i="1"/>
  <c r="AP52" i="1"/>
  <c r="AW52" i="1"/>
  <c r="AX52" i="1" s="1"/>
  <c r="AQ52" i="1"/>
  <c r="AP41" i="1"/>
  <c r="AW41" i="1"/>
  <c r="AX41" i="1" s="1"/>
  <c r="AQ41" i="1"/>
  <c r="AP39" i="1"/>
  <c r="AW39" i="1"/>
  <c r="AX39" i="1" s="1"/>
  <c r="AQ39" i="1"/>
  <c r="AP21" i="1"/>
  <c r="AW21" i="1"/>
  <c r="AX21" i="1" s="1"/>
  <c r="AQ21" i="1"/>
  <c r="BN207" i="1"/>
  <c r="AV207" i="1"/>
  <c r="AR207" i="1"/>
  <c r="BK207" i="1"/>
  <c r="BE207" i="1"/>
  <c r="AS207" i="1"/>
  <c r="AM207" i="1"/>
  <c r="AN207" i="1" s="1"/>
  <c r="BN190" i="1"/>
  <c r="AV190" i="1"/>
  <c r="AR190" i="1"/>
  <c r="BK190" i="1"/>
  <c r="BE190" i="1"/>
  <c r="AS190" i="1"/>
  <c r="AM190" i="1"/>
  <c r="AN190" i="1" s="1"/>
  <c r="AO181" i="1"/>
  <c r="AZ181" i="1"/>
  <c r="BA181" i="1" s="1"/>
  <c r="BB181" i="1" s="1"/>
  <c r="BN180" i="1"/>
  <c r="BK180" i="1"/>
  <c r="AV180" i="1"/>
  <c r="AR180" i="1"/>
  <c r="BE180" i="1"/>
  <c r="AS180" i="1"/>
  <c r="AM180" i="1"/>
  <c r="AN180" i="1" s="1"/>
  <c r="BN176" i="1"/>
  <c r="AV176" i="1"/>
  <c r="AR176" i="1"/>
  <c r="BK176" i="1"/>
  <c r="BE176" i="1"/>
  <c r="AS176" i="1"/>
  <c r="AM176" i="1"/>
  <c r="AN176" i="1" s="1"/>
  <c r="BN166" i="1"/>
  <c r="AV166" i="1"/>
  <c r="AR166" i="1"/>
  <c r="BK166" i="1"/>
  <c r="BE166" i="1"/>
  <c r="AS166" i="1"/>
  <c r="AM166" i="1"/>
  <c r="AN166" i="1" s="1"/>
  <c r="BN161" i="1"/>
  <c r="AV161" i="1"/>
  <c r="AR161" i="1"/>
  <c r="BK161" i="1"/>
  <c r="BE161" i="1"/>
  <c r="AS161" i="1"/>
  <c r="AM161" i="1"/>
  <c r="AN161" i="1" s="1"/>
  <c r="BN73" i="1"/>
  <c r="AV73" i="1"/>
  <c r="AR73" i="1"/>
  <c r="BK73" i="1"/>
  <c r="BE73" i="1"/>
  <c r="AS73" i="1"/>
  <c r="AM73" i="1"/>
  <c r="AN73" i="1" s="1"/>
  <c r="BN70" i="1"/>
  <c r="AV70" i="1"/>
  <c r="AR70" i="1"/>
  <c r="BK70" i="1"/>
  <c r="BE70" i="1"/>
  <c r="AS70" i="1"/>
  <c r="AM70" i="1"/>
  <c r="AN70" i="1" s="1"/>
  <c r="AP57" i="1"/>
  <c r="AW57" i="1"/>
  <c r="AX57" i="1" s="1"/>
  <c r="AQ57" i="1"/>
  <c r="AP35" i="1"/>
  <c r="AW35" i="1"/>
  <c r="AX35" i="1" s="1"/>
  <c r="AQ35" i="1"/>
  <c r="AP33" i="1"/>
  <c r="AW33" i="1"/>
  <c r="AX33" i="1" s="1"/>
  <c r="AQ33" i="1"/>
  <c r="AP31" i="1"/>
  <c r="AW31" i="1"/>
  <c r="AX31" i="1" s="1"/>
  <c r="AQ31" i="1"/>
  <c r="AW58" i="1"/>
  <c r="AQ58" i="1"/>
  <c r="AX58" i="1"/>
  <c r="AP58" i="1"/>
  <c r="AW51" i="1"/>
  <c r="AX51" i="1" s="1"/>
  <c r="AQ51" i="1"/>
  <c r="AP51" i="1"/>
  <c r="AR51" i="1" s="1"/>
  <c r="BN49" i="1"/>
  <c r="AV49" i="1"/>
  <c r="AR49" i="1"/>
  <c r="BK49" i="1"/>
  <c r="BE49" i="1"/>
  <c r="AS49" i="1"/>
  <c r="AM49" i="1"/>
  <c r="AN49" i="1" s="1"/>
  <c r="AW42" i="1"/>
  <c r="AX42" i="1" s="1"/>
  <c r="AQ42" i="1"/>
  <c r="AP42" i="1"/>
  <c r="AR42" i="1" s="1"/>
  <c r="AW38" i="1"/>
  <c r="AQ38" i="1"/>
  <c r="AX38" i="1"/>
  <c r="AP38" i="1"/>
  <c r="AW36" i="1"/>
  <c r="AX36" i="1" s="1"/>
  <c r="AQ36" i="1"/>
  <c r="AP36" i="1"/>
  <c r="AW32" i="1"/>
  <c r="AQ32" i="1"/>
  <c r="AX32" i="1"/>
  <c r="AP32" i="1"/>
  <c r="AR32" i="1" s="1"/>
  <c r="AW22" i="1"/>
  <c r="AX22" i="1" s="1"/>
  <c r="AQ22" i="1"/>
  <c r="AP22" i="1"/>
  <c r="AR22" i="1" s="1"/>
  <c r="AO126" i="1"/>
  <c r="AZ126" i="1"/>
  <c r="BA126" i="1" s="1"/>
  <c r="BB126" i="1" s="1"/>
  <c r="BN75" i="1"/>
  <c r="AV75" i="1"/>
  <c r="AR75" i="1"/>
  <c r="BK75" i="1"/>
  <c r="BE75" i="1"/>
  <c r="AS75" i="1"/>
  <c r="AM75" i="1"/>
  <c r="AN75" i="1" s="1"/>
  <c r="AP54" i="1"/>
  <c r="AW54" i="1"/>
  <c r="AX54" i="1" s="1"/>
  <c r="AQ54" i="1"/>
  <c r="AP43" i="1"/>
  <c r="AW43" i="1"/>
  <c r="AX43" i="1" s="1"/>
  <c r="AQ43" i="1"/>
  <c r="AP37" i="1"/>
  <c r="AW37" i="1"/>
  <c r="AX37" i="1" s="1"/>
  <c r="AQ37" i="1"/>
  <c r="AP29" i="1"/>
  <c r="AW29" i="1"/>
  <c r="AX29" i="1" s="1"/>
  <c r="AQ29" i="1"/>
  <c r="AP27" i="1"/>
  <c r="AW27" i="1"/>
  <c r="AX27" i="1" s="1"/>
  <c r="AQ27" i="1"/>
  <c r="AP25" i="1"/>
  <c r="AW25" i="1"/>
  <c r="AX25" i="1" s="1"/>
  <c r="AQ25" i="1"/>
  <c r="AP23" i="1"/>
  <c r="AW23" i="1"/>
  <c r="AX23" i="1" s="1"/>
  <c r="AQ23" i="1"/>
  <c r="AP12" i="1"/>
  <c r="AW12" i="1"/>
  <c r="AX12" i="1" s="1"/>
  <c r="AQ12" i="1"/>
  <c r="AW50" i="1"/>
  <c r="AX50" i="1" s="1"/>
  <c r="AQ50" i="1"/>
  <c r="AP50" i="1"/>
  <c r="AR50" i="1" s="1"/>
  <c r="BN47" i="1"/>
  <c r="AV47" i="1"/>
  <c r="AR47" i="1"/>
  <c r="BK47" i="1"/>
  <c r="BE47" i="1"/>
  <c r="AS47" i="1"/>
  <c r="AM47" i="1"/>
  <c r="AN47" i="1" s="1"/>
  <c r="AW44" i="1"/>
  <c r="AX44" i="1" s="1"/>
  <c r="AQ44" i="1"/>
  <c r="AP44" i="1"/>
  <c r="AR44" i="1" s="1"/>
  <c r="AW40" i="1"/>
  <c r="AQ40" i="1"/>
  <c r="AX40" i="1"/>
  <c r="AP40" i="1"/>
  <c r="AW34" i="1"/>
  <c r="AX34" i="1" s="1"/>
  <c r="AQ34" i="1"/>
  <c r="AP34" i="1"/>
  <c r="AW28" i="1"/>
  <c r="AQ28" i="1"/>
  <c r="AX28" i="1"/>
  <c r="AP28" i="1"/>
  <c r="AW24" i="1"/>
  <c r="AX24" i="1" s="1"/>
  <c r="AQ24" i="1"/>
  <c r="AP24" i="1"/>
  <c r="AR24" i="1" s="1"/>
  <c r="AW15" i="1"/>
  <c r="AQ15" i="1"/>
  <c r="AX15" i="1"/>
  <c r="AP15" i="1"/>
  <c r="BN10" i="1"/>
  <c r="AV10" i="1"/>
  <c r="AR10" i="1"/>
  <c r="BK10" i="1"/>
  <c r="BE10" i="1"/>
  <c r="AS10" i="1"/>
  <c r="AM10" i="1"/>
  <c r="AN10" i="1" s="1"/>
  <c r="BL6" i="1"/>
  <c r="BM6" i="1" s="1"/>
  <c r="BJ6" i="1"/>
  <c r="BH6" i="1"/>
  <c r="AR4" i="1"/>
  <c r="BN4" i="1"/>
  <c r="AS4" i="1"/>
  <c r="AM4" i="1"/>
  <c r="AN4" i="1" s="1"/>
  <c r="BK4" i="1"/>
  <c r="BE4" i="1"/>
  <c r="AV4" i="1"/>
  <c r="AP63" i="1"/>
  <c r="AQ63" i="1"/>
  <c r="AW63" i="1"/>
  <c r="AX63" i="1" s="1"/>
  <c r="AP64" i="1"/>
  <c r="AW64" i="1"/>
  <c r="AX64" i="1" s="1"/>
  <c r="AQ64" i="1"/>
  <c r="BK230" i="1"/>
  <c r="BE230" i="1"/>
  <c r="AV230" i="1"/>
  <c r="AR230" i="1"/>
  <c r="BN230" i="1"/>
  <c r="AS230" i="1"/>
  <c r="AM230" i="1"/>
  <c r="AN230" i="1" s="1"/>
  <c r="BI223" i="1"/>
  <c r="BF223" i="1"/>
  <c r="BG223" i="1" s="1"/>
  <c r="AP222" i="1"/>
  <c r="AQ222" i="1"/>
  <c r="AW222" i="1"/>
  <c r="AX222" i="1" s="1"/>
  <c r="BF229" i="1"/>
  <c r="BG229" i="1" s="1"/>
  <c r="BI229" i="1"/>
  <c r="BF226" i="1"/>
  <c r="BG226" i="1" s="1"/>
  <c r="BI226" i="1"/>
  <c r="BI225" i="1"/>
  <c r="BF225" i="1"/>
  <c r="BG225" i="1" s="1"/>
  <c r="BF217" i="1"/>
  <c r="BG217" i="1" s="1"/>
  <c r="BI217" i="1"/>
  <c r="BF219" i="1"/>
  <c r="BG219" i="1" s="1"/>
  <c r="BI219" i="1"/>
  <c r="BF216" i="1"/>
  <c r="BG216" i="1" s="1"/>
  <c r="BI216" i="1"/>
  <c r="BI215" i="1"/>
  <c r="BF215" i="1"/>
  <c r="BG215" i="1" s="1"/>
  <c r="AW211" i="1"/>
  <c r="AX211" i="1" s="1"/>
  <c r="AQ211" i="1"/>
  <c r="AP211" i="1"/>
  <c r="AR211" i="1" s="1"/>
  <c r="AW199" i="1"/>
  <c r="AQ199" i="1"/>
  <c r="AX199" i="1"/>
  <c r="AP199" i="1"/>
  <c r="BI198" i="1"/>
  <c r="BF198" i="1"/>
  <c r="BG198" i="1" s="1"/>
  <c r="BI203" i="1"/>
  <c r="BF203" i="1"/>
  <c r="BG203" i="1" s="1"/>
  <c r="BI233" i="1"/>
  <c r="BF233" i="1"/>
  <c r="BG233" i="1" s="1"/>
  <c r="BI231" i="1"/>
  <c r="BF231" i="1"/>
  <c r="BG231" i="1" s="1"/>
  <c r="AO233" i="1"/>
  <c r="AZ233" i="1"/>
  <c r="BA233" i="1" s="1"/>
  <c r="BB233" i="1" s="1"/>
  <c r="BF232" i="1"/>
  <c r="BG232" i="1" s="1"/>
  <c r="BI232" i="1"/>
  <c r="AP232" i="1"/>
  <c r="AW232" i="1"/>
  <c r="AX232" i="1" s="1"/>
  <c r="AQ232" i="1"/>
  <c r="BF228" i="1"/>
  <c r="BG228" i="1" s="1"/>
  <c r="BI228" i="1"/>
  <c r="AW227" i="1"/>
  <c r="AX227" i="1" s="1"/>
  <c r="AQ227" i="1"/>
  <c r="AP227" i="1"/>
  <c r="AR227" i="1" s="1"/>
  <c r="BI227" i="1"/>
  <c r="BF227" i="1"/>
  <c r="BG227" i="1" s="1"/>
  <c r="AP226" i="1"/>
  <c r="AW226" i="1"/>
  <c r="AX226" i="1" s="1"/>
  <c r="AQ226" i="1"/>
  <c r="AW224" i="1"/>
  <c r="AQ224" i="1"/>
  <c r="AX224" i="1"/>
  <c r="AP224" i="1"/>
  <c r="BI224" i="1"/>
  <c r="BF224" i="1"/>
  <c r="BG224" i="1" s="1"/>
  <c r="AP218" i="1"/>
  <c r="AW218" i="1"/>
  <c r="AX218" i="1" s="1"/>
  <c r="AQ218" i="1"/>
  <c r="AP217" i="1"/>
  <c r="AW217" i="1"/>
  <c r="AX217" i="1" s="1"/>
  <c r="AQ217" i="1"/>
  <c r="AW220" i="1"/>
  <c r="AX220" i="1" s="1"/>
  <c r="AQ220" i="1"/>
  <c r="AP220" i="1"/>
  <c r="AR220" i="1" s="1"/>
  <c r="BI220" i="1"/>
  <c r="BF220" i="1"/>
  <c r="BG220" i="1" s="1"/>
  <c r="AP219" i="1"/>
  <c r="AW219" i="1"/>
  <c r="AX219" i="1" s="1"/>
  <c r="AQ219" i="1"/>
  <c r="AP216" i="1"/>
  <c r="AW216" i="1"/>
  <c r="AX216" i="1" s="1"/>
  <c r="AQ216" i="1"/>
  <c r="BF213" i="1"/>
  <c r="BI213" i="1"/>
  <c r="BG213" i="1"/>
  <c r="AP213" i="1"/>
  <c r="AW213" i="1"/>
  <c r="AX213" i="1" s="1"/>
  <c r="AQ213" i="1"/>
  <c r="BI211" i="1"/>
  <c r="BF211" i="1"/>
  <c r="BG211" i="1" s="1"/>
  <c r="BF210" i="1"/>
  <c r="BI210" i="1"/>
  <c r="BG210" i="1"/>
  <c r="AW209" i="1"/>
  <c r="AQ209" i="1"/>
  <c r="AX209" i="1"/>
  <c r="AP209" i="1"/>
  <c r="BI209" i="1"/>
  <c r="BF209" i="1"/>
  <c r="BG209" i="1" s="1"/>
  <c r="BF200" i="1"/>
  <c r="BG200" i="1" s="1"/>
  <c r="BI200" i="1"/>
  <c r="BI199" i="1"/>
  <c r="BF199" i="1"/>
  <c r="BG199" i="1" s="1"/>
  <c r="AW198" i="1"/>
  <c r="AX198" i="1" s="1"/>
  <c r="AQ198" i="1"/>
  <c r="AP198" i="1"/>
  <c r="AW208" i="1"/>
  <c r="AQ208" i="1"/>
  <c r="AX208" i="1"/>
  <c r="AP208" i="1"/>
  <c r="AR208" i="1" s="1"/>
  <c r="BI208" i="1"/>
  <c r="BF208" i="1"/>
  <c r="BG208" i="1" s="1"/>
  <c r="AW206" i="1"/>
  <c r="AQ206" i="1"/>
  <c r="AX206" i="1"/>
  <c r="AP206" i="1"/>
  <c r="BI206" i="1"/>
  <c r="BF206" i="1"/>
  <c r="BG206" i="1" s="1"/>
  <c r="AW202" i="1"/>
  <c r="AX202" i="1" s="1"/>
  <c r="AQ202" i="1"/>
  <c r="AP202" i="1"/>
  <c r="BI202" i="1"/>
  <c r="BF202" i="1"/>
  <c r="BG202" i="1" s="1"/>
  <c r="BF194" i="1"/>
  <c r="BI194" i="1"/>
  <c r="BG194" i="1"/>
  <c r="AW193" i="1"/>
  <c r="AQ193" i="1"/>
  <c r="AX193" i="1"/>
  <c r="AP193" i="1"/>
  <c r="BI193" i="1"/>
  <c r="BF193" i="1"/>
  <c r="BG193" i="1" s="1"/>
  <c r="AW191" i="1"/>
  <c r="AX191" i="1" s="1"/>
  <c r="AQ191" i="1"/>
  <c r="AP191" i="1"/>
  <c r="BI191" i="1"/>
  <c r="BF191" i="1"/>
  <c r="BG191" i="1" s="1"/>
  <c r="AW189" i="1"/>
  <c r="AX189" i="1" s="1"/>
  <c r="AQ189" i="1"/>
  <c r="AP189" i="1"/>
  <c r="BI189" i="1"/>
  <c r="BF189" i="1"/>
  <c r="BG189" i="1" s="1"/>
  <c r="AP188" i="1"/>
  <c r="AW188" i="1"/>
  <c r="AX188" i="1" s="1"/>
  <c r="AQ188" i="1"/>
  <c r="BF196" i="1"/>
  <c r="BI196" i="1"/>
  <c r="BG196" i="1"/>
  <c r="AW195" i="1"/>
  <c r="AQ195" i="1"/>
  <c r="AX195" i="1"/>
  <c r="AP195" i="1"/>
  <c r="BI195" i="1"/>
  <c r="BF195" i="1"/>
  <c r="BG195" i="1" s="1"/>
  <c r="AP187" i="1"/>
  <c r="AW187" i="1"/>
  <c r="AX187" i="1" s="1"/>
  <c r="AQ187" i="1"/>
  <c r="BF185" i="1"/>
  <c r="BG185" i="1" s="1"/>
  <c r="BI185" i="1"/>
  <c r="AW184" i="1"/>
  <c r="AX184" i="1" s="1"/>
  <c r="AQ184" i="1"/>
  <c r="AP184" i="1"/>
  <c r="AR184" i="1" s="1"/>
  <c r="BI184" i="1"/>
  <c r="BF184" i="1"/>
  <c r="BG184" i="1" s="1"/>
  <c r="BI181" i="1"/>
  <c r="BF181" i="1"/>
  <c r="BG181" i="1" s="1"/>
  <c r="BF158" i="1"/>
  <c r="BI158" i="1"/>
  <c r="BG158" i="1"/>
  <c r="AW157" i="1"/>
  <c r="AQ157" i="1"/>
  <c r="AX157" i="1"/>
  <c r="AP157" i="1"/>
  <c r="BI157" i="1"/>
  <c r="BF157" i="1"/>
  <c r="BG157" i="1" s="1"/>
  <c r="AP156" i="1"/>
  <c r="AW156" i="1"/>
  <c r="AX156" i="1" s="1"/>
  <c r="AQ156" i="1"/>
  <c r="BF154" i="1"/>
  <c r="BI154" i="1"/>
  <c r="BG154" i="1"/>
  <c r="BI151" i="1"/>
  <c r="BF151" i="1"/>
  <c r="BG151" i="1" s="1"/>
  <c r="AW179" i="1"/>
  <c r="AX179" i="1" s="1"/>
  <c r="AQ179" i="1"/>
  <c r="AP179" i="1"/>
  <c r="BI179" i="1"/>
  <c r="BF179" i="1"/>
  <c r="BG179" i="1" s="1"/>
  <c r="AW177" i="1"/>
  <c r="AQ177" i="1"/>
  <c r="AX177" i="1"/>
  <c r="AP177" i="1"/>
  <c r="BI177" i="1"/>
  <c r="BF177" i="1"/>
  <c r="BG177" i="1" s="1"/>
  <c r="AW175" i="1"/>
  <c r="AQ175" i="1"/>
  <c r="AX175" i="1"/>
  <c r="AP175" i="1"/>
  <c r="BI175" i="1"/>
  <c r="BF175" i="1"/>
  <c r="BG175" i="1" s="1"/>
  <c r="AW171" i="1"/>
  <c r="AX171" i="1" s="1"/>
  <c r="AQ171" i="1"/>
  <c r="AP171" i="1"/>
  <c r="BI171" i="1"/>
  <c r="BF171" i="1"/>
  <c r="BG171" i="1" s="1"/>
  <c r="AP170" i="1"/>
  <c r="AW170" i="1"/>
  <c r="AX170" i="1" s="1"/>
  <c r="AQ170" i="1"/>
  <c r="AW162" i="1"/>
  <c r="AQ162" i="1"/>
  <c r="AX162" i="1"/>
  <c r="AP162" i="1"/>
  <c r="BI162" i="1"/>
  <c r="BF162" i="1"/>
  <c r="BG162" i="1" s="1"/>
  <c r="AW160" i="1"/>
  <c r="AQ160" i="1"/>
  <c r="AX160" i="1"/>
  <c r="AP160" i="1"/>
  <c r="BI160" i="1"/>
  <c r="BF160" i="1"/>
  <c r="BG160" i="1" s="1"/>
  <c r="BI152" i="1"/>
  <c r="BF152" i="1"/>
  <c r="BG152" i="1" s="1"/>
  <c r="AP153" i="1"/>
  <c r="AW153" i="1"/>
  <c r="AX153" i="1" s="1"/>
  <c r="AQ153" i="1"/>
  <c r="BI153" i="1"/>
  <c r="BF153" i="1"/>
  <c r="BG153" i="1" s="1"/>
  <c r="BF143" i="1"/>
  <c r="BI143" i="1"/>
  <c r="BG143" i="1"/>
  <c r="AW142" i="1"/>
  <c r="AQ142" i="1"/>
  <c r="AX142" i="1"/>
  <c r="AP142" i="1"/>
  <c r="BI142" i="1"/>
  <c r="BF142" i="1"/>
  <c r="BG142" i="1" s="1"/>
  <c r="BF141" i="1"/>
  <c r="BG141" i="1" s="1"/>
  <c r="BI141" i="1"/>
  <c r="AW140" i="1"/>
  <c r="AX140" i="1" s="1"/>
  <c r="AQ140" i="1"/>
  <c r="AP140" i="1"/>
  <c r="BI140" i="1"/>
  <c r="BF140" i="1"/>
  <c r="BG140" i="1" s="1"/>
  <c r="BF139" i="1"/>
  <c r="BG139" i="1" s="1"/>
  <c r="BI139" i="1"/>
  <c r="AW138" i="1"/>
  <c r="AQ138" i="1"/>
  <c r="AX138" i="1"/>
  <c r="AP138" i="1"/>
  <c r="BI138" i="1"/>
  <c r="BF138" i="1"/>
  <c r="BG138" i="1" s="1"/>
  <c r="BF137" i="1"/>
  <c r="BI137" i="1"/>
  <c r="BG137" i="1"/>
  <c r="AP136" i="1"/>
  <c r="AW136" i="1"/>
  <c r="AX136" i="1" s="1"/>
  <c r="AQ136" i="1"/>
  <c r="BI130" i="1"/>
  <c r="BF130" i="1"/>
  <c r="BG130" i="1" s="1"/>
  <c r="AW129" i="1"/>
  <c r="AQ129" i="1"/>
  <c r="AX129" i="1"/>
  <c r="AP129" i="1"/>
  <c r="BI128" i="1"/>
  <c r="BF128" i="1"/>
  <c r="BG128" i="1" s="1"/>
  <c r="BI123" i="1"/>
  <c r="BF123" i="1"/>
  <c r="BG123" i="1" s="1"/>
  <c r="AW151" i="1"/>
  <c r="AX151" i="1" s="1"/>
  <c r="AQ151" i="1"/>
  <c r="AP151" i="1"/>
  <c r="AP150" i="1"/>
  <c r="AW150" i="1"/>
  <c r="AX150" i="1" s="1"/>
  <c r="AQ150" i="1"/>
  <c r="BK149" i="1"/>
  <c r="BE149" i="1"/>
  <c r="AS149" i="1"/>
  <c r="AM149" i="1"/>
  <c r="AN149" i="1" s="1"/>
  <c r="BN149" i="1"/>
  <c r="AV149" i="1"/>
  <c r="AR149" i="1"/>
  <c r="AP148" i="1"/>
  <c r="AW148" i="1"/>
  <c r="AX148" i="1" s="1"/>
  <c r="AQ148" i="1"/>
  <c r="AW147" i="1"/>
  <c r="AQ147" i="1"/>
  <c r="AX147" i="1"/>
  <c r="AP147" i="1"/>
  <c r="BI147" i="1"/>
  <c r="BF147" i="1"/>
  <c r="BG147" i="1" s="1"/>
  <c r="BF146" i="1"/>
  <c r="BG146" i="1" s="1"/>
  <c r="BI146" i="1"/>
  <c r="AP145" i="1"/>
  <c r="AW145" i="1"/>
  <c r="AX145" i="1" s="1"/>
  <c r="AQ145" i="1"/>
  <c r="BF144" i="1"/>
  <c r="BG144" i="1" s="1"/>
  <c r="BI144" i="1"/>
  <c r="AW135" i="1"/>
  <c r="AX135" i="1" s="1"/>
  <c r="AQ135" i="1"/>
  <c r="AP135" i="1"/>
  <c r="BI135" i="1"/>
  <c r="BF135" i="1"/>
  <c r="BG135" i="1" s="1"/>
  <c r="BF134" i="1"/>
  <c r="BI134" i="1"/>
  <c r="BG134" i="1"/>
  <c r="AP133" i="1"/>
  <c r="AW133" i="1"/>
  <c r="AX133" i="1" s="1"/>
  <c r="AQ133" i="1"/>
  <c r="AW132" i="1"/>
  <c r="AQ132" i="1"/>
  <c r="AX132" i="1"/>
  <c r="AP132" i="1"/>
  <c r="BI132" i="1"/>
  <c r="BF132" i="1"/>
  <c r="BG132" i="1" s="1"/>
  <c r="BI126" i="1"/>
  <c r="BF126" i="1"/>
  <c r="BG126" i="1" s="1"/>
  <c r="BF131" i="1"/>
  <c r="BG131" i="1" s="1"/>
  <c r="BI131" i="1"/>
  <c r="AP131" i="1"/>
  <c r="AQ131" i="1"/>
  <c r="AW131" i="1"/>
  <c r="AX131" i="1" s="1"/>
  <c r="BF124" i="1"/>
  <c r="BG124" i="1" s="1"/>
  <c r="BI124" i="1"/>
  <c r="AP124" i="1"/>
  <c r="AQ124" i="1"/>
  <c r="AW124" i="1"/>
  <c r="AX124" i="1" s="1"/>
  <c r="AP121" i="1"/>
  <c r="AW121" i="1"/>
  <c r="AX121" i="1" s="1"/>
  <c r="AQ121" i="1"/>
  <c r="BF103" i="1"/>
  <c r="BI103" i="1"/>
  <c r="BG103" i="1"/>
  <c r="AW102" i="1"/>
  <c r="AQ102" i="1"/>
  <c r="AX102" i="1"/>
  <c r="AP102" i="1"/>
  <c r="BI102" i="1"/>
  <c r="BF102" i="1"/>
  <c r="BG102" i="1" s="1"/>
  <c r="AP101" i="1"/>
  <c r="AW101" i="1"/>
  <c r="AX101" i="1" s="1"/>
  <c r="AQ101" i="1"/>
  <c r="BF99" i="1"/>
  <c r="BG99" i="1" s="1"/>
  <c r="BI99" i="1"/>
  <c r="AW98" i="1"/>
  <c r="AX98" i="1" s="1"/>
  <c r="AQ98" i="1"/>
  <c r="AP98" i="1"/>
  <c r="BI98" i="1"/>
  <c r="BF98" i="1"/>
  <c r="BG98" i="1" s="1"/>
  <c r="AP97" i="1"/>
  <c r="AW97" i="1"/>
  <c r="AX97" i="1" s="1"/>
  <c r="AQ97" i="1"/>
  <c r="AW95" i="1"/>
  <c r="AQ95" i="1"/>
  <c r="AX95" i="1"/>
  <c r="AP95" i="1"/>
  <c r="BI95" i="1"/>
  <c r="BF95" i="1"/>
  <c r="BG95" i="1" s="1"/>
  <c r="AW93" i="1"/>
  <c r="AX93" i="1" s="1"/>
  <c r="AQ93" i="1"/>
  <c r="AP93" i="1"/>
  <c r="BI93" i="1"/>
  <c r="BF93" i="1"/>
  <c r="BG93" i="1" s="1"/>
  <c r="AP92" i="1"/>
  <c r="AW92" i="1"/>
  <c r="AX92" i="1" s="1"/>
  <c r="AQ92" i="1"/>
  <c r="AW88" i="1"/>
  <c r="AX88" i="1" s="1"/>
  <c r="AQ88" i="1"/>
  <c r="AP88" i="1"/>
  <c r="BI88" i="1"/>
  <c r="BF88" i="1"/>
  <c r="BG88" i="1" s="1"/>
  <c r="AP87" i="1"/>
  <c r="AW87" i="1"/>
  <c r="AX87" i="1" s="1"/>
  <c r="AQ87" i="1"/>
  <c r="AP86" i="1"/>
  <c r="AW86" i="1"/>
  <c r="AX86" i="1" s="1"/>
  <c r="AQ86" i="1"/>
  <c r="AP83" i="1"/>
  <c r="AW83" i="1"/>
  <c r="AX83" i="1" s="1"/>
  <c r="AQ83" i="1"/>
  <c r="BF81" i="1"/>
  <c r="BG81" i="1" s="1"/>
  <c r="BI81" i="1"/>
  <c r="AW78" i="1"/>
  <c r="AX78" i="1" s="1"/>
  <c r="AQ78" i="1"/>
  <c r="AP78" i="1"/>
  <c r="BI78" i="1"/>
  <c r="BF78" i="1"/>
  <c r="BG78" i="1" s="1"/>
  <c r="AP67" i="1"/>
  <c r="AW67" i="1"/>
  <c r="AX67" i="1" s="1"/>
  <c r="AQ67" i="1"/>
  <c r="BF65" i="1"/>
  <c r="BI65" i="1"/>
  <c r="BG65" i="1"/>
  <c r="AD60" i="1"/>
  <c r="X60" i="1"/>
  <c r="AE60" i="1"/>
  <c r="Y60" i="1"/>
  <c r="AD55" i="1"/>
  <c r="AE55" i="1" s="1"/>
  <c r="X55" i="1"/>
  <c r="Y55" i="1"/>
  <c r="AD53" i="1"/>
  <c r="X53" i="1"/>
  <c r="AE53" i="1"/>
  <c r="Y53" i="1"/>
  <c r="AD45" i="1"/>
  <c r="AE45" i="1" s="1"/>
  <c r="X45" i="1"/>
  <c r="Y45" i="1"/>
  <c r="BI30" i="1"/>
  <c r="BF30" i="1"/>
  <c r="BG30" i="1" s="1"/>
  <c r="AD11" i="1"/>
  <c r="AE11" i="1" s="1"/>
  <c r="X11" i="1"/>
  <c r="Y11" i="1"/>
  <c r="AD9" i="1"/>
  <c r="X9" i="1"/>
  <c r="AE9" i="1"/>
  <c r="Y9" i="1"/>
  <c r="BL7" i="1"/>
  <c r="BM7" i="1" s="1"/>
  <c r="BJ7" i="1"/>
  <c r="BH7" i="1"/>
  <c r="AO130" i="1"/>
  <c r="AZ130" i="1"/>
  <c r="BA130" i="1" s="1"/>
  <c r="BB130" i="1" s="1"/>
  <c r="AO123" i="1"/>
  <c r="AZ123" i="1"/>
  <c r="BA123" i="1" s="1"/>
  <c r="BB123" i="1" s="1"/>
  <c r="AW118" i="1"/>
  <c r="AX118" i="1" s="1"/>
  <c r="AQ118" i="1"/>
  <c r="AP118" i="1"/>
  <c r="BI118" i="1"/>
  <c r="BF118" i="1"/>
  <c r="BG118" i="1" s="1"/>
  <c r="AP117" i="1"/>
  <c r="AW117" i="1"/>
  <c r="AX117" i="1" s="1"/>
  <c r="AQ117" i="1"/>
  <c r="BF115" i="1"/>
  <c r="BG115" i="1" s="1"/>
  <c r="BI115" i="1"/>
  <c r="AW114" i="1"/>
  <c r="AQ114" i="1"/>
  <c r="AX114" i="1"/>
  <c r="AP114" i="1"/>
  <c r="AR114" i="1" s="1"/>
  <c r="BI114" i="1"/>
  <c r="BF114" i="1"/>
  <c r="BG114" i="1" s="1"/>
  <c r="BF112" i="1"/>
  <c r="BI112" i="1"/>
  <c r="BG112" i="1"/>
  <c r="AW111" i="1"/>
  <c r="AQ111" i="1"/>
  <c r="AX111" i="1"/>
  <c r="AP111" i="1"/>
  <c r="BI111" i="1"/>
  <c r="BF111" i="1"/>
  <c r="BG111" i="1" s="1"/>
  <c r="AP110" i="1"/>
  <c r="AW110" i="1"/>
  <c r="AX110" i="1" s="1"/>
  <c r="AQ110" i="1"/>
  <c r="BF108" i="1"/>
  <c r="BG108" i="1" s="1"/>
  <c r="BI108" i="1"/>
  <c r="AW107" i="1"/>
  <c r="AX107" i="1" s="1"/>
  <c r="AQ107" i="1"/>
  <c r="AP107" i="1"/>
  <c r="AR107" i="1" s="1"/>
  <c r="BI107" i="1"/>
  <c r="BF107" i="1"/>
  <c r="BG107" i="1" s="1"/>
  <c r="AP106" i="1"/>
  <c r="AW106" i="1"/>
  <c r="AX106" i="1" s="1"/>
  <c r="AQ106" i="1"/>
  <c r="BF85" i="1"/>
  <c r="BI85" i="1"/>
  <c r="BG85" i="1"/>
  <c r="AW84" i="1"/>
  <c r="AQ84" i="1"/>
  <c r="AX84" i="1"/>
  <c r="AP84" i="1"/>
  <c r="BI84" i="1"/>
  <c r="BF84" i="1"/>
  <c r="BG84" i="1" s="1"/>
  <c r="AP80" i="1"/>
  <c r="AW80" i="1"/>
  <c r="AX80" i="1" s="1"/>
  <c r="AQ80" i="1"/>
  <c r="AW76" i="1"/>
  <c r="AX76" i="1" s="1"/>
  <c r="AQ76" i="1"/>
  <c r="AP76" i="1"/>
  <c r="AR76" i="1" s="1"/>
  <c r="BI76" i="1"/>
  <c r="BF76" i="1"/>
  <c r="BG76" i="1" s="1"/>
  <c r="AW74" i="1"/>
  <c r="AQ74" i="1"/>
  <c r="AX74" i="1"/>
  <c r="AP74" i="1"/>
  <c r="BI74" i="1"/>
  <c r="BF74" i="1"/>
  <c r="BG74" i="1" s="1"/>
  <c r="Y49" i="1"/>
  <c r="AD49" i="1"/>
  <c r="AE49" i="1" s="1"/>
  <c r="X49" i="1"/>
  <c r="Z49" i="1" s="1"/>
  <c r="Y73" i="1"/>
  <c r="AD73" i="1"/>
  <c r="AE73" i="1" s="1"/>
  <c r="X73" i="1"/>
  <c r="Z73" i="1" s="1"/>
  <c r="Y75" i="1"/>
  <c r="AD75" i="1"/>
  <c r="AE75" i="1" s="1"/>
  <c r="X75" i="1"/>
  <c r="Y122" i="1"/>
  <c r="AD122" i="1"/>
  <c r="AE122" i="1" s="1"/>
  <c r="X122" i="1"/>
  <c r="AU68" i="1"/>
  <c r="AU70" i="1"/>
  <c r="AU72" i="1"/>
  <c r="AD74" i="1"/>
  <c r="AE74" i="1" s="1"/>
  <c r="X74" i="1"/>
  <c r="Y74" i="1"/>
  <c r="AD89" i="1"/>
  <c r="X89" i="1"/>
  <c r="AE89" i="1"/>
  <c r="Y89" i="1"/>
  <c r="AD91" i="1"/>
  <c r="AE91" i="1" s="1"/>
  <c r="X91" i="1"/>
  <c r="Y91" i="1"/>
  <c r="Y131" i="1"/>
  <c r="X131" i="1"/>
  <c r="AD131" i="1"/>
  <c r="AE131" i="1" s="1"/>
  <c r="Y139" i="1"/>
  <c r="AD139" i="1"/>
  <c r="AE139" i="1" s="1"/>
  <c r="X139" i="1"/>
  <c r="Y141" i="1"/>
  <c r="AD141" i="1"/>
  <c r="AE141" i="1" s="1"/>
  <c r="X141" i="1"/>
  <c r="AU122" i="1"/>
  <c r="AD126" i="1"/>
  <c r="AE126" i="1" s="1"/>
  <c r="X126" i="1"/>
  <c r="Y126" i="1"/>
  <c r="AD130" i="1"/>
  <c r="X130" i="1"/>
  <c r="AE130" i="1"/>
  <c r="Y130" i="1"/>
  <c r="AU4" i="1"/>
  <c r="Y146" i="1"/>
  <c r="AD146" i="1"/>
  <c r="AE146" i="1" s="1"/>
  <c r="X146" i="1"/>
  <c r="Z146" i="1" s="1"/>
  <c r="Y148" i="1"/>
  <c r="AD148" i="1"/>
  <c r="AE148" i="1" s="1"/>
  <c r="X148" i="1"/>
  <c r="Z148" i="1" s="1"/>
  <c r="Y150" i="1"/>
  <c r="AD150" i="1"/>
  <c r="AE150" i="1" s="1"/>
  <c r="X150" i="1"/>
  <c r="Z150" i="1" s="1"/>
  <c r="AD149" i="1"/>
  <c r="AE149" i="1" s="1"/>
  <c r="X149" i="1"/>
  <c r="Y149" i="1"/>
  <c r="Y164" i="1"/>
  <c r="AD164" i="1"/>
  <c r="AE164" i="1" s="1"/>
  <c r="X164" i="1"/>
  <c r="Z164" i="1" s="1"/>
  <c r="Y166" i="1"/>
  <c r="AD166" i="1"/>
  <c r="AE166" i="1" s="1"/>
  <c r="X166" i="1"/>
  <c r="Z166" i="1" s="1"/>
  <c r="Y168" i="1"/>
  <c r="AD168" i="1"/>
  <c r="AE168" i="1" s="1"/>
  <c r="X168" i="1"/>
  <c r="Z168" i="1" s="1"/>
  <c r="Y173" i="1"/>
  <c r="AD173" i="1"/>
  <c r="AE173" i="1" s="1"/>
  <c r="X173" i="1"/>
  <c r="Z173" i="1" s="1"/>
  <c r="AU159" i="1"/>
  <c r="AU161" i="1"/>
  <c r="AD163" i="1"/>
  <c r="X163" i="1"/>
  <c r="AE163" i="1"/>
  <c r="Y163" i="1"/>
  <c r="AD165" i="1"/>
  <c r="AE165" i="1" s="1"/>
  <c r="X165" i="1"/>
  <c r="Y165" i="1"/>
  <c r="AD167" i="1"/>
  <c r="X167" i="1"/>
  <c r="AE167" i="1"/>
  <c r="Y167" i="1"/>
  <c r="AD169" i="1"/>
  <c r="AE169" i="1" s="1"/>
  <c r="X169" i="1"/>
  <c r="Y169" i="1"/>
  <c r="AU173" i="1"/>
  <c r="AD175" i="1"/>
  <c r="AE175" i="1" s="1"/>
  <c r="X175" i="1"/>
  <c r="Y175" i="1"/>
  <c r="AD177" i="1"/>
  <c r="X177" i="1"/>
  <c r="AE177" i="1"/>
  <c r="Y177" i="1"/>
  <c r="AD179" i="1"/>
  <c r="AE179" i="1" s="1"/>
  <c r="X179" i="1"/>
  <c r="Y179" i="1"/>
  <c r="AD181" i="1"/>
  <c r="AE181" i="1" s="1"/>
  <c r="X181" i="1"/>
  <c r="Y181" i="1"/>
  <c r="Y183" i="1"/>
  <c r="AD183" i="1"/>
  <c r="AE183" i="1" s="1"/>
  <c r="X183" i="1"/>
  <c r="AU183" i="1"/>
  <c r="AD189" i="1"/>
  <c r="X189" i="1"/>
  <c r="AE189" i="1"/>
  <c r="Y189" i="1"/>
  <c r="AD191" i="1"/>
  <c r="AE191" i="1" s="1"/>
  <c r="X191" i="1"/>
  <c r="Y191" i="1"/>
  <c r="AD193" i="1"/>
  <c r="X193" i="1"/>
  <c r="AE193" i="1"/>
  <c r="Y193" i="1"/>
  <c r="AU197" i="1"/>
  <c r="Y204" i="1"/>
  <c r="AD204" i="1"/>
  <c r="AE204" i="1" s="1"/>
  <c r="X204" i="1"/>
  <c r="Z204" i="1" s="1"/>
  <c r="AU204" i="1"/>
  <c r="AD206" i="1"/>
  <c r="AE206" i="1" s="1"/>
  <c r="X206" i="1"/>
  <c r="Y206" i="1"/>
  <c r="AD212" i="1"/>
  <c r="AE212" i="1" s="1"/>
  <c r="X212" i="1"/>
  <c r="Y212" i="1"/>
  <c r="Y214" i="1"/>
  <c r="AD214" i="1"/>
  <c r="AE214" i="1" s="1"/>
  <c r="X214" i="1"/>
  <c r="Z214" i="1" s="1"/>
  <c r="Y229" i="1"/>
  <c r="X229" i="1"/>
  <c r="AD229" i="1"/>
  <c r="AE229" i="1" s="1"/>
  <c r="AD230" i="1"/>
  <c r="AE230" i="1" s="1"/>
  <c r="X230" i="1"/>
  <c r="Y230" i="1"/>
  <c r="Y232" i="1"/>
  <c r="AD232" i="1"/>
  <c r="AE232" i="1" s="1"/>
  <c r="X232" i="1"/>
  <c r="BE27" i="1"/>
  <c r="BE23" i="1"/>
  <c r="BE22" i="1"/>
  <c r="AW19" i="1"/>
  <c r="AQ19" i="1"/>
  <c r="AX19" i="1"/>
  <c r="AP19" i="1"/>
  <c r="BI19" i="1"/>
  <c r="BG19" i="1"/>
  <c r="BF19" i="1"/>
  <c r="AW62" i="1"/>
  <c r="AX62" i="1" s="1"/>
  <c r="AQ62" i="1"/>
  <c r="AP62" i="1"/>
  <c r="BI62" i="1"/>
  <c r="BF62" i="1"/>
  <c r="BG62" i="1" s="1"/>
  <c r="AY61" i="1"/>
  <c r="AW60" i="1"/>
  <c r="AQ60" i="1"/>
  <c r="AX60" i="1"/>
  <c r="AP60" i="1"/>
  <c r="BI60" i="1"/>
  <c r="BF60" i="1"/>
  <c r="BG60" i="1" s="1"/>
  <c r="BE57" i="1"/>
  <c r="AW56" i="1"/>
  <c r="AQ56" i="1"/>
  <c r="AX56" i="1"/>
  <c r="AP56" i="1"/>
  <c r="BI56" i="1"/>
  <c r="BF56" i="1"/>
  <c r="BG56" i="1" s="1"/>
  <c r="BE54" i="1"/>
  <c r="AW53" i="1"/>
  <c r="AX53" i="1" s="1"/>
  <c r="AQ53" i="1"/>
  <c r="AP53" i="1"/>
  <c r="BI53" i="1"/>
  <c r="BF53" i="1"/>
  <c r="BG53" i="1" s="1"/>
  <c r="BE50" i="1"/>
  <c r="AW48" i="1"/>
  <c r="AQ48" i="1"/>
  <c r="AX48" i="1"/>
  <c r="AP48" i="1"/>
  <c r="BI48" i="1"/>
  <c r="BF48" i="1"/>
  <c r="BG48" i="1" s="1"/>
  <c r="AW46" i="1"/>
  <c r="AX46" i="1" s="1"/>
  <c r="AQ46" i="1"/>
  <c r="AP46" i="1"/>
  <c r="BI46" i="1"/>
  <c r="BF46" i="1"/>
  <c r="BG46" i="1" s="1"/>
  <c r="BE44" i="1"/>
  <c r="BE41" i="1"/>
  <c r="BE40" i="1"/>
  <c r="BE35" i="1"/>
  <c r="BE34" i="1"/>
  <c r="BE31" i="1"/>
  <c r="BF26" i="1"/>
  <c r="BI26" i="1"/>
  <c r="BG26" i="1"/>
  <c r="BF20" i="1"/>
  <c r="BI20" i="1"/>
  <c r="BG20" i="1"/>
  <c r="BE15" i="1"/>
  <c r="AW8" i="1"/>
  <c r="AX8" i="1" s="1"/>
  <c r="AQ8" i="1"/>
  <c r="AP8" i="1"/>
  <c r="BI8" i="1"/>
  <c r="BF8" i="1"/>
  <c r="BG8" i="1" s="1"/>
  <c r="AW223" i="1"/>
  <c r="AX223" i="1" s="1"/>
  <c r="AQ223" i="1"/>
  <c r="AP223" i="1"/>
  <c r="AP229" i="1"/>
  <c r="AQ229" i="1"/>
  <c r="AW229" i="1"/>
  <c r="AX229" i="1" s="1"/>
  <c r="AW228" i="1"/>
  <c r="AX228" i="1" s="1"/>
  <c r="AP228" i="1"/>
  <c r="AQ228" i="1"/>
  <c r="AW225" i="1"/>
  <c r="AX225" i="1" s="1"/>
  <c r="AQ225" i="1"/>
  <c r="AP225" i="1"/>
  <c r="AR225" i="1" s="1"/>
  <c r="BE221" i="1"/>
  <c r="AV221" i="1"/>
  <c r="BF222" i="1"/>
  <c r="BG222" i="1" s="1"/>
  <c r="BI222" i="1"/>
  <c r="BF218" i="1"/>
  <c r="BI218" i="1"/>
  <c r="BG218" i="1"/>
  <c r="AW215" i="1"/>
  <c r="AQ215" i="1"/>
  <c r="AX215" i="1"/>
  <c r="AP215" i="1"/>
  <c r="BI212" i="1"/>
  <c r="BF212" i="1"/>
  <c r="BG212" i="1" s="1"/>
  <c r="AP210" i="1"/>
  <c r="AW210" i="1"/>
  <c r="AX210" i="1" s="1"/>
  <c r="AQ210" i="1"/>
  <c r="AW201" i="1"/>
  <c r="AX201" i="1" s="1"/>
  <c r="AQ201" i="1"/>
  <c r="AP201" i="1"/>
  <c r="BI201" i="1"/>
  <c r="BF201" i="1"/>
  <c r="BG201" i="1" s="1"/>
  <c r="AP200" i="1"/>
  <c r="AW200" i="1"/>
  <c r="AX200" i="1" s="1"/>
  <c r="AQ200" i="1"/>
  <c r="AW205" i="1"/>
  <c r="AX205" i="1" s="1"/>
  <c r="AQ205" i="1"/>
  <c r="AP205" i="1"/>
  <c r="BI205" i="1"/>
  <c r="BF205" i="1"/>
  <c r="BG205" i="1" s="1"/>
  <c r="AW203" i="1"/>
  <c r="AQ203" i="1"/>
  <c r="AX203" i="1"/>
  <c r="AP203" i="1"/>
  <c r="AP194" i="1"/>
  <c r="AW194" i="1"/>
  <c r="AX194" i="1" s="1"/>
  <c r="AQ194" i="1"/>
  <c r="BF188" i="1"/>
  <c r="BG188" i="1" s="1"/>
  <c r="BI188" i="1"/>
  <c r="AP196" i="1"/>
  <c r="AW196" i="1"/>
  <c r="AX196" i="1" s="1"/>
  <c r="AQ196" i="1"/>
  <c r="BF187" i="1"/>
  <c r="BI187" i="1"/>
  <c r="BG187" i="1"/>
  <c r="AW186" i="1"/>
  <c r="AQ186" i="1"/>
  <c r="AX186" i="1"/>
  <c r="AP186" i="1"/>
  <c r="BI186" i="1"/>
  <c r="BF186" i="1"/>
  <c r="BG186" i="1" s="1"/>
  <c r="AP185" i="1"/>
  <c r="AW185" i="1"/>
  <c r="AX185" i="1" s="1"/>
  <c r="AQ185" i="1"/>
  <c r="AP158" i="1"/>
  <c r="AW158" i="1"/>
  <c r="AX158" i="1" s="1"/>
  <c r="AQ158" i="1"/>
  <c r="BF156" i="1"/>
  <c r="BG156" i="1" s="1"/>
  <c r="BI156" i="1"/>
  <c r="AW155" i="1"/>
  <c r="AX155" i="1" s="1"/>
  <c r="AQ155" i="1"/>
  <c r="AP155" i="1"/>
  <c r="BI155" i="1"/>
  <c r="BF155" i="1"/>
  <c r="BG155" i="1" s="1"/>
  <c r="AP154" i="1"/>
  <c r="AW154" i="1"/>
  <c r="AX154" i="1" s="1"/>
  <c r="AQ154" i="1"/>
  <c r="BI182" i="1"/>
  <c r="BF182" i="1"/>
  <c r="BG182" i="1" s="1"/>
  <c r="AP182" i="1"/>
  <c r="AW182" i="1"/>
  <c r="AX182" i="1" s="1"/>
  <c r="AQ182" i="1"/>
  <c r="BN173" i="1"/>
  <c r="AV173" i="1"/>
  <c r="AR173" i="1"/>
  <c r="BK173" i="1"/>
  <c r="BE173" i="1"/>
  <c r="AS173" i="1"/>
  <c r="AM173" i="1"/>
  <c r="AN173" i="1" s="1"/>
  <c r="AW172" i="1"/>
  <c r="AX172" i="1" s="1"/>
  <c r="AQ172" i="1"/>
  <c r="AP172" i="1"/>
  <c r="BI172" i="1"/>
  <c r="BF172" i="1"/>
  <c r="BG172" i="1" s="1"/>
  <c r="BF170" i="1"/>
  <c r="BI170" i="1"/>
  <c r="BG170" i="1"/>
  <c r="AW169" i="1"/>
  <c r="AQ169" i="1"/>
  <c r="AX169" i="1"/>
  <c r="AP169" i="1"/>
  <c r="BI169" i="1"/>
  <c r="BF169" i="1"/>
  <c r="BG169" i="1" s="1"/>
  <c r="BN168" i="1"/>
  <c r="AV168" i="1"/>
  <c r="AR168" i="1"/>
  <c r="BK168" i="1"/>
  <c r="BE168" i="1"/>
  <c r="AS168" i="1"/>
  <c r="AM168" i="1"/>
  <c r="AN168" i="1" s="1"/>
  <c r="AW167" i="1"/>
  <c r="AX167" i="1" s="1"/>
  <c r="AQ167" i="1"/>
  <c r="AP167" i="1"/>
  <c r="BI167" i="1"/>
  <c r="BF167" i="1"/>
  <c r="BG167" i="1" s="1"/>
  <c r="AW165" i="1"/>
  <c r="AQ165" i="1"/>
  <c r="AX165" i="1"/>
  <c r="AP165" i="1"/>
  <c r="BI165" i="1"/>
  <c r="BF165" i="1"/>
  <c r="BG165" i="1" s="1"/>
  <c r="BN164" i="1"/>
  <c r="AV164" i="1"/>
  <c r="AR164" i="1"/>
  <c r="BK164" i="1"/>
  <c r="BE164" i="1"/>
  <c r="AS164" i="1"/>
  <c r="AM164" i="1"/>
  <c r="AN164" i="1" s="1"/>
  <c r="AW163" i="1"/>
  <c r="AQ163" i="1"/>
  <c r="AX163" i="1"/>
  <c r="AP163" i="1"/>
  <c r="BI163" i="1"/>
  <c r="BF163" i="1"/>
  <c r="BG163" i="1" s="1"/>
  <c r="AW152" i="1"/>
  <c r="AQ152" i="1"/>
  <c r="AX152" i="1"/>
  <c r="AP152" i="1"/>
  <c r="AP143" i="1"/>
  <c r="AW143" i="1"/>
  <c r="AX143" i="1" s="1"/>
  <c r="AQ143" i="1"/>
  <c r="AP141" i="1"/>
  <c r="AW141" i="1"/>
  <c r="AX141" i="1" s="1"/>
  <c r="AQ141" i="1"/>
  <c r="AP139" i="1"/>
  <c r="AW139" i="1"/>
  <c r="AX139" i="1" s="1"/>
  <c r="AQ139" i="1"/>
  <c r="AP137" i="1"/>
  <c r="AW137" i="1"/>
  <c r="AX137" i="1" s="1"/>
  <c r="AQ137" i="1"/>
  <c r="BF136" i="1"/>
  <c r="BI136" i="1"/>
  <c r="BG136" i="1"/>
  <c r="BI129" i="1"/>
  <c r="BF129" i="1"/>
  <c r="BG129" i="1" s="1"/>
  <c r="AW128" i="1"/>
  <c r="AQ128" i="1"/>
  <c r="AX128" i="1"/>
  <c r="AP128" i="1"/>
  <c r="BF150" i="1"/>
  <c r="BG150" i="1" s="1"/>
  <c r="BI150" i="1"/>
  <c r="BF148" i="1"/>
  <c r="BG148" i="1" s="1"/>
  <c r="BI148" i="1"/>
  <c r="AP146" i="1"/>
  <c r="AW146" i="1"/>
  <c r="AX146" i="1" s="1"/>
  <c r="AQ146" i="1"/>
  <c r="BF145" i="1"/>
  <c r="BI145" i="1"/>
  <c r="BG145" i="1"/>
  <c r="AP144" i="1"/>
  <c r="AW144" i="1"/>
  <c r="AX144" i="1" s="1"/>
  <c r="AQ144" i="1"/>
  <c r="AP134" i="1"/>
  <c r="AW134" i="1"/>
  <c r="AX134" i="1" s="1"/>
  <c r="AQ134" i="1"/>
  <c r="BF133" i="1"/>
  <c r="BG133" i="1" s="1"/>
  <c r="BI133" i="1"/>
  <c r="BI125" i="1"/>
  <c r="BG125" i="1"/>
  <c r="BF125" i="1"/>
  <c r="BF121" i="1"/>
  <c r="BG121" i="1" s="1"/>
  <c r="BI121" i="1"/>
  <c r="AW120" i="1"/>
  <c r="AX120" i="1" s="1"/>
  <c r="AQ120" i="1"/>
  <c r="AP120" i="1"/>
  <c r="AR120" i="1" s="1"/>
  <c r="BI120" i="1"/>
  <c r="BG120" i="1"/>
  <c r="BF120" i="1"/>
  <c r="AW104" i="1"/>
  <c r="AX104" i="1" s="1"/>
  <c r="AQ104" i="1"/>
  <c r="AP104" i="1"/>
  <c r="BI104" i="1"/>
  <c r="BF104" i="1"/>
  <c r="BG104" i="1" s="1"/>
  <c r="AP103" i="1"/>
  <c r="AW103" i="1"/>
  <c r="AX103" i="1" s="1"/>
  <c r="AQ103" i="1"/>
  <c r="BF101" i="1"/>
  <c r="BG101" i="1" s="1"/>
  <c r="BI101" i="1"/>
  <c r="AW100" i="1"/>
  <c r="AQ100" i="1"/>
  <c r="AX100" i="1"/>
  <c r="AP100" i="1"/>
  <c r="AR100" i="1" s="1"/>
  <c r="BI100" i="1"/>
  <c r="BF100" i="1"/>
  <c r="BG100" i="1" s="1"/>
  <c r="AP99" i="1"/>
  <c r="AW99" i="1"/>
  <c r="AX99" i="1" s="1"/>
  <c r="AQ99" i="1"/>
  <c r="BF97" i="1"/>
  <c r="BI97" i="1"/>
  <c r="BG97" i="1"/>
  <c r="AW96" i="1"/>
  <c r="AX96" i="1" s="1"/>
  <c r="AQ96" i="1"/>
  <c r="AP96" i="1"/>
  <c r="BI96" i="1"/>
  <c r="BF96" i="1"/>
  <c r="BG96" i="1" s="1"/>
  <c r="AW94" i="1"/>
  <c r="AX94" i="1" s="1"/>
  <c r="AQ94" i="1"/>
  <c r="AP94" i="1"/>
  <c r="BI94" i="1"/>
  <c r="BF94" i="1"/>
  <c r="BG94" i="1" s="1"/>
  <c r="BF92" i="1"/>
  <c r="BI92" i="1"/>
  <c r="BG92" i="1"/>
  <c r="AW91" i="1"/>
  <c r="AQ91" i="1"/>
  <c r="AX91" i="1"/>
  <c r="AP91" i="1"/>
  <c r="BI91" i="1"/>
  <c r="BF91" i="1"/>
  <c r="BG91" i="1" s="1"/>
  <c r="AW89" i="1"/>
  <c r="AQ89" i="1"/>
  <c r="AX89" i="1"/>
  <c r="AP89" i="1"/>
  <c r="BI89" i="1"/>
  <c r="BF89" i="1"/>
  <c r="BG89" i="1" s="1"/>
  <c r="BF87" i="1"/>
  <c r="BG87" i="1" s="1"/>
  <c r="BI87" i="1"/>
  <c r="BF86" i="1"/>
  <c r="BG86" i="1" s="1"/>
  <c r="BI86" i="1"/>
  <c r="BF83" i="1"/>
  <c r="BG83" i="1" s="1"/>
  <c r="BI83" i="1"/>
  <c r="AW82" i="1"/>
  <c r="AQ82" i="1"/>
  <c r="AX82" i="1"/>
  <c r="AP82" i="1"/>
  <c r="BI82" i="1"/>
  <c r="BF82" i="1"/>
  <c r="BG82" i="1" s="1"/>
  <c r="AP81" i="1"/>
  <c r="AW81" i="1"/>
  <c r="AX81" i="1" s="1"/>
  <c r="AQ81" i="1"/>
  <c r="AW77" i="1"/>
  <c r="AQ77" i="1"/>
  <c r="AX77" i="1"/>
  <c r="AP77" i="1"/>
  <c r="BI77" i="1"/>
  <c r="BF77" i="1"/>
  <c r="BG77" i="1" s="1"/>
  <c r="BF67" i="1"/>
  <c r="BG67" i="1" s="1"/>
  <c r="BI67" i="1"/>
  <c r="AW66" i="1"/>
  <c r="AX66" i="1" s="1"/>
  <c r="AQ66" i="1"/>
  <c r="AP66" i="1"/>
  <c r="AR66" i="1" s="1"/>
  <c r="BI66" i="1"/>
  <c r="BF66" i="1"/>
  <c r="BG66" i="1" s="1"/>
  <c r="AP65" i="1"/>
  <c r="AW65" i="1"/>
  <c r="AX65" i="1" s="1"/>
  <c r="AQ65" i="1"/>
  <c r="AD62" i="1"/>
  <c r="X62" i="1"/>
  <c r="AE62" i="1"/>
  <c r="Y62" i="1"/>
  <c r="AD56" i="1"/>
  <c r="AE56" i="1" s="1"/>
  <c r="X56" i="1"/>
  <c r="Y56" i="1"/>
  <c r="AD48" i="1"/>
  <c r="X48" i="1"/>
  <c r="AE48" i="1"/>
  <c r="Y48" i="1"/>
  <c r="AD46" i="1"/>
  <c r="AE46" i="1" s="1"/>
  <c r="X46" i="1"/>
  <c r="Y46" i="1"/>
  <c r="AD8" i="1"/>
  <c r="X8" i="1"/>
  <c r="AE8" i="1"/>
  <c r="Y8" i="1"/>
  <c r="BF127" i="1"/>
  <c r="BG127" i="1" s="1"/>
  <c r="BI127" i="1"/>
  <c r="AP127" i="1"/>
  <c r="AW127" i="1"/>
  <c r="AX127" i="1" s="1"/>
  <c r="AQ127" i="1"/>
  <c r="AW119" i="1"/>
  <c r="AX119" i="1" s="1"/>
  <c r="AQ119" i="1"/>
  <c r="AP119" i="1"/>
  <c r="BI119" i="1"/>
  <c r="BF119" i="1"/>
  <c r="BG119" i="1" s="1"/>
  <c r="BF117" i="1"/>
  <c r="BI117" i="1"/>
  <c r="BG117" i="1"/>
  <c r="AW116" i="1"/>
  <c r="AQ116" i="1"/>
  <c r="AX116" i="1"/>
  <c r="AP116" i="1"/>
  <c r="BI116" i="1"/>
  <c r="BF116" i="1"/>
  <c r="BG116" i="1" s="1"/>
  <c r="AP115" i="1"/>
  <c r="AW115" i="1"/>
  <c r="AX115" i="1" s="1"/>
  <c r="AQ115" i="1"/>
  <c r="AW113" i="1"/>
  <c r="AX113" i="1" s="1"/>
  <c r="AQ113" i="1"/>
  <c r="AP113" i="1"/>
  <c r="AR113" i="1" s="1"/>
  <c r="BI113" i="1"/>
  <c r="BF113" i="1"/>
  <c r="BG113" i="1" s="1"/>
  <c r="AP112" i="1"/>
  <c r="AW112" i="1"/>
  <c r="AX112" i="1" s="1"/>
  <c r="AQ112" i="1"/>
  <c r="BF110" i="1"/>
  <c r="BI110" i="1"/>
  <c r="BG110" i="1"/>
  <c r="AW109" i="1"/>
  <c r="AQ109" i="1"/>
  <c r="AX109" i="1"/>
  <c r="AP109" i="1"/>
  <c r="BI109" i="1"/>
  <c r="BF109" i="1"/>
  <c r="BG109" i="1" s="1"/>
  <c r="AP108" i="1"/>
  <c r="AW108" i="1"/>
  <c r="AX108" i="1" s="1"/>
  <c r="AQ108" i="1"/>
  <c r="BF106" i="1"/>
  <c r="BG106" i="1" s="1"/>
  <c r="BI106" i="1"/>
  <c r="AW105" i="1"/>
  <c r="AX105" i="1" s="1"/>
  <c r="AQ105" i="1"/>
  <c r="AP105" i="1"/>
  <c r="AR105" i="1" s="1"/>
  <c r="BI105" i="1"/>
  <c r="BF105" i="1"/>
  <c r="BG105" i="1" s="1"/>
  <c r="AP85" i="1"/>
  <c r="AW85" i="1"/>
  <c r="AX85" i="1" s="1"/>
  <c r="AQ85" i="1"/>
  <c r="BF80" i="1"/>
  <c r="BI80" i="1"/>
  <c r="BG80" i="1"/>
  <c r="AW79" i="1"/>
  <c r="AQ79" i="1"/>
  <c r="AX79" i="1"/>
  <c r="AP79" i="1"/>
  <c r="BI79" i="1"/>
  <c r="BF79" i="1"/>
  <c r="BG79" i="1" s="1"/>
  <c r="AW71" i="1"/>
  <c r="AQ71" i="1"/>
  <c r="AX71" i="1"/>
  <c r="AP71" i="1"/>
  <c r="BI71" i="1"/>
  <c r="BF71" i="1"/>
  <c r="BG71" i="1" s="1"/>
  <c r="AW69" i="1"/>
  <c r="AQ69" i="1"/>
  <c r="AX69" i="1"/>
  <c r="AP69" i="1"/>
  <c r="BI69" i="1"/>
  <c r="BF69" i="1"/>
  <c r="BG69" i="1" s="1"/>
  <c r="Y61" i="1"/>
  <c r="AD61" i="1"/>
  <c r="AE61" i="1" s="1"/>
  <c r="X61" i="1"/>
  <c r="Z61" i="1" s="1"/>
  <c r="Y47" i="1"/>
  <c r="AD47" i="1"/>
  <c r="AE47" i="1" s="1"/>
  <c r="X47" i="1"/>
  <c r="Z47" i="1" s="1"/>
  <c r="AW30" i="1"/>
  <c r="AX30" i="1" s="1"/>
  <c r="AQ30" i="1"/>
  <c r="AP30" i="1"/>
  <c r="Y10" i="1"/>
  <c r="AD10" i="1"/>
  <c r="AE10" i="1" s="1"/>
  <c r="X10" i="1"/>
  <c r="Z10" i="1" s="1"/>
  <c r="AD4" i="1"/>
  <c r="X4" i="1"/>
  <c r="AE4" i="1"/>
  <c r="Y4" i="1"/>
  <c r="Y68" i="1"/>
  <c r="AD68" i="1"/>
  <c r="AE68" i="1" s="1"/>
  <c r="X68" i="1"/>
  <c r="Y70" i="1"/>
  <c r="AD70" i="1"/>
  <c r="AE70" i="1" s="1"/>
  <c r="X70" i="1"/>
  <c r="Y72" i="1"/>
  <c r="AD72" i="1"/>
  <c r="AE72" i="1" s="1"/>
  <c r="X72" i="1"/>
  <c r="Y90" i="1"/>
  <c r="AD90" i="1"/>
  <c r="AE90" i="1" s="1"/>
  <c r="X90" i="1"/>
  <c r="Z90" i="1" s="1"/>
  <c r="Y127" i="1"/>
  <c r="AD127" i="1"/>
  <c r="AE127" i="1" s="1"/>
  <c r="X127" i="1"/>
  <c r="Z127" i="1" s="1"/>
  <c r="AD69" i="1"/>
  <c r="X69" i="1"/>
  <c r="AE69" i="1"/>
  <c r="Y69" i="1"/>
  <c r="AD71" i="1"/>
  <c r="AE71" i="1" s="1"/>
  <c r="X71" i="1"/>
  <c r="Y71" i="1"/>
  <c r="AU73" i="1"/>
  <c r="AU75" i="1"/>
  <c r="AD82" i="1"/>
  <c r="X82" i="1"/>
  <c r="AE82" i="1"/>
  <c r="Y82" i="1"/>
  <c r="AU90" i="1"/>
  <c r="Y124" i="1"/>
  <c r="X124" i="1"/>
  <c r="AD124" i="1"/>
  <c r="AE124" i="1" s="1"/>
  <c r="AD123" i="1"/>
  <c r="X123" i="1"/>
  <c r="AE123" i="1"/>
  <c r="Y123" i="1"/>
  <c r="AD125" i="1"/>
  <c r="AE125" i="1" s="1"/>
  <c r="X125" i="1"/>
  <c r="Y125" i="1"/>
  <c r="AD138" i="1"/>
  <c r="AE138" i="1" s="1"/>
  <c r="X138" i="1"/>
  <c r="Y138" i="1"/>
  <c r="AD140" i="1"/>
  <c r="X140" i="1"/>
  <c r="AE140" i="1"/>
  <c r="Y140" i="1"/>
  <c r="AD142" i="1"/>
  <c r="AE142" i="1" s="1"/>
  <c r="X142" i="1"/>
  <c r="Y142" i="1"/>
  <c r="Y145" i="1"/>
  <c r="AD145" i="1"/>
  <c r="AE145" i="1" s="1"/>
  <c r="X145" i="1"/>
  <c r="Z145" i="1" s="1"/>
  <c r="Y159" i="1"/>
  <c r="AD159" i="1"/>
  <c r="AE159" i="1" s="1"/>
  <c r="X159" i="1"/>
  <c r="Z159" i="1" s="1"/>
  <c r="Y161" i="1"/>
  <c r="AD161" i="1"/>
  <c r="AE161" i="1" s="1"/>
  <c r="X161" i="1"/>
  <c r="Z161" i="1" s="1"/>
  <c r="Y174" i="1"/>
  <c r="AD174" i="1"/>
  <c r="AE174" i="1" s="1"/>
  <c r="X174" i="1"/>
  <c r="Y176" i="1"/>
  <c r="AD176" i="1"/>
  <c r="AE176" i="1" s="1"/>
  <c r="X176" i="1"/>
  <c r="Y178" i="1"/>
  <c r="AD178" i="1"/>
  <c r="AE178" i="1" s="1"/>
  <c r="X178" i="1"/>
  <c r="Z178" i="1" s="1"/>
  <c r="Y180" i="1"/>
  <c r="AD180" i="1"/>
  <c r="AE180" i="1" s="1"/>
  <c r="X180" i="1"/>
  <c r="Y182" i="1"/>
  <c r="AD182" i="1"/>
  <c r="AE182" i="1" s="1"/>
  <c r="X182" i="1"/>
  <c r="Z182" i="1" s="1"/>
  <c r="AD160" i="1"/>
  <c r="X160" i="1"/>
  <c r="AE160" i="1"/>
  <c r="Y160" i="1"/>
  <c r="AD162" i="1"/>
  <c r="AE162" i="1" s="1"/>
  <c r="X162" i="1"/>
  <c r="Y162" i="1"/>
  <c r="AU164" i="1"/>
  <c r="AU166" i="1"/>
  <c r="AU168" i="1"/>
  <c r="AU174" i="1"/>
  <c r="AU176" i="1"/>
  <c r="AU178" i="1"/>
  <c r="AU180" i="1"/>
  <c r="Y190" i="1"/>
  <c r="AD190" i="1"/>
  <c r="AE190" i="1" s="1"/>
  <c r="X190" i="1"/>
  <c r="Z190" i="1" s="1"/>
  <c r="Y192" i="1"/>
  <c r="AD192" i="1"/>
  <c r="AE192" i="1" s="1"/>
  <c r="X192" i="1"/>
  <c r="Y197" i="1"/>
  <c r="AD197" i="1"/>
  <c r="AE197" i="1" s="1"/>
  <c r="X197" i="1"/>
  <c r="Z197" i="1" s="1"/>
  <c r="AU190" i="1"/>
  <c r="AU192" i="1"/>
  <c r="Y207" i="1"/>
  <c r="AD207" i="1"/>
  <c r="AE207" i="1" s="1"/>
  <c r="X207" i="1"/>
  <c r="AD203" i="1"/>
  <c r="AE203" i="1" s="1"/>
  <c r="X203" i="1"/>
  <c r="Y203" i="1"/>
  <c r="AD205" i="1"/>
  <c r="AE205" i="1" s="1"/>
  <c r="X205" i="1"/>
  <c r="Y205" i="1"/>
  <c r="AU207" i="1"/>
  <c r="AU214" i="1"/>
  <c r="AU230" i="1"/>
  <c r="AD231" i="1"/>
  <c r="AE231" i="1" s="1"/>
  <c r="X231" i="1"/>
  <c r="Y231" i="1"/>
  <c r="AD233" i="1"/>
  <c r="AE233" i="1" s="1"/>
  <c r="X233" i="1"/>
  <c r="Y233" i="1"/>
  <c r="BE64" i="1"/>
  <c r="BE29" i="1"/>
  <c r="BE28" i="1"/>
  <c r="BE25" i="1"/>
  <c r="BE24" i="1"/>
  <c r="BE21" i="1"/>
  <c r="BE63" i="1"/>
  <c r="BE59" i="1"/>
  <c r="BE58" i="1"/>
  <c r="AW55" i="1"/>
  <c r="AX55" i="1" s="1"/>
  <c r="AQ55" i="1"/>
  <c r="AP55" i="1"/>
  <c r="BI55" i="1"/>
  <c r="BF55" i="1"/>
  <c r="BG55" i="1" s="1"/>
  <c r="BE52" i="1"/>
  <c r="BE51" i="1"/>
  <c r="AW45" i="1"/>
  <c r="AX45" i="1" s="1"/>
  <c r="AQ45" i="1"/>
  <c r="AP45" i="1"/>
  <c r="BI45" i="1"/>
  <c r="BF45" i="1"/>
  <c r="BG45" i="1" s="1"/>
  <c r="BE43" i="1"/>
  <c r="BE42" i="1"/>
  <c r="BE39" i="1"/>
  <c r="BE38" i="1"/>
  <c r="BE37" i="1"/>
  <c r="BE36" i="1"/>
  <c r="BE33" i="1"/>
  <c r="BE32" i="1"/>
  <c r="AP26" i="1"/>
  <c r="AW26" i="1"/>
  <c r="AX26" i="1" s="1"/>
  <c r="AQ26" i="1"/>
  <c r="AP20" i="1"/>
  <c r="AW20" i="1"/>
  <c r="AX20" i="1" s="1"/>
  <c r="AQ20" i="1"/>
  <c r="AW18" i="1"/>
  <c r="AX18" i="1" s="1"/>
  <c r="AQ18" i="1"/>
  <c r="AP18" i="1"/>
  <c r="BI18" i="1"/>
  <c r="BF18" i="1"/>
  <c r="BG18" i="1" s="1"/>
  <c r="BE12" i="1"/>
  <c r="AW11" i="1"/>
  <c r="AX11" i="1" s="1"/>
  <c r="AQ11" i="1"/>
  <c r="AP11" i="1"/>
  <c r="BI11" i="1"/>
  <c r="BF11" i="1"/>
  <c r="BG11" i="1" s="1"/>
  <c r="AW9" i="1"/>
  <c r="AX9" i="1" s="1"/>
  <c r="AQ9" i="1"/>
  <c r="AP9" i="1"/>
  <c r="BI9" i="1"/>
  <c r="BF9" i="1"/>
  <c r="BG9" i="1" s="1"/>
  <c r="AR119" i="1" l="1"/>
  <c r="AR94" i="1"/>
  <c r="AR172" i="1"/>
  <c r="AR155" i="1"/>
  <c r="AR223" i="1"/>
  <c r="AR78" i="1"/>
  <c r="AR88" i="1"/>
  <c r="AR98" i="1"/>
  <c r="AR135" i="1"/>
  <c r="AR171" i="1"/>
  <c r="AR34" i="1"/>
  <c r="AR36" i="1"/>
  <c r="Z176" i="1"/>
  <c r="Z68" i="1"/>
  <c r="AR116" i="1"/>
  <c r="AR128" i="1"/>
  <c r="Z183" i="1"/>
  <c r="Z141" i="1"/>
  <c r="Z122" i="1"/>
  <c r="AR95" i="1"/>
  <c r="AR147" i="1"/>
  <c r="AR129" i="1"/>
  <c r="AR157" i="1"/>
  <c r="AR195" i="1"/>
  <c r="AR224" i="1"/>
  <c r="AR199" i="1"/>
  <c r="AR58" i="1"/>
  <c r="Z229" i="1"/>
  <c r="Z207" i="1"/>
  <c r="Z72" i="1"/>
  <c r="AR96" i="1"/>
  <c r="AR104" i="1"/>
  <c r="AR201" i="1"/>
  <c r="Z232" i="1"/>
  <c r="AR118" i="1"/>
  <c r="AR93" i="1"/>
  <c r="AR202" i="1"/>
  <c r="AR198" i="1"/>
  <c r="Z192" i="1"/>
  <c r="Z180" i="1"/>
  <c r="AR30" i="1"/>
  <c r="Z174" i="1"/>
  <c r="AR79" i="1"/>
  <c r="AR109" i="1"/>
  <c r="AR186" i="1"/>
  <c r="AR215" i="1"/>
  <c r="AR19" i="1"/>
  <c r="Z139" i="1"/>
  <c r="Z75" i="1"/>
  <c r="Z70" i="1"/>
  <c r="AR77" i="1"/>
  <c r="AR152" i="1"/>
  <c r="Z181" i="1"/>
  <c r="AR84" i="1"/>
  <c r="AR111" i="1"/>
  <c r="AR102" i="1"/>
  <c r="AR132" i="1"/>
  <c r="AR209" i="1"/>
  <c r="AR15" i="1"/>
  <c r="AR28" i="1"/>
  <c r="AR40" i="1"/>
  <c r="AR38" i="1"/>
  <c r="AR18" i="1"/>
  <c r="Z231" i="1"/>
  <c r="Z125" i="1"/>
  <c r="AR228" i="1"/>
  <c r="Z126" i="1"/>
  <c r="Z131" i="1"/>
  <c r="AR222" i="1"/>
  <c r="BL11" i="1"/>
  <c r="BM11" i="1" s="1"/>
  <c r="BJ11" i="1"/>
  <c r="BH11" i="1"/>
  <c r="BJ18" i="1"/>
  <c r="BH18" i="1"/>
  <c r="AO18" i="1"/>
  <c r="BL55" i="1"/>
  <c r="BM55" i="1" s="1"/>
  <c r="BJ55" i="1"/>
  <c r="BH55" i="1"/>
  <c r="W203" i="1"/>
  <c r="W207" i="1"/>
  <c r="W180" i="1"/>
  <c r="W161" i="1"/>
  <c r="W124" i="1"/>
  <c r="W90" i="1"/>
  <c r="W70" i="1"/>
  <c r="W10" i="1"/>
  <c r="BL69" i="1"/>
  <c r="BM69" i="1" s="1"/>
  <c r="BJ69" i="1"/>
  <c r="BH69" i="1"/>
  <c r="AO85" i="1"/>
  <c r="AO112" i="1"/>
  <c r="BJ116" i="1"/>
  <c r="BH116" i="1"/>
  <c r="AZ127" i="1"/>
  <c r="BA127" i="1" s="1"/>
  <c r="BB127" i="1" s="1"/>
  <c r="AO127" i="1"/>
  <c r="AO65" i="1"/>
  <c r="BJ66" i="1"/>
  <c r="BH66" i="1"/>
  <c r="BL82" i="1"/>
  <c r="BM82" i="1" s="1"/>
  <c r="BJ82" i="1"/>
  <c r="BH82" i="1"/>
  <c r="BJ96" i="1"/>
  <c r="BH96" i="1"/>
  <c r="AO99" i="1"/>
  <c r="BJ100" i="1"/>
  <c r="BH100" i="1"/>
  <c r="BJ104" i="1"/>
  <c r="BH104" i="1"/>
  <c r="AO144" i="1"/>
  <c r="AZ146" i="1"/>
  <c r="BA146" i="1" s="1"/>
  <c r="BB146" i="1" s="1"/>
  <c r="AO146" i="1"/>
  <c r="BH129" i="1"/>
  <c r="BJ129" i="1"/>
  <c r="AO137" i="1"/>
  <c r="AZ141" i="1"/>
  <c r="BA141" i="1" s="1"/>
  <c r="BB141" i="1" s="1"/>
  <c r="AO141" i="1"/>
  <c r="BL165" i="1"/>
  <c r="BM165" i="1" s="1"/>
  <c r="BJ165" i="1"/>
  <c r="BH165" i="1"/>
  <c r="AO158" i="1"/>
  <c r="AO196" i="1"/>
  <c r="AO194" i="1"/>
  <c r="BL205" i="1"/>
  <c r="BM205" i="1" s="1"/>
  <c r="BJ205" i="1"/>
  <c r="BH205" i="1"/>
  <c r="BL56" i="1"/>
  <c r="BM56" i="1" s="1"/>
  <c r="BJ56" i="1"/>
  <c r="BH56" i="1"/>
  <c r="BL62" i="1"/>
  <c r="BM62" i="1" s="1"/>
  <c r="BJ62" i="1"/>
  <c r="BH62" i="1"/>
  <c r="W204" i="1"/>
  <c r="W168" i="1"/>
  <c r="W148" i="1"/>
  <c r="W141" i="1"/>
  <c r="AO26" i="1"/>
  <c r="W205" i="1"/>
  <c r="W197" i="1"/>
  <c r="W190" i="1"/>
  <c r="W182" i="1"/>
  <c r="W178" i="1"/>
  <c r="W174" i="1"/>
  <c r="W159" i="1"/>
  <c r="W127" i="1"/>
  <c r="W72" i="1"/>
  <c r="W68" i="1"/>
  <c r="W47" i="1"/>
  <c r="AO108" i="1"/>
  <c r="BJ119" i="1"/>
  <c r="BH119" i="1"/>
  <c r="BJ77" i="1"/>
  <c r="BH77" i="1"/>
  <c r="BL89" i="1"/>
  <c r="BM89" i="1" s="1"/>
  <c r="BJ89" i="1"/>
  <c r="BH89" i="1"/>
  <c r="AO134" i="1"/>
  <c r="AZ139" i="1"/>
  <c r="BA139" i="1" s="1"/>
  <c r="BB139" i="1" s="1"/>
  <c r="AO139" i="1"/>
  <c r="AO143" i="1"/>
  <c r="BL163" i="1"/>
  <c r="BM163" i="1" s="1"/>
  <c r="BJ163" i="1"/>
  <c r="BH163" i="1"/>
  <c r="AZ182" i="1"/>
  <c r="BA182" i="1" s="1"/>
  <c r="BB182" i="1" s="1"/>
  <c r="AO182" i="1"/>
  <c r="AO154" i="1"/>
  <c r="AO185" i="1"/>
  <c r="AO200" i="1"/>
  <c r="AO210" i="1"/>
  <c r="BL212" i="1"/>
  <c r="BM212" i="1" s="1"/>
  <c r="BH212" i="1"/>
  <c r="BJ212" i="1"/>
  <c r="BL53" i="1"/>
  <c r="BM53" i="1" s="1"/>
  <c r="BJ53" i="1"/>
  <c r="BH53" i="1"/>
  <c r="BL60" i="1"/>
  <c r="BM60" i="1" s="1"/>
  <c r="BJ60" i="1"/>
  <c r="BH60" i="1"/>
  <c r="W232" i="1"/>
  <c r="W230" i="1"/>
  <c r="W214" i="1"/>
  <c r="W212" i="1"/>
  <c r="W183" i="1"/>
  <c r="W173" i="1"/>
  <c r="W166" i="1"/>
  <c r="W150" i="1"/>
  <c r="W146" i="1"/>
  <c r="W139" i="1"/>
  <c r="W122" i="1"/>
  <c r="W73" i="1"/>
  <c r="BJ76" i="1"/>
  <c r="BH76" i="1"/>
  <c r="AO110" i="1"/>
  <c r="AO67" i="1"/>
  <c r="AO86" i="1"/>
  <c r="AZ148" i="1"/>
  <c r="BA148" i="1" s="1"/>
  <c r="BB148" i="1" s="1"/>
  <c r="AO148" i="1"/>
  <c r="AZ150" i="1"/>
  <c r="BA150" i="1" s="1"/>
  <c r="BB150" i="1" s="1"/>
  <c r="AO150" i="1"/>
  <c r="AO151" i="1"/>
  <c r="BH128" i="1"/>
  <c r="BJ128" i="1"/>
  <c r="AO136" i="1"/>
  <c r="BL162" i="1"/>
  <c r="BM162" i="1" s="1"/>
  <c r="BJ162" i="1"/>
  <c r="BH162" i="1"/>
  <c r="BL175" i="1"/>
  <c r="BM175" i="1" s="1"/>
  <c r="BJ175" i="1"/>
  <c r="BH175" i="1"/>
  <c r="AO156" i="1"/>
  <c r="BL193" i="1"/>
  <c r="BM193" i="1" s="1"/>
  <c r="BJ193" i="1"/>
  <c r="BH193" i="1"/>
  <c r="BL206" i="1"/>
  <c r="BM206" i="1" s="1"/>
  <c r="BJ206" i="1"/>
  <c r="BH206" i="1"/>
  <c r="BJ209" i="1"/>
  <c r="BH209" i="1"/>
  <c r="AO213" i="1"/>
  <c r="AO216" i="1"/>
  <c r="AO217" i="1"/>
  <c r="AO226" i="1"/>
  <c r="BJ227" i="1"/>
  <c r="BH227" i="1"/>
  <c r="AZ232" i="1"/>
  <c r="BA232" i="1" s="1"/>
  <c r="BB232" i="1" s="1"/>
  <c r="AO232" i="1"/>
  <c r="BL233" i="1"/>
  <c r="BM233" i="1" s="1"/>
  <c r="BJ233" i="1"/>
  <c r="BH233" i="1"/>
  <c r="BL203" i="1"/>
  <c r="BM203" i="1" s="1"/>
  <c r="BJ203" i="1"/>
  <c r="BH203" i="1"/>
  <c r="BH198" i="1"/>
  <c r="BJ198" i="1"/>
  <c r="BJ223" i="1"/>
  <c r="BH223" i="1"/>
  <c r="AO64" i="1"/>
  <c r="AO63" i="1"/>
  <c r="AO12" i="1"/>
  <c r="AO25" i="1"/>
  <c r="AO29" i="1"/>
  <c r="AO43" i="1"/>
  <c r="AO31" i="1"/>
  <c r="AO35" i="1"/>
  <c r="AO21" i="1"/>
  <c r="AO41" i="1"/>
  <c r="AO59" i="1"/>
  <c r="AO11" i="1"/>
  <c r="AZ11" i="1"/>
  <c r="BA11" i="1" s="1"/>
  <c r="BB11" i="1" s="1"/>
  <c r="AO20" i="1"/>
  <c r="AO55" i="1"/>
  <c r="AZ55" i="1"/>
  <c r="BA55" i="1" s="1"/>
  <c r="BB55" i="1" s="1"/>
  <c r="W192" i="1"/>
  <c r="W176" i="1"/>
  <c r="W145" i="1"/>
  <c r="W61" i="1"/>
  <c r="AO115" i="1"/>
  <c r="AO81" i="1"/>
  <c r="AO103" i="1"/>
  <c r="BL48" i="1"/>
  <c r="BM48" i="1" s="1"/>
  <c r="BJ48" i="1"/>
  <c r="BH48" i="1"/>
  <c r="W164" i="1"/>
  <c r="W75" i="1"/>
  <c r="W49" i="1"/>
  <c r="AO80" i="1"/>
  <c r="BJ84" i="1"/>
  <c r="BH84" i="1"/>
  <c r="AO106" i="1"/>
  <c r="AO117" i="1"/>
  <c r="AO83" i="1"/>
  <c r="AO87" i="1"/>
  <c r="AO92" i="1"/>
  <c r="BJ93" i="1"/>
  <c r="BH93" i="1"/>
  <c r="AO97" i="1"/>
  <c r="BJ98" i="1"/>
  <c r="BH98" i="1"/>
  <c r="AO101" i="1"/>
  <c r="BJ102" i="1"/>
  <c r="BH102" i="1"/>
  <c r="AO121" i="1"/>
  <c r="AZ124" i="1"/>
  <c r="BA124" i="1" s="1"/>
  <c r="BB124" i="1" s="1"/>
  <c r="AO124" i="1"/>
  <c r="BL124" i="1"/>
  <c r="BM124" i="1" s="1"/>
  <c r="BJ124" i="1"/>
  <c r="BH124" i="1"/>
  <c r="BL126" i="1"/>
  <c r="BM126" i="1" s="1"/>
  <c r="BH126" i="1"/>
  <c r="BJ126" i="1"/>
  <c r="AO133" i="1"/>
  <c r="AZ145" i="1"/>
  <c r="BA145" i="1" s="1"/>
  <c r="BB145" i="1" s="1"/>
  <c r="AO145" i="1"/>
  <c r="AO153" i="1"/>
  <c r="BJ152" i="1"/>
  <c r="BH152" i="1"/>
  <c r="AO170" i="1"/>
  <c r="BL179" i="1"/>
  <c r="BM179" i="1" s="1"/>
  <c r="BJ179" i="1"/>
  <c r="BH179" i="1"/>
  <c r="BJ184" i="1"/>
  <c r="BH184" i="1"/>
  <c r="AO187" i="1"/>
  <c r="BJ195" i="1"/>
  <c r="BH195" i="1"/>
  <c r="AO188" i="1"/>
  <c r="BL189" i="1"/>
  <c r="BM189" i="1" s="1"/>
  <c r="BJ189" i="1"/>
  <c r="BH189" i="1"/>
  <c r="BH199" i="1"/>
  <c r="BJ199" i="1"/>
  <c r="BJ211" i="1"/>
  <c r="BH211" i="1"/>
  <c r="AO219" i="1"/>
  <c r="BJ220" i="1"/>
  <c r="BH220" i="1"/>
  <c r="AO218" i="1"/>
  <c r="BJ224" i="1"/>
  <c r="BH224" i="1"/>
  <c r="AO222" i="1"/>
  <c r="AO23" i="1"/>
  <c r="AO27" i="1"/>
  <c r="AO37" i="1"/>
  <c r="AO54" i="1"/>
  <c r="AO33" i="1"/>
  <c r="AO57" i="1"/>
  <c r="AO39" i="1"/>
  <c r="AO52" i="1"/>
  <c r="BL9" i="1"/>
  <c r="BM9" i="1" s="1"/>
  <c r="BJ9" i="1"/>
  <c r="BH9" i="1"/>
  <c r="AR20" i="1"/>
  <c r="AR26" i="1"/>
  <c r="BF33" i="1"/>
  <c r="BG33" i="1" s="1"/>
  <c r="BI33" i="1"/>
  <c r="BF39" i="1"/>
  <c r="BG39" i="1" s="1"/>
  <c r="BI39" i="1"/>
  <c r="BL45" i="1"/>
  <c r="BM45" i="1" s="1"/>
  <c r="BJ45" i="1"/>
  <c r="BH45" i="1"/>
  <c r="BF21" i="1"/>
  <c r="BI21" i="1"/>
  <c r="BG21" i="1"/>
  <c r="BF29" i="1"/>
  <c r="BI29" i="1"/>
  <c r="BG29" i="1"/>
  <c r="Z233" i="1"/>
  <c r="W231" i="1"/>
  <c r="Z160" i="1"/>
  <c r="AO9" i="1"/>
  <c r="AZ9" i="1"/>
  <c r="BA9" i="1" s="1"/>
  <c r="BB9" i="1" s="1"/>
  <c r="BF12" i="1"/>
  <c r="BI12" i="1"/>
  <c r="BG12" i="1"/>
  <c r="BI32" i="1"/>
  <c r="BF32" i="1"/>
  <c r="BG32" i="1" s="1"/>
  <c r="BI36" i="1"/>
  <c r="BF36" i="1"/>
  <c r="BG36" i="1" s="1"/>
  <c r="BI38" i="1"/>
  <c r="BF38" i="1"/>
  <c r="BG38" i="1" s="1"/>
  <c r="BI42" i="1"/>
  <c r="BF42" i="1"/>
  <c r="BG42" i="1" s="1"/>
  <c r="AO45" i="1"/>
  <c r="AZ45" i="1"/>
  <c r="BA45" i="1" s="1"/>
  <c r="BB45" i="1" s="1"/>
  <c r="BF52" i="1"/>
  <c r="BG52" i="1" s="1"/>
  <c r="BI52" i="1"/>
  <c r="BI58" i="1"/>
  <c r="BF58" i="1"/>
  <c r="BG58" i="1" s="1"/>
  <c r="BF63" i="1"/>
  <c r="BG63" i="1" s="1"/>
  <c r="BI63" i="1"/>
  <c r="BI24" i="1"/>
  <c r="BF24" i="1"/>
  <c r="BG24" i="1" s="1"/>
  <c r="BI28" i="1"/>
  <c r="BF28" i="1"/>
  <c r="BG28" i="1" s="1"/>
  <c r="BF64" i="1"/>
  <c r="BI64" i="1"/>
  <c r="BG64" i="1"/>
  <c r="W233" i="1"/>
  <c r="Z205" i="1"/>
  <c r="Z203" i="1"/>
  <c r="W162" i="1"/>
  <c r="W160" i="1"/>
  <c r="W142" i="1"/>
  <c r="W140" i="1"/>
  <c r="W138" i="1"/>
  <c r="W123" i="1"/>
  <c r="Z124" i="1"/>
  <c r="Z82" i="1"/>
  <c r="Z71" i="1"/>
  <c r="Z69" i="1"/>
  <c r="Z4" i="1"/>
  <c r="AO71" i="1"/>
  <c r="AZ71" i="1"/>
  <c r="BA71" i="1" s="1"/>
  <c r="BB71" i="1" s="1"/>
  <c r="AO79" i="1"/>
  <c r="AR85" i="1"/>
  <c r="AO105" i="1"/>
  <c r="AR108" i="1"/>
  <c r="AO109" i="1"/>
  <c r="AR112" i="1"/>
  <c r="AO113" i="1"/>
  <c r="BJ117" i="1"/>
  <c r="BH117" i="1"/>
  <c r="Z8" i="1"/>
  <c r="Z46" i="1"/>
  <c r="Z48" i="1"/>
  <c r="Z56" i="1"/>
  <c r="Z62" i="1"/>
  <c r="BJ67" i="1"/>
  <c r="BH67" i="1"/>
  <c r="AR81" i="1"/>
  <c r="BJ83" i="1"/>
  <c r="BH83" i="1"/>
  <c r="BJ87" i="1"/>
  <c r="BH87" i="1"/>
  <c r="AO91" i="1"/>
  <c r="AZ91" i="1"/>
  <c r="BA91" i="1" s="1"/>
  <c r="BB91" i="1" s="1"/>
  <c r="AO94" i="1"/>
  <c r="BJ97" i="1"/>
  <c r="BH97" i="1"/>
  <c r="BJ101" i="1"/>
  <c r="BH101" i="1"/>
  <c r="AO120" i="1"/>
  <c r="AR134" i="1"/>
  <c r="AR144" i="1"/>
  <c r="BL145" i="1"/>
  <c r="BM145" i="1" s="1"/>
  <c r="BJ145" i="1"/>
  <c r="BH145" i="1"/>
  <c r="BL150" i="1"/>
  <c r="BM150" i="1" s="1"/>
  <c r="BJ150" i="1"/>
  <c r="BH150" i="1"/>
  <c r="AO128" i="1"/>
  <c r="BJ136" i="1"/>
  <c r="BH136" i="1"/>
  <c r="AO152" i="1"/>
  <c r="BF164" i="1"/>
  <c r="BG164" i="1" s="1"/>
  <c r="BI164" i="1"/>
  <c r="AO167" i="1"/>
  <c r="AZ167" i="1"/>
  <c r="BA167" i="1" s="1"/>
  <c r="BB167" i="1" s="1"/>
  <c r="AP168" i="1"/>
  <c r="AW168" i="1"/>
  <c r="AX168" i="1" s="1"/>
  <c r="AQ168" i="1"/>
  <c r="AO169" i="1"/>
  <c r="AZ169" i="1"/>
  <c r="BA169" i="1" s="1"/>
  <c r="BB169" i="1" s="1"/>
  <c r="AO172" i="1"/>
  <c r="AP173" i="1"/>
  <c r="AW173" i="1"/>
  <c r="AX173" i="1" s="1"/>
  <c r="AQ173" i="1"/>
  <c r="AR154" i="1"/>
  <c r="AO155" i="1"/>
  <c r="AR158" i="1"/>
  <c r="AR185" i="1"/>
  <c r="AO186" i="1"/>
  <c r="AR196" i="1"/>
  <c r="BJ188" i="1"/>
  <c r="BH188" i="1"/>
  <c r="AO203" i="1"/>
  <c r="AZ203" i="1"/>
  <c r="BA203" i="1" s="1"/>
  <c r="BB203" i="1" s="1"/>
  <c r="AR200" i="1"/>
  <c r="AO201" i="1"/>
  <c r="BI221" i="1"/>
  <c r="BF221" i="1"/>
  <c r="BG221" i="1" s="1"/>
  <c r="AO8" i="1"/>
  <c r="AZ8" i="1"/>
  <c r="BA8" i="1" s="1"/>
  <c r="BB8" i="1" s="1"/>
  <c r="BJ20" i="1"/>
  <c r="BH20" i="1"/>
  <c r="BF31" i="1"/>
  <c r="BG31" i="1" s="1"/>
  <c r="BI31" i="1"/>
  <c r="BF35" i="1"/>
  <c r="BG35" i="1" s="1"/>
  <c r="BI35" i="1"/>
  <c r="BF41" i="1"/>
  <c r="BG41" i="1" s="1"/>
  <c r="BI41" i="1"/>
  <c r="AO46" i="1"/>
  <c r="AZ46" i="1"/>
  <c r="BA46" i="1" s="1"/>
  <c r="BB46" i="1" s="1"/>
  <c r="BI50" i="1"/>
  <c r="BF50" i="1"/>
  <c r="BG50" i="1" s="1"/>
  <c r="BF54" i="1"/>
  <c r="BI54" i="1"/>
  <c r="BG54" i="1"/>
  <c r="BF57" i="1"/>
  <c r="BG57" i="1" s="1"/>
  <c r="BI57" i="1"/>
  <c r="BN61" i="1"/>
  <c r="AV61" i="1"/>
  <c r="AR61" i="1"/>
  <c r="BK61" i="1"/>
  <c r="BE61" i="1"/>
  <c r="AS61" i="1"/>
  <c r="AM61" i="1"/>
  <c r="AN61" i="1" s="1"/>
  <c r="AO19" i="1"/>
  <c r="BF23" i="1"/>
  <c r="BG23" i="1" s="1"/>
  <c r="BI23" i="1"/>
  <c r="Z230" i="1"/>
  <c r="Z212" i="1"/>
  <c r="Z206" i="1"/>
  <c r="Z193" i="1"/>
  <c r="Z191" i="1"/>
  <c r="Z189" i="1"/>
  <c r="W179" i="1"/>
  <c r="W177" i="1"/>
  <c r="W175" i="1"/>
  <c r="Z169" i="1"/>
  <c r="Z167" i="1"/>
  <c r="Z165" i="1"/>
  <c r="Z163" i="1"/>
  <c r="Z149" i="1"/>
  <c r="W130" i="1"/>
  <c r="Z91" i="1"/>
  <c r="Z89" i="1"/>
  <c r="Z74" i="1"/>
  <c r="AO74" i="1"/>
  <c r="AZ74" i="1"/>
  <c r="BA74" i="1" s="1"/>
  <c r="BB74" i="1" s="1"/>
  <c r="BJ85" i="1"/>
  <c r="BH85" i="1"/>
  <c r="AR106" i="1"/>
  <c r="AO107" i="1"/>
  <c r="AR110" i="1"/>
  <c r="AO111" i="1"/>
  <c r="AO114" i="1"/>
  <c r="AR117" i="1"/>
  <c r="AO118" i="1"/>
  <c r="Z9" i="1"/>
  <c r="Z11" i="1"/>
  <c r="W45" i="1"/>
  <c r="W53" i="1"/>
  <c r="W55" i="1"/>
  <c r="W60" i="1"/>
  <c r="AR67" i="1"/>
  <c r="AO78" i="1"/>
  <c r="AR83" i="1"/>
  <c r="AR86" i="1"/>
  <c r="AR87" i="1"/>
  <c r="AO88" i="1"/>
  <c r="AO95" i="1"/>
  <c r="BJ99" i="1"/>
  <c r="BH99" i="1"/>
  <c r="BJ103" i="1"/>
  <c r="BH103" i="1"/>
  <c r="AO132" i="1"/>
  <c r="AO135" i="1"/>
  <c r="BJ144" i="1"/>
  <c r="BH144" i="1"/>
  <c r="AO147" i="1"/>
  <c r="AW149" i="1"/>
  <c r="AX149" i="1" s="1"/>
  <c r="AQ149" i="1"/>
  <c r="AP149" i="1"/>
  <c r="BI149" i="1"/>
  <c r="BF149" i="1"/>
  <c r="BG149" i="1" s="1"/>
  <c r="AR151" i="1"/>
  <c r="AO138" i="1"/>
  <c r="AZ138" i="1"/>
  <c r="BA138" i="1" s="1"/>
  <c r="BB138" i="1" s="1"/>
  <c r="AO140" i="1"/>
  <c r="AZ140" i="1"/>
  <c r="BA140" i="1" s="1"/>
  <c r="BB140" i="1" s="1"/>
  <c r="AO142" i="1"/>
  <c r="AZ142" i="1"/>
  <c r="BA142" i="1" s="1"/>
  <c r="BB142" i="1" s="1"/>
  <c r="AO160" i="1"/>
  <c r="AZ160" i="1"/>
  <c r="BA160" i="1" s="1"/>
  <c r="BB160" i="1" s="1"/>
  <c r="AR170" i="1"/>
  <c r="AO171" i="1"/>
  <c r="AO177" i="1"/>
  <c r="AZ177" i="1"/>
  <c r="BA177" i="1" s="1"/>
  <c r="BB177" i="1" s="1"/>
  <c r="AR156" i="1"/>
  <c r="AO157" i="1"/>
  <c r="BJ185" i="1"/>
  <c r="BH185" i="1"/>
  <c r="BJ196" i="1"/>
  <c r="BH196" i="1"/>
  <c r="AO191" i="1"/>
  <c r="AZ191" i="1"/>
  <c r="BA191" i="1" s="1"/>
  <c r="BB191" i="1" s="1"/>
  <c r="BJ194" i="1"/>
  <c r="BH194" i="1"/>
  <c r="AO202" i="1"/>
  <c r="AO208" i="1"/>
  <c r="AO198" i="1"/>
  <c r="BJ200" i="1"/>
  <c r="BH200" i="1"/>
  <c r="BJ210" i="1"/>
  <c r="BH210" i="1"/>
  <c r="AR213" i="1"/>
  <c r="BJ213" i="1"/>
  <c r="BH213" i="1"/>
  <c r="AO224" i="1"/>
  <c r="BJ228" i="1"/>
  <c r="BH228" i="1"/>
  <c r="AO199" i="1"/>
  <c r="BJ219" i="1"/>
  <c r="BH219" i="1"/>
  <c r="BI230" i="1"/>
  <c r="BF230" i="1"/>
  <c r="BG230" i="1" s="1"/>
  <c r="AR64" i="1"/>
  <c r="AR63" i="1"/>
  <c r="AP4" i="1"/>
  <c r="AW4" i="1"/>
  <c r="AX4" i="1" s="1"/>
  <c r="AQ4" i="1"/>
  <c r="BF10" i="1"/>
  <c r="BI10" i="1"/>
  <c r="BG10" i="1"/>
  <c r="AO28" i="1"/>
  <c r="BF47" i="1"/>
  <c r="BG47" i="1" s="1"/>
  <c r="BI47" i="1"/>
  <c r="AO50" i="1"/>
  <c r="AP75" i="1"/>
  <c r="AW75" i="1"/>
  <c r="AX75" i="1" s="1"/>
  <c r="AQ75" i="1"/>
  <c r="AO22" i="1"/>
  <c r="AO32" i="1"/>
  <c r="AO36" i="1"/>
  <c r="AO38" i="1"/>
  <c r="AO42" i="1"/>
  <c r="AP49" i="1"/>
  <c r="AW49" i="1"/>
  <c r="AX49" i="1" s="1"/>
  <c r="AQ49" i="1"/>
  <c r="AR31" i="1"/>
  <c r="AR33" i="1"/>
  <c r="AR35" i="1"/>
  <c r="AR57" i="1"/>
  <c r="BF70" i="1"/>
  <c r="BI70" i="1"/>
  <c r="BG70" i="1"/>
  <c r="AP73" i="1"/>
  <c r="AW73" i="1"/>
  <c r="AX73" i="1" s="1"/>
  <c r="AQ73" i="1"/>
  <c r="BF161" i="1"/>
  <c r="BI161" i="1"/>
  <c r="BG161" i="1"/>
  <c r="AP166" i="1"/>
  <c r="AW166" i="1"/>
  <c r="AX166" i="1" s="1"/>
  <c r="AQ166" i="1"/>
  <c r="AP176" i="1"/>
  <c r="AW176" i="1"/>
  <c r="AX176" i="1" s="1"/>
  <c r="AQ176" i="1"/>
  <c r="BF180" i="1"/>
  <c r="BG180" i="1" s="1"/>
  <c r="BI180" i="1"/>
  <c r="AP180" i="1"/>
  <c r="AW180" i="1"/>
  <c r="AX180" i="1" s="1"/>
  <c r="AQ180" i="1"/>
  <c r="BF190" i="1"/>
  <c r="BG190" i="1" s="1"/>
  <c r="BI190" i="1"/>
  <c r="BF207" i="1"/>
  <c r="BG207" i="1" s="1"/>
  <c r="BI207" i="1"/>
  <c r="AR21" i="1"/>
  <c r="AR39" i="1"/>
  <c r="AR41" i="1"/>
  <c r="AR52" i="1"/>
  <c r="AR59" i="1"/>
  <c r="BF68" i="1"/>
  <c r="BG68" i="1" s="1"/>
  <c r="BI68" i="1"/>
  <c r="AP72" i="1"/>
  <c r="AW72" i="1"/>
  <c r="AX72" i="1" s="1"/>
  <c r="AQ72" i="1"/>
  <c r="AP90" i="1"/>
  <c r="AW90" i="1"/>
  <c r="AX90" i="1" s="1"/>
  <c r="AQ90" i="1"/>
  <c r="AP159" i="1"/>
  <c r="AW159" i="1"/>
  <c r="AX159" i="1" s="1"/>
  <c r="AQ159" i="1"/>
  <c r="BF174" i="1"/>
  <c r="BI174" i="1"/>
  <c r="BG174" i="1"/>
  <c r="AP178" i="1"/>
  <c r="AW178" i="1"/>
  <c r="AX178" i="1" s="1"/>
  <c r="AQ178" i="1"/>
  <c r="BF183" i="1"/>
  <c r="BI183" i="1"/>
  <c r="BG183" i="1"/>
  <c r="AP192" i="1"/>
  <c r="AW192" i="1"/>
  <c r="AX192" i="1" s="1"/>
  <c r="AQ192" i="1"/>
  <c r="BF197" i="1"/>
  <c r="BG197" i="1" s="1"/>
  <c r="BI197" i="1"/>
  <c r="AP204" i="1"/>
  <c r="AW204" i="1"/>
  <c r="AX204" i="1" s="1"/>
  <c r="AQ204" i="1"/>
  <c r="BF214" i="1"/>
  <c r="BG214" i="1" s="1"/>
  <c r="BI214" i="1"/>
  <c r="BF37" i="1"/>
  <c r="BI37" i="1"/>
  <c r="BG37" i="1"/>
  <c r="BF43" i="1"/>
  <c r="BI43" i="1"/>
  <c r="BG43" i="1"/>
  <c r="BI51" i="1"/>
  <c r="BF51" i="1"/>
  <c r="BG51" i="1" s="1"/>
  <c r="BF59" i="1"/>
  <c r="BI59" i="1"/>
  <c r="BG59" i="1"/>
  <c r="BF25" i="1"/>
  <c r="BG25" i="1" s="1"/>
  <c r="BI25" i="1"/>
  <c r="Z162" i="1"/>
  <c r="Z142" i="1"/>
  <c r="Z140" i="1"/>
  <c r="Z138" i="1"/>
  <c r="W125" i="1"/>
  <c r="Z123" i="1"/>
  <c r="W82" i="1"/>
  <c r="W71" i="1"/>
  <c r="W69" i="1"/>
  <c r="W4" i="1"/>
  <c r="AO30" i="1"/>
  <c r="AO69" i="1"/>
  <c r="AZ69" i="1"/>
  <c r="BA69" i="1" s="1"/>
  <c r="BB69" i="1" s="1"/>
  <c r="BL71" i="1"/>
  <c r="BM71" i="1" s="1"/>
  <c r="BJ71" i="1"/>
  <c r="BH71" i="1"/>
  <c r="BJ79" i="1"/>
  <c r="BH79" i="1"/>
  <c r="BJ80" i="1"/>
  <c r="BH80" i="1"/>
  <c r="BJ105" i="1"/>
  <c r="BH105" i="1"/>
  <c r="BJ106" i="1"/>
  <c r="BH106" i="1"/>
  <c r="BJ109" i="1"/>
  <c r="BH109" i="1"/>
  <c r="BJ110" i="1"/>
  <c r="BH110" i="1"/>
  <c r="BJ113" i="1"/>
  <c r="BH113" i="1"/>
  <c r="AR115" i="1"/>
  <c r="AO116" i="1"/>
  <c r="AO119" i="1"/>
  <c r="BL127" i="1"/>
  <c r="BM127" i="1" s="1"/>
  <c r="BJ127" i="1"/>
  <c r="BH127" i="1"/>
  <c r="W8" i="1"/>
  <c r="W46" i="1"/>
  <c r="W48" i="1"/>
  <c r="W56" i="1"/>
  <c r="W62" i="1"/>
  <c r="AR65" i="1"/>
  <c r="AO66" i="1"/>
  <c r="AO77" i="1"/>
  <c r="AO82" i="1"/>
  <c r="AZ82" i="1"/>
  <c r="BA82" i="1" s="1"/>
  <c r="BB82" i="1" s="1"/>
  <c r="BJ86" i="1"/>
  <c r="BH86" i="1"/>
  <c r="AO89" i="1"/>
  <c r="AZ89" i="1"/>
  <c r="BA89" i="1" s="1"/>
  <c r="BB89" i="1" s="1"/>
  <c r="BL91" i="1"/>
  <c r="BM91" i="1" s="1"/>
  <c r="BJ91" i="1"/>
  <c r="BH91" i="1"/>
  <c r="BJ92" i="1"/>
  <c r="BH92" i="1"/>
  <c r="BJ94" i="1"/>
  <c r="BH94" i="1"/>
  <c r="AO96" i="1"/>
  <c r="AR99" i="1"/>
  <c r="AO100" i="1"/>
  <c r="AR103" i="1"/>
  <c r="AO104" i="1"/>
  <c r="BJ120" i="1"/>
  <c r="BH120" i="1"/>
  <c r="BJ121" i="1"/>
  <c r="BH121" i="1"/>
  <c r="BL125" i="1"/>
  <c r="BM125" i="1" s="1"/>
  <c r="BH125" i="1"/>
  <c r="BJ125" i="1"/>
  <c r="BJ133" i="1"/>
  <c r="BH133" i="1"/>
  <c r="BL148" i="1"/>
  <c r="BM148" i="1" s="1"/>
  <c r="BJ148" i="1"/>
  <c r="BH148" i="1"/>
  <c r="AR137" i="1"/>
  <c r="AR143" i="1"/>
  <c r="AO163" i="1"/>
  <c r="AZ163" i="1"/>
  <c r="BA163" i="1" s="1"/>
  <c r="BB163" i="1" s="1"/>
  <c r="AP164" i="1"/>
  <c r="AW164" i="1"/>
  <c r="AX164" i="1" s="1"/>
  <c r="AQ164" i="1"/>
  <c r="AO165" i="1"/>
  <c r="AZ165" i="1"/>
  <c r="BA165" i="1" s="1"/>
  <c r="BB165" i="1" s="1"/>
  <c r="BL167" i="1"/>
  <c r="BM167" i="1" s="1"/>
  <c r="BJ167" i="1"/>
  <c r="BH167" i="1"/>
  <c r="BF168" i="1"/>
  <c r="BG168" i="1" s="1"/>
  <c r="BI168" i="1"/>
  <c r="BL169" i="1"/>
  <c r="BM169" i="1" s="1"/>
  <c r="BJ169" i="1"/>
  <c r="BH169" i="1"/>
  <c r="BJ170" i="1"/>
  <c r="BH170" i="1"/>
  <c r="BJ172" i="1"/>
  <c r="BH172" i="1"/>
  <c r="BF173" i="1"/>
  <c r="BG173" i="1" s="1"/>
  <c r="BI173" i="1"/>
  <c r="BL182" i="1"/>
  <c r="BM182" i="1" s="1"/>
  <c r="BJ182" i="1"/>
  <c r="BH182" i="1"/>
  <c r="BJ155" i="1"/>
  <c r="BH155" i="1"/>
  <c r="BJ156" i="1"/>
  <c r="BH156" i="1"/>
  <c r="BJ186" i="1"/>
  <c r="BH186" i="1"/>
  <c r="BJ187" i="1"/>
  <c r="BH187" i="1"/>
  <c r="AR194" i="1"/>
  <c r="AO205" i="1"/>
  <c r="AZ205" i="1"/>
  <c r="BA205" i="1" s="1"/>
  <c r="BB205" i="1" s="1"/>
  <c r="BJ201" i="1"/>
  <c r="BH201" i="1"/>
  <c r="AR210" i="1"/>
  <c r="AO215" i="1"/>
  <c r="BJ218" i="1"/>
  <c r="BH218" i="1"/>
  <c r="BJ222" i="1"/>
  <c r="BH222" i="1"/>
  <c r="AW221" i="1"/>
  <c r="AQ221" i="1"/>
  <c r="AX221" i="1"/>
  <c r="AP221" i="1"/>
  <c r="AR221" i="1" s="1"/>
  <c r="AO225" i="1"/>
  <c r="AO228" i="1"/>
  <c r="AZ229" i="1"/>
  <c r="BA229" i="1" s="1"/>
  <c r="BB229" i="1" s="1"/>
  <c r="AO229" i="1"/>
  <c r="AO223" i="1"/>
  <c r="BL8" i="1"/>
  <c r="BM8" i="1" s="1"/>
  <c r="BJ8" i="1"/>
  <c r="BH8" i="1"/>
  <c r="BI15" i="1"/>
  <c r="BG15" i="1"/>
  <c r="BF15" i="1"/>
  <c r="BJ26" i="1"/>
  <c r="BH26" i="1"/>
  <c r="BI34" i="1"/>
  <c r="BF34" i="1"/>
  <c r="BG34" i="1" s="1"/>
  <c r="BI40" i="1"/>
  <c r="BF40" i="1"/>
  <c r="BG40" i="1" s="1"/>
  <c r="BI44" i="1"/>
  <c r="BF44" i="1"/>
  <c r="BG44" i="1" s="1"/>
  <c r="BL46" i="1"/>
  <c r="BM46" i="1" s="1"/>
  <c r="BJ46" i="1"/>
  <c r="BH46" i="1"/>
  <c r="AO48" i="1"/>
  <c r="AZ48" i="1"/>
  <c r="BA48" i="1" s="1"/>
  <c r="BB48" i="1" s="1"/>
  <c r="AO53" i="1"/>
  <c r="AZ53" i="1"/>
  <c r="BA53" i="1" s="1"/>
  <c r="BB53" i="1" s="1"/>
  <c r="AO56" i="1"/>
  <c r="AZ56" i="1"/>
  <c r="BA56" i="1" s="1"/>
  <c r="BB56" i="1" s="1"/>
  <c r="AO60" i="1"/>
  <c r="AZ60" i="1"/>
  <c r="BA60" i="1" s="1"/>
  <c r="BB60" i="1" s="1"/>
  <c r="AO62" i="1"/>
  <c r="AZ62" i="1"/>
  <c r="BA62" i="1" s="1"/>
  <c r="BB62" i="1" s="1"/>
  <c r="BJ19" i="1"/>
  <c r="BH19" i="1"/>
  <c r="BI22" i="1"/>
  <c r="BF22" i="1"/>
  <c r="BG22" i="1" s="1"/>
  <c r="BF27" i="1"/>
  <c r="BI27" i="1"/>
  <c r="BG27" i="1"/>
  <c r="W229" i="1"/>
  <c r="W206" i="1"/>
  <c r="W193" i="1"/>
  <c r="W191" i="1"/>
  <c r="W189" i="1"/>
  <c r="W181" i="1"/>
  <c r="Z179" i="1"/>
  <c r="Z177" i="1"/>
  <c r="Z175" i="1"/>
  <c r="W169" i="1"/>
  <c r="W167" i="1"/>
  <c r="W165" i="1"/>
  <c r="W163" i="1"/>
  <c r="W149" i="1"/>
  <c r="Z130" i="1"/>
  <c r="W126" i="1"/>
  <c r="W131" i="1"/>
  <c r="W91" i="1"/>
  <c r="W89" i="1"/>
  <c r="W74" i="1"/>
  <c r="BL74" i="1"/>
  <c r="BM74" i="1" s="1"/>
  <c r="BJ74" i="1"/>
  <c r="BH74" i="1"/>
  <c r="AO76" i="1"/>
  <c r="AR80" i="1"/>
  <c r="AO84" i="1"/>
  <c r="BJ107" i="1"/>
  <c r="BH107" i="1"/>
  <c r="BJ108" i="1"/>
  <c r="BH108" i="1"/>
  <c r="BJ111" i="1"/>
  <c r="BH111" i="1"/>
  <c r="BJ112" i="1"/>
  <c r="BH112" i="1"/>
  <c r="BJ114" i="1"/>
  <c r="BH114" i="1"/>
  <c r="BJ115" i="1"/>
  <c r="BH115" i="1"/>
  <c r="BJ118" i="1"/>
  <c r="BH118" i="1"/>
  <c r="W9" i="1"/>
  <c r="W11" i="1"/>
  <c r="BJ30" i="1"/>
  <c r="BH30" i="1"/>
  <c r="Z45" i="1"/>
  <c r="Z53" i="1"/>
  <c r="Z55" i="1"/>
  <c r="Z60" i="1"/>
  <c r="BJ65" i="1"/>
  <c r="BH65" i="1"/>
  <c r="BJ78" i="1"/>
  <c r="BH78" i="1"/>
  <c r="BJ81" i="1"/>
  <c r="BH81" i="1"/>
  <c r="BJ88" i="1"/>
  <c r="BH88" i="1"/>
  <c r="AR92" i="1"/>
  <c r="AO93" i="1"/>
  <c r="BJ95" i="1"/>
  <c r="BH95" i="1"/>
  <c r="AR97" i="1"/>
  <c r="AO98" i="1"/>
  <c r="AR101" i="1"/>
  <c r="AO102" i="1"/>
  <c r="AR121" i="1"/>
  <c r="AZ131" i="1"/>
  <c r="BA131" i="1" s="1"/>
  <c r="BB131" i="1" s="1"/>
  <c r="AO131" i="1"/>
  <c r="BL131" i="1"/>
  <c r="BM131" i="1" s="1"/>
  <c r="BJ131" i="1"/>
  <c r="BH131" i="1"/>
  <c r="BJ132" i="1"/>
  <c r="BH132" i="1"/>
  <c r="AR133" i="1"/>
  <c r="BJ134" i="1"/>
  <c r="BH134" i="1"/>
  <c r="BJ135" i="1"/>
  <c r="BH135" i="1"/>
  <c r="BL146" i="1"/>
  <c r="BM146" i="1" s="1"/>
  <c r="BJ146" i="1"/>
  <c r="BH146" i="1"/>
  <c r="BJ147" i="1"/>
  <c r="BH147" i="1"/>
  <c r="BJ123" i="1"/>
  <c r="BL123" i="1"/>
  <c r="BM123" i="1" s="1"/>
  <c r="BH123" i="1"/>
  <c r="AO129" i="1"/>
  <c r="BJ130" i="1"/>
  <c r="BL130" i="1"/>
  <c r="BM130" i="1" s="1"/>
  <c r="BH130" i="1"/>
  <c r="AR136" i="1"/>
  <c r="BJ137" i="1"/>
  <c r="BH137" i="1"/>
  <c r="BL138" i="1"/>
  <c r="BM138" i="1" s="1"/>
  <c r="BJ138" i="1"/>
  <c r="BH138" i="1"/>
  <c r="BL139" i="1"/>
  <c r="BM139" i="1" s="1"/>
  <c r="BJ139" i="1"/>
  <c r="BH139" i="1"/>
  <c r="BL140" i="1"/>
  <c r="BM140" i="1" s="1"/>
  <c r="BJ140" i="1"/>
  <c r="BH140" i="1"/>
  <c r="BL141" i="1"/>
  <c r="BM141" i="1" s="1"/>
  <c r="BJ141" i="1"/>
  <c r="BH141" i="1"/>
  <c r="BL142" i="1"/>
  <c r="BM142" i="1" s="1"/>
  <c r="BJ142" i="1"/>
  <c r="BH142" i="1"/>
  <c r="BJ143" i="1"/>
  <c r="BH143" i="1"/>
  <c r="BJ153" i="1"/>
  <c r="BH153" i="1"/>
  <c r="AR153" i="1"/>
  <c r="BL160" i="1"/>
  <c r="BM160" i="1" s="1"/>
  <c r="BJ160" i="1"/>
  <c r="BH160" i="1"/>
  <c r="AO162" i="1"/>
  <c r="AZ162" i="1"/>
  <c r="BA162" i="1" s="1"/>
  <c r="BB162" i="1" s="1"/>
  <c r="BJ171" i="1"/>
  <c r="BH171" i="1"/>
  <c r="AO175" i="1"/>
  <c r="AZ175" i="1"/>
  <c r="BA175" i="1" s="1"/>
  <c r="BB175" i="1" s="1"/>
  <c r="BL177" i="1"/>
  <c r="BM177" i="1" s="1"/>
  <c r="BJ177" i="1"/>
  <c r="BH177" i="1"/>
  <c r="AO179" i="1"/>
  <c r="AZ179" i="1"/>
  <c r="BA179" i="1" s="1"/>
  <c r="BB179" i="1" s="1"/>
  <c r="BJ151" i="1"/>
  <c r="BH151" i="1"/>
  <c r="BJ154" i="1"/>
  <c r="BH154" i="1"/>
  <c r="BJ157" i="1"/>
  <c r="BH157" i="1"/>
  <c r="BJ158" i="1"/>
  <c r="BH158" i="1"/>
  <c r="BL181" i="1"/>
  <c r="BM181" i="1" s="1"/>
  <c r="BH181" i="1"/>
  <c r="BJ181" i="1"/>
  <c r="AO184" i="1"/>
  <c r="AR187" i="1"/>
  <c r="AO195" i="1"/>
  <c r="AR188" i="1"/>
  <c r="AO189" i="1"/>
  <c r="AZ189" i="1"/>
  <c r="BA189" i="1" s="1"/>
  <c r="BB189" i="1" s="1"/>
  <c r="BL191" i="1"/>
  <c r="BM191" i="1" s="1"/>
  <c r="BJ191" i="1"/>
  <c r="BH191" i="1"/>
  <c r="AO193" i="1"/>
  <c r="AZ193" i="1"/>
  <c r="BA193" i="1" s="1"/>
  <c r="BB193" i="1" s="1"/>
  <c r="BJ202" i="1"/>
  <c r="BH202" i="1"/>
  <c r="AO206" i="1"/>
  <c r="AZ206" i="1"/>
  <c r="BA206" i="1" s="1"/>
  <c r="BB206" i="1" s="1"/>
  <c r="BJ208" i="1"/>
  <c r="BH208" i="1"/>
  <c r="AO209" i="1"/>
  <c r="AR216" i="1"/>
  <c r="AR219" i="1"/>
  <c r="AO220" i="1"/>
  <c r="AR217" i="1"/>
  <c r="AR218" i="1"/>
  <c r="AR226" i="1"/>
  <c r="AO227" i="1"/>
  <c r="BL232" i="1"/>
  <c r="BM232" i="1" s="1"/>
  <c r="BJ232" i="1"/>
  <c r="BH232" i="1"/>
  <c r="BL231" i="1"/>
  <c r="BM231" i="1" s="1"/>
  <c r="BH231" i="1"/>
  <c r="BJ231" i="1"/>
  <c r="AO211" i="1"/>
  <c r="BJ215" i="1"/>
  <c r="BH215" i="1"/>
  <c r="BJ216" i="1"/>
  <c r="BH216" i="1"/>
  <c r="BJ217" i="1"/>
  <c r="BH217" i="1"/>
  <c r="BJ225" i="1"/>
  <c r="BH225" i="1"/>
  <c r="BJ226" i="1"/>
  <c r="BH226" i="1"/>
  <c r="BL229" i="1"/>
  <c r="BM229" i="1" s="1"/>
  <c r="BJ229" i="1"/>
  <c r="BH229" i="1"/>
  <c r="AP230" i="1"/>
  <c r="AW230" i="1"/>
  <c r="AX230" i="1" s="1"/>
  <c r="AQ230" i="1"/>
  <c r="BF4" i="1"/>
  <c r="BG4" i="1" s="1"/>
  <c r="BI4" i="1"/>
  <c r="AP10" i="1"/>
  <c r="AW10" i="1"/>
  <c r="AX10" i="1" s="1"/>
  <c r="AQ10" i="1"/>
  <c r="AO15" i="1"/>
  <c r="AO24" i="1"/>
  <c r="AO34" i="1"/>
  <c r="AO40" i="1"/>
  <c r="AO44" i="1"/>
  <c r="AP47" i="1"/>
  <c r="AW47" i="1"/>
  <c r="AX47" i="1" s="1"/>
  <c r="AQ47" i="1"/>
  <c r="AR12" i="1"/>
  <c r="AR23" i="1"/>
  <c r="AR25" i="1"/>
  <c r="AR27" i="1"/>
  <c r="AR29" i="1"/>
  <c r="AR37" i="1"/>
  <c r="AR43" i="1"/>
  <c r="AR54" i="1"/>
  <c r="BF75" i="1"/>
  <c r="BG75" i="1" s="1"/>
  <c r="BI75" i="1"/>
  <c r="BF49" i="1"/>
  <c r="BG49" i="1" s="1"/>
  <c r="BI49" i="1"/>
  <c r="AO51" i="1"/>
  <c r="AO58" i="1"/>
  <c r="AP70" i="1"/>
  <c r="AW70" i="1"/>
  <c r="AX70" i="1" s="1"/>
  <c r="AQ70" i="1"/>
  <c r="BF73" i="1"/>
  <c r="BI73" i="1"/>
  <c r="BG73" i="1"/>
  <c r="AP161" i="1"/>
  <c r="AW161" i="1"/>
  <c r="AX161" i="1" s="1"/>
  <c r="AQ161" i="1"/>
  <c r="BF166" i="1"/>
  <c r="BI166" i="1"/>
  <c r="BG166" i="1"/>
  <c r="BF176" i="1"/>
  <c r="BG176" i="1" s="1"/>
  <c r="BI176" i="1"/>
  <c r="AP190" i="1"/>
  <c r="AW190" i="1"/>
  <c r="AX190" i="1" s="1"/>
  <c r="AQ190" i="1"/>
  <c r="AP207" i="1"/>
  <c r="AW207" i="1"/>
  <c r="AX207" i="1" s="1"/>
  <c r="AQ207" i="1"/>
  <c r="AP68" i="1"/>
  <c r="AW68" i="1"/>
  <c r="AX68" i="1" s="1"/>
  <c r="AQ68" i="1"/>
  <c r="BF72" i="1"/>
  <c r="BG72" i="1" s="1"/>
  <c r="BI72" i="1"/>
  <c r="BF90" i="1"/>
  <c r="BI90" i="1"/>
  <c r="BG90" i="1"/>
  <c r="BF122" i="1"/>
  <c r="BG122" i="1" s="1"/>
  <c r="BI122" i="1"/>
  <c r="AW122" i="1"/>
  <c r="AX122" i="1" s="1"/>
  <c r="AP122" i="1"/>
  <c r="AQ122" i="1"/>
  <c r="BF159" i="1"/>
  <c r="BI159" i="1"/>
  <c r="BG159" i="1"/>
  <c r="AP174" i="1"/>
  <c r="AW174" i="1"/>
  <c r="AX174" i="1" s="1"/>
  <c r="AQ174" i="1"/>
  <c r="BF178" i="1"/>
  <c r="BG178" i="1" s="1"/>
  <c r="BI178" i="1"/>
  <c r="AP183" i="1"/>
  <c r="AW183" i="1"/>
  <c r="AX183" i="1" s="1"/>
  <c r="AQ183" i="1"/>
  <c r="BF192" i="1"/>
  <c r="BG192" i="1" s="1"/>
  <c r="BI192" i="1"/>
  <c r="AW197" i="1"/>
  <c r="AX197" i="1" s="1"/>
  <c r="AP197" i="1"/>
  <c r="AQ197" i="1"/>
  <c r="BF204" i="1"/>
  <c r="BG204" i="1" s="1"/>
  <c r="BI204" i="1"/>
  <c r="AP214" i="1"/>
  <c r="AW214" i="1"/>
  <c r="AX214" i="1" s="1"/>
  <c r="AQ214" i="1"/>
  <c r="BL204" i="1" l="1"/>
  <c r="BM204" i="1" s="1"/>
  <c r="BJ204" i="1"/>
  <c r="BH204" i="1"/>
  <c r="BL178" i="1"/>
  <c r="BM178" i="1" s="1"/>
  <c r="BJ178" i="1"/>
  <c r="BH178" i="1"/>
  <c r="AZ174" i="1"/>
  <c r="BA174" i="1" s="1"/>
  <c r="BB174" i="1" s="1"/>
  <c r="AO174" i="1"/>
  <c r="BL72" i="1"/>
  <c r="BM72" i="1" s="1"/>
  <c r="BJ72" i="1"/>
  <c r="BH72" i="1"/>
  <c r="AZ68" i="1"/>
  <c r="BA68" i="1" s="1"/>
  <c r="BB68" i="1" s="1"/>
  <c r="AO68" i="1"/>
  <c r="AZ190" i="1"/>
  <c r="BA190" i="1" s="1"/>
  <c r="BB190" i="1" s="1"/>
  <c r="AO190" i="1"/>
  <c r="BL49" i="1"/>
  <c r="BM49" i="1" s="1"/>
  <c r="BJ49" i="1"/>
  <c r="BH49" i="1"/>
  <c r="BL75" i="1"/>
  <c r="BM75" i="1" s="1"/>
  <c r="BJ75" i="1"/>
  <c r="BH75" i="1"/>
  <c r="AZ47" i="1"/>
  <c r="BA47" i="1" s="1"/>
  <c r="BB47" i="1" s="1"/>
  <c r="AO47" i="1"/>
  <c r="AZ10" i="1"/>
  <c r="BA10" i="1" s="1"/>
  <c r="BB10" i="1" s="1"/>
  <c r="AO10" i="1"/>
  <c r="AZ164" i="1"/>
  <c r="BA164" i="1" s="1"/>
  <c r="BB164" i="1" s="1"/>
  <c r="AO164" i="1"/>
  <c r="AZ90" i="1"/>
  <c r="BA90" i="1" s="1"/>
  <c r="BB90" i="1" s="1"/>
  <c r="AO90" i="1"/>
  <c r="AZ180" i="1"/>
  <c r="BA180" i="1" s="1"/>
  <c r="BB180" i="1" s="1"/>
  <c r="AO180" i="1"/>
  <c r="AZ166" i="1"/>
  <c r="BA166" i="1" s="1"/>
  <c r="BB166" i="1" s="1"/>
  <c r="AO166" i="1"/>
  <c r="AZ73" i="1"/>
  <c r="BA73" i="1" s="1"/>
  <c r="BB73" i="1" s="1"/>
  <c r="AO73" i="1"/>
  <c r="AZ49" i="1"/>
  <c r="BA49" i="1" s="1"/>
  <c r="BB49" i="1" s="1"/>
  <c r="AO49" i="1"/>
  <c r="AZ75" i="1"/>
  <c r="BA75" i="1" s="1"/>
  <c r="BB75" i="1" s="1"/>
  <c r="AO75" i="1"/>
  <c r="BL149" i="1"/>
  <c r="BM149" i="1" s="1"/>
  <c r="BJ149" i="1"/>
  <c r="BH149" i="1"/>
  <c r="BJ50" i="1"/>
  <c r="BH50" i="1"/>
  <c r="AZ214" i="1"/>
  <c r="BA214" i="1" s="1"/>
  <c r="BB214" i="1" s="1"/>
  <c r="AO214" i="1"/>
  <c r="AZ183" i="1"/>
  <c r="BA183" i="1" s="1"/>
  <c r="BB183" i="1" s="1"/>
  <c r="AO183" i="1"/>
  <c r="AZ122" i="1"/>
  <c r="BA122" i="1" s="1"/>
  <c r="BB122" i="1" s="1"/>
  <c r="AO122" i="1"/>
  <c r="BL122" i="1"/>
  <c r="BM122" i="1" s="1"/>
  <c r="BJ122" i="1"/>
  <c r="BH122" i="1"/>
  <c r="AZ207" i="1"/>
  <c r="BA207" i="1" s="1"/>
  <c r="BB207" i="1" s="1"/>
  <c r="AO207" i="1"/>
  <c r="AZ161" i="1"/>
  <c r="BA161" i="1" s="1"/>
  <c r="BB161" i="1" s="1"/>
  <c r="AO161" i="1"/>
  <c r="AZ70" i="1"/>
  <c r="BA70" i="1" s="1"/>
  <c r="BB70" i="1" s="1"/>
  <c r="AO70" i="1"/>
  <c r="BL4" i="1"/>
  <c r="BM4" i="1" s="1"/>
  <c r="BJ4" i="1"/>
  <c r="BH4" i="1"/>
  <c r="AZ230" i="1"/>
  <c r="BA230" i="1" s="1"/>
  <c r="BB230" i="1" s="1"/>
  <c r="AO230" i="1"/>
  <c r="BJ40" i="1"/>
  <c r="BH40" i="1"/>
  <c r="AZ204" i="1"/>
  <c r="BA204" i="1" s="1"/>
  <c r="BB204" i="1" s="1"/>
  <c r="AO204" i="1"/>
  <c r="AZ192" i="1"/>
  <c r="BA192" i="1" s="1"/>
  <c r="BB192" i="1" s="1"/>
  <c r="AO192" i="1"/>
  <c r="AZ178" i="1"/>
  <c r="BA178" i="1" s="1"/>
  <c r="BB178" i="1" s="1"/>
  <c r="AO178" i="1"/>
  <c r="AZ159" i="1"/>
  <c r="BA159" i="1" s="1"/>
  <c r="BB159" i="1" s="1"/>
  <c r="AO159" i="1"/>
  <c r="AZ72" i="1"/>
  <c r="BA72" i="1" s="1"/>
  <c r="BB72" i="1" s="1"/>
  <c r="AO72" i="1"/>
  <c r="BL180" i="1"/>
  <c r="BM180" i="1" s="1"/>
  <c r="BJ180" i="1"/>
  <c r="BH180" i="1"/>
  <c r="AZ176" i="1"/>
  <c r="BA176" i="1" s="1"/>
  <c r="BB176" i="1" s="1"/>
  <c r="AO176" i="1"/>
  <c r="AO4" i="1"/>
  <c r="AZ4" i="1"/>
  <c r="BA4" i="1" s="1"/>
  <c r="BB4" i="1" s="1"/>
  <c r="BL230" i="1"/>
  <c r="BM230" i="1" s="1"/>
  <c r="BH230" i="1"/>
  <c r="BJ230" i="1"/>
  <c r="AZ173" i="1"/>
  <c r="BA173" i="1" s="1"/>
  <c r="BB173" i="1" s="1"/>
  <c r="AO173" i="1"/>
  <c r="AZ168" i="1"/>
  <c r="BA168" i="1" s="1"/>
  <c r="BB168" i="1" s="1"/>
  <c r="AO168" i="1"/>
  <c r="BJ32" i="1"/>
  <c r="BH32" i="1"/>
  <c r="BJ28" i="1"/>
  <c r="BH28" i="1"/>
  <c r="BJ63" i="1"/>
  <c r="BH63" i="1"/>
  <c r="BJ38" i="1"/>
  <c r="BH38" i="1"/>
  <c r="BL192" i="1"/>
  <c r="BM192" i="1" s="1"/>
  <c r="BJ192" i="1"/>
  <c r="BH192" i="1"/>
  <c r="BL159" i="1"/>
  <c r="BM159" i="1" s="1"/>
  <c r="BJ159" i="1"/>
  <c r="BH159" i="1"/>
  <c r="BL90" i="1"/>
  <c r="BM90" i="1" s="1"/>
  <c r="BJ90" i="1"/>
  <c r="BH90" i="1"/>
  <c r="BL176" i="1"/>
  <c r="BM176" i="1" s="1"/>
  <c r="BJ176" i="1"/>
  <c r="BH176" i="1"/>
  <c r="BL73" i="1"/>
  <c r="BM73" i="1" s="1"/>
  <c r="BJ73" i="1"/>
  <c r="BH73" i="1"/>
  <c r="AO221" i="1"/>
  <c r="BL173" i="1"/>
  <c r="BM173" i="1" s="1"/>
  <c r="BJ173" i="1"/>
  <c r="BH173" i="1"/>
  <c r="BJ25" i="1"/>
  <c r="BH25" i="1"/>
  <c r="BJ37" i="1"/>
  <c r="BH37" i="1"/>
  <c r="BL197" i="1"/>
  <c r="BM197" i="1" s="1"/>
  <c r="BJ197" i="1"/>
  <c r="BH197" i="1"/>
  <c r="BL174" i="1"/>
  <c r="BM174" i="1" s="1"/>
  <c r="BJ174" i="1"/>
  <c r="BH174" i="1"/>
  <c r="BL190" i="1"/>
  <c r="BM190" i="1" s="1"/>
  <c r="BJ190" i="1"/>
  <c r="BH190" i="1"/>
  <c r="BL161" i="1"/>
  <c r="BM161" i="1" s="1"/>
  <c r="BJ161" i="1"/>
  <c r="BH161" i="1"/>
  <c r="BL47" i="1"/>
  <c r="BM47" i="1" s="1"/>
  <c r="BJ47" i="1"/>
  <c r="BH47" i="1"/>
  <c r="BL10" i="1"/>
  <c r="BM10" i="1" s="1"/>
  <c r="BJ10" i="1"/>
  <c r="BH10" i="1"/>
  <c r="BF61" i="1"/>
  <c r="BG61" i="1" s="1"/>
  <c r="BI61" i="1"/>
  <c r="BJ54" i="1"/>
  <c r="BH54" i="1"/>
  <c r="BJ41" i="1"/>
  <c r="BH41" i="1"/>
  <c r="BJ31" i="1"/>
  <c r="BH31" i="1"/>
  <c r="BL164" i="1"/>
  <c r="BM164" i="1" s="1"/>
  <c r="BJ164" i="1"/>
  <c r="BH164" i="1"/>
  <c r="BJ64" i="1"/>
  <c r="BH64" i="1"/>
  <c r="BJ29" i="1"/>
  <c r="BH29" i="1"/>
  <c r="BJ33" i="1"/>
  <c r="BH33" i="1"/>
  <c r="AZ197" i="1"/>
  <c r="BA197" i="1" s="1"/>
  <c r="BB197" i="1" s="1"/>
  <c r="AO197" i="1"/>
  <c r="BL166" i="1"/>
  <c r="BM166" i="1" s="1"/>
  <c r="BJ166" i="1"/>
  <c r="BH166" i="1"/>
  <c r="BJ27" i="1"/>
  <c r="BH27" i="1"/>
  <c r="BJ22" i="1"/>
  <c r="BH22" i="1"/>
  <c r="BJ44" i="1"/>
  <c r="BH44" i="1"/>
  <c r="BJ34" i="1"/>
  <c r="BH34" i="1"/>
  <c r="BJ15" i="1"/>
  <c r="BH15" i="1"/>
  <c r="BL168" i="1"/>
  <c r="BM168" i="1" s="1"/>
  <c r="BJ168" i="1"/>
  <c r="BH168" i="1"/>
  <c r="BJ59" i="1"/>
  <c r="BH59" i="1"/>
  <c r="BJ51" i="1"/>
  <c r="BH51" i="1"/>
  <c r="BJ43" i="1"/>
  <c r="BH43" i="1"/>
  <c r="BL214" i="1"/>
  <c r="BM214" i="1" s="1"/>
  <c r="BJ214" i="1"/>
  <c r="BH214" i="1"/>
  <c r="BL183" i="1"/>
  <c r="BM183" i="1" s="1"/>
  <c r="BJ183" i="1"/>
  <c r="BH183" i="1"/>
  <c r="BL68" i="1"/>
  <c r="BM68" i="1" s="1"/>
  <c r="BJ68" i="1"/>
  <c r="BH68" i="1"/>
  <c r="BL207" i="1"/>
  <c r="BM207" i="1" s="1"/>
  <c r="BJ207" i="1"/>
  <c r="BH207" i="1"/>
  <c r="BL70" i="1"/>
  <c r="BM70" i="1" s="1"/>
  <c r="BJ70" i="1"/>
  <c r="BH70" i="1"/>
  <c r="AO149" i="1"/>
  <c r="AZ149" i="1"/>
  <c r="BA149" i="1" s="1"/>
  <c r="BB149" i="1" s="1"/>
  <c r="BJ23" i="1"/>
  <c r="BH23" i="1"/>
  <c r="AP61" i="1"/>
  <c r="AW61" i="1"/>
  <c r="AX61" i="1" s="1"/>
  <c r="AQ61" i="1"/>
  <c r="BJ57" i="1"/>
  <c r="BH57" i="1"/>
  <c r="BJ35" i="1"/>
  <c r="BH35" i="1"/>
  <c r="BH221" i="1"/>
  <c r="BJ221" i="1"/>
  <c r="BJ24" i="1"/>
  <c r="BH24" i="1"/>
  <c r="BJ58" i="1"/>
  <c r="BH58" i="1"/>
  <c r="BJ52" i="1"/>
  <c r="BH52" i="1"/>
  <c r="BJ42" i="1"/>
  <c r="BH42" i="1"/>
  <c r="BJ36" i="1"/>
  <c r="BH36" i="1"/>
  <c r="BJ12" i="1"/>
  <c r="BH12" i="1"/>
  <c r="BJ21" i="1"/>
  <c r="BH21" i="1"/>
  <c r="BJ39" i="1"/>
  <c r="BH39" i="1"/>
  <c r="AZ61" i="1" l="1"/>
  <c r="BA61" i="1" s="1"/>
  <c r="BB61" i="1" s="1"/>
  <c r="AO61" i="1"/>
  <c r="BL61" i="1"/>
  <c r="BM61" i="1" s="1"/>
  <c r="BJ61" i="1"/>
  <c r="BH61" i="1"/>
  <c r="AD5" i="1" l="1"/>
  <c r="BF5" i="1" l="1"/>
  <c r="BE5" i="1"/>
  <c r="BI5" i="1" l="1"/>
  <c r="BG5" i="1"/>
  <c r="BJ5" i="1" l="1"/>
  <c r="BH5" i="1"/>
  <c r="AV5" i="1" l="1"/>
  <c r="O2" i="1"/>
  <c r="N2" i="1"/>
  <c r="B2" i="1"/>
  <c r="R232" i="1" l="1"/>
  <c r="R233" i="1"/>
  <c r="R231" i="1"/>
  <c r="R229" i="1"/>
  <c r="R227" i="1"/>
  <c r="R225" i="1"/>
  <c r="R224" i="1"/>
  <c r="R230" i="1"/>
  <c r="R228" i="1"/>
  <c r="R226" i="1"/>
  <c r="R222" i="1"/>
  <c r="R221" i="1"/>
  <c r="R220" i="1"/>
  <c r="R215" i="1"/>
  <c r="R223" i="1"/>
  <c r="R218" i="1"/>
  <c r="R216" i="1"/>
  <c r="R214" i="1"/>
  <c r="R211" i="1"/>
  <c r="R209" i="1"/>
  <c r="R208" i="1"/>
  <c r="R207" i="1"/>
  <c r="R204" i="1"/>
  <c r="R202" i="1"/>
  <c r="R201" i="1"/>
  <c r="R213" i="1"/>
  <c r="R212" i="1"/>
  <c r="R210" i="1"/>
  <c r="R206" i="1"/>
  <c r="R205" i="1"/>
  <c r="R203" i="1"/>
  <c r="R199" i="1"/>
  <c r="R197" i="1"/>
  <c r="R195" i="1"/>
  <c r="R192" i="1"/>
  <c r="R190" i="1"/>
  <c r="R186" i="1"/>
  <c r="R184" i="1"/>
  <c r="R183" i="1"/>
  <c r="R196" i="1"/>
  <c r="R193" i="1"/>
  <c r="R191" i="1"/>
  <c r="R189" i="1"/>
  <c r="R187" i="1"/>
  <c r="R185" i="1"/>
  <c r="R182" i="1"/>
  <c r="R180" i="1"/>
  <c r="R178" i="1"/>
  <c r="R176" i="1"/>
  <c r="R174" i="1"/>
  <c r="R173" i="1"/>
  <c r="R172" i="1"/>
  <c r="R168" i="1"/>
  <c r="R166" i="1"/>
  <c r="R164" i="1"/>
  <c r="R161" i="1"/>
  <c r="R159" i="1"/>
  <c r="R157" i="1"/>
  <c r="R155" i="1"/>
  <c r="R181" i="1"/>
  <c r="R179" i="1"/>
  <c r="R177" i="1"/>
  <c r="R175" i="1"/>
  <c r="R171" i="1"/>
  <c r="R169" i="1"/>
  <c r="R167" i="1"/>
  <c r="R165" i="1"/>
  <c r="R163" i="1"/>
  <c r="R162" i="1"/>
  <c r="R160" i="1"/>
  <c r="R158" i="1"/>
  <c r="R156" i="1"/>
  <c r="R154" i="1"/>
  <c r="R152" i="1"/>
  <c r="R151" i="1"/>
  <c r="R150" i="1"/>
  <c r="R148" i="1"/>
  <c r="R146" i="1"/>
  <c r="R145" i="1"/>
  <c r="R141" i="1"/>
  <c r="R139" i="1"/>
  <c r="R131" i="1"/>
  <c r="R129" i="1"/>
  <c r="R127" i="1"/>
  <c r="R124" i="1"/>
  <c r="R153" i="1"/>
  <c r="R149" i="1"/>
  <c r="R144" i="1"/>
  <c r="R143" i="1"/>
  <c r="R142" i="1"/>
  <c r="R140" i="1"/>
  <c r="R138" i="1"/>
  <c r="R137" i="1"/>
  <c r="R136" i="1"/>
  <c r="R134" i="1"/>
  <c r="R133" i="1"/>
  <c r="R130" i="1"/>
  <c r="R123" i="1"/>
  <c r="R122" i="1"/>
  <c r="R120" i="1"/>
  <c r="R119" i="1"/>
  <c r="R118" i="1"/>
  <c r="R116" i="1"/>
  <c r="R114" i="1"/>
  <c r="R113" i="1"/>
  <c r="R111" i="1"/>
  <c r="R109" i="1"/>
  <c r="R107" i="1"/>
  <c r="R105" i="1"/>
  <c r="R104" i="1"/>
  <c r="R102" i="1"/>
  <c r="R100" i="1"/>
  <c r="R98" i="1"/>
  <c r="R96" i="1"/>
  <c r="R95" i="1"/>
  <c r="R94" i="1"/>
  <c r="R93" i="1"/>
  <c r="R90" i="1"/>
  <c r="R88" i="1"/>
  <c r="R84" i="1"/>
  <c r="R79" i="1"/>
  <c r="R78" i="1"/>
  <c r="R77" i="1"/>
  <c r="R76" i="1"/>
  <c r="R75" i="1"/>
  <c r="R73" i="1"/>
  <c r="R72" i="1"/>
  <c r="R70" i="1"/>
  <c r="R68" i="1"/>
  <c r="R66" i="1"/>
  <c r="R126" i="1"/>
  <c r="R125" i="1"/>
  <c r="R121" i="1"/>
  <c r="R117" i="1"/>
  <c r="R115" i="1"/>
  <c r="R112" i="1"/>
  <c r="R110" i="1"/>
  <c r="R108" i="1"/>
  <c r="R106" i="1"/>
  <c r="R103" i="1"/>
  <c r="R101" i="1"/>
  <c r="R99" i="1"/>
  <c r="R97" i="1"/>
  <c r="R91" i="1"/>
  <c r="R89" i="1"/>
  <c r="R87" i="1"/>
  <c r="R85" i="1"/>
  <c r="R82" i="1"/>
  <c r="R80" i="1"/>
  <c r="R74" i="1"/>
  <c r="R71" i="1"/>
  <c r="R69" i="1"/>
  <c r="R67" i="1"/>
  <c r="R65" i="1"/>
  <c r="R63" i="1"/>
  <c r="R61" i="1"/>
  <c r="R58" i="1"/>
  <c r="R51" i="1"/>
  <c r="R50" i="1"/>
  <c r="R49" i="1"/>
  <c r="R47" i="1"/>
  <c r="R44" i="1"/>
  <c r="R42" i="1"/>
  <c r="R40" i="1"/>
  <c r="R38" i="1"/>
  <c r="R37" i="1"/>
  <c r="R36" i="1"/>
  <c r="R34" i="1"/>
  <c r="R32" i="1"/>
  <c r="R28" i="1"/>
  <c r="R24" i="1"/>
  <c r="R22" i="1"/>
  <c r="R19" i="1"/>
  <c r="R18" i="1"/>
  <c r="R15" i="1"/>
  <c r="R10" i="1"/>
  <c r="Q2" i="1"/>
  <c r="R64" i="1"/>
  <c r="R62" i="1"/>
  <c r="R60" i="1"/>
  <c r="R56" i="1"/>
  <c r="R55" i="1"/>
  <c r="R53" i="1"/>
  <c r="R48" i="1"/>
  <c r="R46" i="1"/>
  <c r="R45" i="1"/>
  <c r="R43" i="1"/>
  <c r="R41" i="1"/>
  <c r="R39" i="1"/>
  <c r="R35" i="1"/>
  <c r="R33" i="1"/>
  <c r="R31" i="1"/>
  <c r="R29" i="1"/>
  <c r="R27" i="1"/>
  <c r="R25" i="1"/>
  <c r="R23" i="1"/>
  <c r="R21" i="1"/>
  <c r="R14" i="1"/>
  <c r="R13" i="1"/>
  <c r="R11" i="1"/>
  <c r="R9" i="1"/>
  <c r="R8" i="1"/>
  <c r="R4" i="1"/>
  <c r="R12" i="1"/>
  <c r="R20" i="1"/>
  <c r="R52" i="1"/>
  <c r="R54" i="1"/>
  <c r="R81" i="1"/>
  <c r="R92" i="1"/>
  <c r="R132" i="1"/>
  <c r="R200" i="1"/>
  <c r="R217" i="1"/>
  <c r="R57" i="1"/>
  <c r="R59" i="1"/>
  <c r="R83" i="1"/>
  <c r="R86" i="1"/>
  <c r="R128" i="1"/>
  <c r="R135" i="1"/>
  <c r="R147" i="1"/>
  <c r="R170" i="1"/>
  <c r="R188" i="1"/>
  <c r="R194" i="1"/>
  <c r="R198" i="1"/>
  <c r="R219" i="1"/>
  <c r="R5" i="1"/>
  <c r="R7" i="1"/>
  <c r="S7" i="1" s="1"/>
  <c r="AA7" i="1" s="1"/>
  <c r="AJ7" i="1" s="1"/>
  <c r="AK7" i="1" s="1"/>
  <c r="R6" i="1"/>
  <c r="S6" i="1" s="1"/>
  <c r="AA6" i="1" s="1"/>
  <c r="AJ6" i="1" s="1"/>
  <c r="AK6" i="1" s="1"/>
  <c r="P2" i="1"/>
  <c r="R2" i="1"/>
  <c r="R26" i="1"/>
  <c r="R30" i="1"/>
  <c r="AQ5" i="1"/>
  <c r="AP5" i="1"/>
  <c r="BM5" i="1"/>
  <c r="AW5" i="1"/>
  <c r="AX5" i="1" s="1"/>
  <c r="AR5" i="1" l="1"/>
  <c r="AO5" i="1"/>
  <c r="S26" i="1"/>
  <c r="U26" i="1"/>
  <c r="V26" i="1" s="1"/>
  <c r="AM26" i="1"/>
  <c r="AN26" i="1" s="1"/>
  <c r="BC7" i="1"/>
  <c r="BD7" i="1" s="1"/>
  <c r="BC6" i="1"/>
  <c r="BD6" i="1" s="1"/>
  <c r="BC5" i="1"/>
  <c r="S219" i="1"/>
  <c r="U219" i="1"/>
  <c r="V219" i="1" s="1"/>
  <c r="AM219" i="1"/>
  <c r="AN219" i="1" s="1"/>
  <c r="S194" i="1"/>
  <c r="U194" i="1"/>
  <c r="V194" i="1" s="1"/>
  <c r="AM194" i="1"/>
  <c r="AN194" i="1" s="1"/>
  <c r="S170" i="1"/>
  <c r="U170" i="1"/>
  <c r="V170" i="1" s="1"/>
  <c r="AM170" i="1"/>
  <c r="AN170" i="1" s="1"/>
  <c r="U135" i="1"/>
  <c r="V135" i="1" s="1"/>
  <c r="S135" i="1"/>
  <c r="AM135" i="1"/>
  <c r="AN135" i="1" s="1"/>
  <c r="S86" i="1"/>
  <c r="U86" i="1"/>
  <c r="V86" i="1" s="1"/>
  <c r="AM86" i="1"/>
  <c r="AN86" i="1" s="1"/>
  <c r="S59" i="1"/>
  <c r="U59" i="1"/>
  <c r="V59" i="1" s="1"/>
  <c r="AM59" i="1"/>
  <c r="AN59" i="1" s="1"/>
  <c r="S217" i="1"/>
  <c r="U217" i="1"/>
  <c r="V217" i="1" s="1"/>
  <c r="AM217" i="1"/>
  <c r="AN217" i="1" s="1"/>
  <c r="U132" i="1"/>
  <c r="V132" i="1" s="1"/>
  <c r="S132" i="1"/>
  <c r="AM132" i="1"/>
  <c r="AN132" i="1" s="1"/>
  <c r="S81" i="1"/>
  <c r="U81" i="1"/>
  <c r="V81" i="1" s="1"/>
  <c r="AM81" i="1"/>
  <c r="AN81" i="1" s="1"/>
  <c r="S52" i="1"/>
  <c r="U52" i="1"/>
  <c r="V52" i="1" s="1"/>
  <c r="AM52" i="1"/>
  <c r="AN52" i="1" s="1"/>
  <c r="S12" i="1"/>
  <c r="U12" i="1"/>
  <c r="V12" i="1" s="1"/>
  <c r="AM12" i="1"/>
  <c r="AN12" i="1" s="1"/>
  <c r="S8" i="1"/>
  <c r="U8" i="1"/>
  <c r="V8" i="1" s="1"/>
  <c r="S11" i="1"/>
  <c r="U11" i="1"/>
  <c r="V11" i="1" s="1"/>
  <c r="S14" i="1"/>
  <c r="U14" i="1"/>
  <c r="V14" i="1" s="1"/>
  <c r="S23" i="1"/>
  <c r="U23" i="1"/>
  <c r="V23" i="1" s="1"/>
  <c r="AM23" i="1"/>
  <c r="AN23" i="1" s="1"/>
  <c r="S27" i="1"/>
  <c r="U27" i="1"/>
  <c r="V27" i="1" s="1"/>
  <c r="AM27" i="1"/>
  <c r="AN27" i="1" s="1"/>
  <c r="S31" i="1"/>
  <c r="U31" i="1"/>
  <c r="V31" i="1" s="1"/>
  <c r="AM31" i="1"/>
  <c r="AN31" i="1" s="1"/>
  <c r="S35" i="1"/>
  <c r="U35" i="1"/>
  <c r="V35" i="1" s="1"/>
  <c r="AM35" i="1"/>
  <c r="AN35" i="1" s="1"/>
  <c r="S41" i="1"/>
  <c r="U41" i="1"/>
  <c r="V41" i="1" s="1"/>
  <c r="AM41" i="1"/>
  <c r="AN41" i="1" s="1"/>
  <c r="S45" i="1"/>
  <c r="U45" i="1"/>
  <c r="V45" i="1" s="1"/>
  <c r="S48" i="1"/>
  <c r="U48" i="1"/>
  <c r="V48" i="1" s="1"/>
  <c r="S55" i="1"/>
  <c r="U55" i="1"/>
  <c r="V55" i="1" s="1"/>
  <c r="S60" i="1"/>
  <c r="U60" i="1"/>
  <c r="V60" i="1" s="1"/>
  <c r="S64" i="1"/>
  <c r="U64" i="1"/>
  <c r="V64" i="1" s="1"/>
  <c r="AM64" i="1"/>
  <c r="AN64" i="1" s="1"/>
  <c r="U10" i="1"/>
  <c r="V10" i="1" s="1"/>
  <c r="S10" i="1"/>
  <c r="U18" i="1"/>
  <c r="V18" i="1" s="1"/>
  <c r="S18" i="1"/>
  <c r="AM18" i="1"/>
  <c r="AN18" i="1" s="1"/>
  <c r="U22" i="1"/>
  <c r="V22" i="1" s="1"/>
  <c r="S22" i="1"/>
  <c r="AM22" i="1"/>
  <c r="AN22" i="1" s="1"/>
  <c r="U28" i="1"/>
  <c r="V28" i="1" s="1"/>
  <c r="S28" i="1"/>
  <c r="AM28" i="1"/>
  <c r="AN28" i="1" s="1"/>
  <c r="U34" i="1"/>
  <c r="V34" i="1" s="1"/>
  <c r="S34" i="1"/>
  <c r="AM34" i="1"/>
  <c r="AN34" i="1" s="1"/>
  <c r="U37" i="1"/>
  <c r="V37" i="1" s="1"/>
  <c r="S37" i="1"/>
  <c r="AM37" i="1"/>
  <c r="AN37" i="1" s="1"/>
  <c r="U40" i="1"/>
  <c r="V40" i="1" s="1"/>
  <c r="S40" i="1"/>
  <c r="AM40" i="1"/>
  <c r="AN40" i="1" s="1"/>
  <c r="U44" i="1"/>
  <c r="V44" i="1" s="1"/>
  <c r="S44" i="1"/>
  <c r="AM44" i="1"/>
  <c r="AN44" i="1" s="1"/>
  <c r="U49" i="1"/>
  <c r="V49" i="1" s="1"/>
  <c r="S49" i="1"/>
  <c r="U51" i="1"/>
  <c r="V51" i="1" s="1"/>
  <c r="S51" i="1"/>
  <c r="AM51" i="1"/>
  <c r="AN51" i="1" s="1"/>
  <c r="U61" i="1"/>
  <c r="V61" i="1" s="1"/>
  <c r="S61" i="1"/>
  <c r="S65" i="1"/>
  <c r="U65" i="1"/>
  <c r="V65" i="1" s="1"/>
  <c r="AM65" i="1"/>
  <c r="AN65" i="1" s="1"/>
  <c r="S69" i="1"/>
  <c r="U69" i="1"/>
  <c r="V69" i="1" s="1"/>
  <c r="S74" i="1"/>
  <c r="U74" i="1"/>
  <c r="V74" i="1" s="1"/>
  <c r="S82" i="1"/>
  <c r="U82" i="1"/>
  <c r="V82" i="1" s="1"/>
  <c r="S87" i="1"/>
  <c r="U87" i="1"/>
  <c r="V87" i="1" s="1"/>
  <c r="AM87" i="1"/>
  <c r="AN87" i="1" s="1"/>
  <c r="S91" i="1"/>
  <c r="U91" i="1"/>
  <c r="V91" i="1" s="1"/>
  <c r="S99" i="1"/>
  <c r="U99" i="1"/>
  <c r="V99" i="1" s="1"/>
  <c r="AM99" i="1"/>
  <c r="AN99" i="1" s="1"/>
  <c r="S103" i="1"/>
  <c r="U103" i="1"/>
  <c r="V103" i="1" s="1"/>
  <c r="AM103" i="1"/>
  <c r="AN103" i="1" s="1"/>
  <c r="S108" i="1"/>
  <c r="U108" i="1"/>
  <c r="V108" i="1" s="1"/>
  <c r="AM108" i="1"/>
  <c r="AN108" i="1" s="1"/>
  <c r="S112" i="1"/>
  <c r="U112" i="1"/>
  <c r="V112" i="1" s="1"/>
  <c r="AM112" i="1"/>
  <c r="AN112" i="1" s="1"/>
  <c r="S117" i="1"/>
  <c r="U117" i="1"/>
  <c r="V117" i="1" s="1"/>
  <c r="AM117" i="1"/>
  <c r="AN117" i="1" s="1"/>
  <c r="S125" i="1"/>
  <c r="U125" i="1"/>
  <c r="V125" i="1" s="1"/>
  <c r="U66" i="1"/>
  <c r="V66" i="1" s="1"/>
  <c r="S66" i="1"/>
  <c r="AM66" i="1"/>
  <c r="AN66" i="1" s="1"/>
  <c r="U70" i="1"/>
  <c r="V70" i="1" s="1"/>
  <c r="S70" i="1"/>
  <c r="U73" i="1"/>
  <c r="V73" i="1" s="1"/>
  <c r="S73" i="1"/>
  <c r="U76" i="1"/>
  <c r="V76" i="1" s="1"/>
  <c r="S76" i="1"/>
  <c r="AM76" i="1"/>
  <c r="AN76" i="1" s="1"/>
  <c r="U78" i="1"/>
  <c r="V78" i="1" s="1"/>
  <c r="S78" i="1"/>
  <c r="AM78" i="1"/>
  <c r="AN78" i="1" s="1"/>
  <c r="U84" i="1"/>
  <c r="V84" i="1" s="1"/>
  <c r="S84" i="1"/>
  <c r="AM84" i="1"/>
  <c r="AN84" i="1" s="1"/>
  <c r="U90" i="1"/>
  <c r="V90" i="1" s="1"/>
  <c r="S90" i="1"/>
  <c r="U94" i="1"/>
  <c r="V94" i="1" s="1"/>
  <c r="S94" i="1"/>
  <c r="AM94" i="1"/>
  <c r="AN94" i="1" s="1"/>
  <c r="U96" i="1"/>
  <c r="V96" i="1" s="1"/>
  <c r="S96" i="1"/>
  <c r="AM96" i="1"/>
  <c r="AN96" i="1" s="1"/>
  <c r="U100" i="1"/>
  <c r="V100" i="1" s="1"/>
  <c r="S100" i="1"/>
  <c r="AM100" i="1"/>
  <c r="AN100" i="1" s="1"/>
  <c r="U104" i="1"/>
  <c r="V104" i="1" s="1"/>
  <c r="S104" i="1"/>
  <c r="AM104" i="1"/>
  <c r="AN104" i="1" s="1"/>
  <c r="U107" i="1"/>
  <c r="V107" i="1" s="1"/>
  <c r="S107" i="1"/>
  <c r="AM107" i="1"/>
  <c r="AN107" i="1" s="1"/>
  <c r="U111" i="1"/>
  <c r="V111" i="1" s="1"/>
  <c r="S111" i="1"/>
  <c r="AM111" i="1"/>
  <c r="AN111" i="1" s="1"/>
  <c r="U114" i="1"/>
  <c r="V114" i="1" s="1"/>
  <c r="S114" i="1"/>
  <c r="AM114" i="1"/>
  <c r="AN114" i="1" s="1"/>
  <c r="U118" i="1"/>
  <c r="V118" i="1" s="1"/>
  <c r="S118" i="1"/>
  <c r="AM118" i="1"/>
  <c r="AN118" i="1" s="1"/>
  <c r="U120" i="1"/>
  <c r="V120" i="1" s="1"/>
  <c r="S120" i="1"/>
  <c r="AM120" i="1"/>
  <c r="AN120" i="1" s="1"/>
  <c r="S123" i="1"/>
  <c r="U123" i="1"/>
  <c r="V123" i="1" s="1"/>
  <c r="S133" i="1"/>
  <c r="U133" i="1"/>
  <c r="V133" i="1" s="1"/>
  <c r="AM133" i="1"/>
  <c r="AN133" i="1" s="1"/>
  <c r="S136" i="1"/>
  <c r="U136" i="1"/>
  <c r="V136" i="1" s="1"/>
  <c r="AM136" i="1"/>
  <c r="AN136" i="1" s="1"/>
  <c r="S138" i="1"/>
  <c r="U138" i="1"/>
  <c r="V138" i="1" s="1"/>
  <c r="S142" i="1"/>
  <c r="U142" i="1"/>
  <c r="V142" i="1" s="1"/>
  <c r="S144" i="1"/>
  <c r="U144" i="1"/>
  <c r="V144" i="1" s="1"/>
  <c r="AM144" i="1"/>
  <c r="AN144" i="1" s="1"/>
  <c r="S153" i="1"/>
  <c r="U153" i="1"/>
  <c r="V153" i="1" s="1"/>
  <c r="AM153" i="1"/>
  <c r="AN153" i="1" s="1"/>
  <c r="U127" i="1"/>
  <c r="V127" i="1" s="1"/>
  <c r="S127" i="1"/>
  <c r="U131" i="1"/>
  <c r="V131" i="1" s="1"/>
  <c r="S131" i="1"/>
  <c r="U141" i="1"/>
  <c r="V141" i="1" s="1"/>
  <c r="S141" i="1"/>
  <c r="U146" i="1"/>
  <c r="V146" i="1" s="1"/>
  <c r="S146" i="1"/>
  <c r="U150" i="1"/>
  <c r="V150" i="1" s="1"/>
  <c r="S150" i="1"/>
  <c r="U152" i="1"/>
  <c r="V152" i="1" s="1"/>
  <c r="S152" i="1"/>
  <c r="AM152" i="1"/>
  <c r="AN152" i="1" s="1"/>
  <c r="S156" i="1"/>
  <c r="U156" i="1"/>
  <c r="V156" i="1" s="1"/>
  <c r="AM156" i="1"/>
  <c r="AN156" i="1" s="1"/>
  <c r="S160" i="1"/>
  <c r="U160" i="1"/>
  <c r="V160" i="1" s="1"/>
  <c r="S163" i="1"/>
  <c r="U163" i="1"/>
  <c r="V163" i="1" s="1"/>
  <c r="S167" i="1"/>
  <c r="U167" i="1"/>
  <c r="V167" i="1" s="1"/>
  <c r="S171" i="1"/>
  <c r="AM171" i="1"/>
  <c r="AN171" i="1" s="1"/>
  <c r="S177" i="1"/>
  <c r="U177" i="1"/>
  <c r="V177" i="1" s="1"/>
  <c r="S181" i="1"/>
  <c r="U181" i="1"/>
  <c r="V181" i="1" s="1"/>
  <c r="U157" i="1"/>
  <c r="V157" i="1" s="1"/>
  <c r="S157" i="1"/>
  <c r="AM157" i="1"/>
  <c r="AN157" i="1" s="1"/>
  <c r="U161" i="1"/>
  <c r="V161" i="1" s="1"/>
  <c r="S161" i="1"/>
  <c r="U166" i="1"/>
  <c r="V166" i="1" s="1"/>
  <c r="S166" i="1"/>
  <c r="U172" i="1"/>
  <c r="V172" i="1" s="1"/>
  <c r="S172" i="1"/>
  <c r="AM172" i="1"/>
  <c r="AN172" i="1" s="1"/>
  <c r="U174" i="1"/>
  <c r="V174" i="1" s="1"/>
  <c r="S174" i="1"/>
  <c r="U178" i="1"/>
  <c r="V178" i="1" s="1"/>
  <c r="S178" i="1"/>
  <c r="U182" i="1"/>
  <c r="V182" i="1" s="1"/>
  <c r="S182" i="1"/>
  <c r="S187" i="1"/>
  <c r="U187" i="1"/>
  <c r="V187" i="1" s="1"/>
  <c r="AM187" i="1"/>
  <c r="AN187" i="1" s="1"/>
  <c r="S191" i="1"/>
  <c r="U191" i="1"/>
  <c r="V191" i="1" s="1"/>
  <c r="S196" i="1"/>
  <c r="U196" i="1"/>
  <c r="V196" i="1" s="1"/>
  <c r="AM196" i="1"/>
  <c r="AN196" i="1" s="1"/>
  <c r="U184" i="1"/>
  <c r="V184" i="1" s="1"/>
  <c r="S184" i="1"/>
  <c r="AM184" i="1"/>
  <c r="AN184" i="1" s="1"/>
  <c r="U190" i="1"/>
  <c r="V190" i="1" s="1"/>
  <c r="S190" i="1"/>
  <c r="U195" i="1"/>
  <c r="V195" i="1" s="1"/>
  <c r="S195" i="1"/>
  <c r="AM195" i="1"/>
  <c r="AN195" i="1" s="1"/>
  <c r="U199" i="1"/>
  <c r="V199" i="1" s="1"/>
  <c r="S199" i="1"/>
  <c r="AM199" i="1"/>
  <c r="AN199" i="1" s="1"/>
  <c r="S205" i="1"/>
  <c r="U205" i="1"/>
  <c r="V205" i="1" s="1"/>
  <c r="S210" i="1"/>
  <c r="U210" i="1"/>
  <c r="V210" i="1" s="1"/>
  <c r="AM210" i="1"/>
  <c r="AN210" i="1" s="1"/>
  <c r="S213" i="1"/>
  <c r="U213" i="1"/>
  <c r="V213" i="1" s="1"/>
  <c r="AM213" i="1"/>
  <c r="AN213" i="1" s="1"/>
  <c r="U202" i="1"/>
  <c r="V202" i="1" s="1"/>
  <c r="S202" i="1"/>
  <c r="AM202" i="1"/>
  <c r="AN202" i="1" s="1"/>
  <c r="U207" i="1"/>
  <c r="V207" i="1" s="1"/>
  <c r="S207" i="1"/>
  <c r="U209" i="1"/>
  <c r="V209" i="1" s="1"/>
  <c r="S209" i="1"/>
  <c r="AM209" i="1"/>
  <c r="AN209" i="1" s="1"/>
  <c r="U214" i="1"/>
  <c r="V214" i="1" s="1"/>
  <c r="S214" i="1"/>
  <c r="S218" i="1"/>
  <c r="U218" i="1"/>
  <c r="V218" i="1" s="1"/>
  <c r="AM218" i="1"/>
  <c r="AN218" i="1" s="1"/>
  <c r="U215" i="1"/>
  <c r="V215" i="1" s="1"/>
  <c r="S215" i="1"/>
  <c r="AM215" i="1"/>
  <c r="AN215" i="1" s="1"/>
  <c r="U221" i="1"/>
  <c r="V221" i="1" s="1"/>
  <c r="S221" i="1"/>
  <c r="AM221" i="1"/>
  <c r="AN221" i="1" s="1"/>
  <c r="S226" i="1"/>
  <c r="U226" i="1"/>
  <c r="V226" i="1" s="1"/>
  <c r="AM226" i="1"/>
  <c r="AN226" i="1" s="1"/>
  <c r="S230" i="1"/>
  <c r="U230" i="1"/>
  <c r="V230" i="1" s="1"/>
  <c r="U225" i="1"/>
  <c r="V225" i="1" s="1"/>
  <c r="S225" i="1"/>
  <c r="AM225" i="1"/>
  <c r="AN225" i="1" s="1"/>
  <c r="U229" i="1"/>
  <c r="V229" i="1" s="1"/>
  <c r="S229" i="1"/>
  <c r="S233" i="1"/>
  <c r="U233" i="1"/>
  <c r="V233" i="1" s="1"/>
  <c r="AM30" i="1"/>
  <c r="AN30" i="1" s="1"/>
  <c r="S30" i="1"/>
  <c r="U30" i="1"/>
  <c r="V30" i="1" s="1"/>
  <c r="BC36" i="1"/>
  <c r="BC34" i="1"/>
  <c r="BC32" i="1"/>
  <c r="BC30" i="1"/>
  <c r="BC28" i="1"/>
  <c r="BC35" i="1"/>
  <c r="BC33" i="1"/>
  <c r="BC31" i="1"/>
  <c r="BC29" i="1"/>
  <c r="BC27" i="1"/>
  <c r="BC26" i="1"/>
  <c r="U5" i="1"/>
  <c r="V5" i="1" s="1"/>
  <c r="AM5" i="1"/>
  <c r="AN5" i="1" s="1"/>
  <c r="AS5" i="1" s="1"/>
  <c r="AZ5" i="1" s="1"/>
  <c r="U198" i="1"/>
  <c r="V198" i="1" s="1"/>
  <c r="S198" i="1"/>
  <c r="AM198" i="1"/>
  <c r="AN198" i="1" s="1"/>
  <c r="S188" i="1"/>
  <c r="U188" i="1"/>
  <c r="V188" i="1" s="1"/>
  <c r="AM188" i="1"/>
  <c r="AN188" i="1" s="1"/>
  <c r="U147" i="1"/>
  <c r="V147" i="1" s="1"/>
  <c r="S147" i="1"/>
  <c r="AM147" i="1"/>
  <c r="AN147" i="1" s="1"/>
  <c r="U128" i="1"/>
  <c r="V128" i="1" s="1"/>
  <c r="S128" i="1"/>
  <c r="AM128" i="1"/>
  <c r="AN128" i="1" s="1"/>
  <c r="S83" i="1"/>
  <c r="U83" i="1"/>
  <c r="V83" i="1" s="1"/>
  <c r="AM83" i="1"/>
  <c r="AN83" i="1" s="1"/>
  <c r="S57" i="1"/>
  <c r="U57" i="1"/>
  <c r="V57" i="1" s="1"/>
  <c r="AM57" i="1"/>
  <c r="AN57" i="1" s="1"/>
  <c r="S200" i="1"/>
  <c r="U200" i="1"/>
  <c r="V200" i="1" s="1"/>
  <c r="AM200" i="1"/>
  <c r="AN200" i="1" s="1"/>
  <c r="S92" i="1"/>
  <c r="U92" i="1"/>
  <c r="V92" i="1" s="1"/>
  <c r="AM92" i="1"/>
  <c r="AN92" i="1" s="1"/>
  <c r="S54" i="1"/>
  <c r="U54" i="1"/>
  <c r="V54" i="1" s="1"/>
  <c r="AM54" i="1"/>
  <c r="AN54" i="1" s="1"/>
  <c r="S20" i="1"/>
  <c r="U20" i="1"/>
  <c r="V20" i="1" s="1"/>
  <c r="AM20" i="1"/>
  <c r="AN20" i="1" s="1"/>
  <c r="U4" i="1"/>
  <c r="V4" i="1" s="1"/>
  <c r="S4" i="1"/>
  <c r="S9" i="1"/>
  <c r="U9" i="1"/>
  <c r="V9" i="1" s="1"/>
  <c r="S13" i="1"/>
  <c r="U13" i="1"/>
  <c r="V13" i="1" s="1"/>
  <c r="S21" i="1"/>
  <c r="U21" i="1"/>
  <c r="V21" i="1" s="1"/>
  <c r="AM21" i="1"/>
  <c r="AN21" i="1" s="1"/>
  <c r="S25" i="1"/>
  <c r="U25" i="1"/>
  <c r="V25" i="1" s="1"/>
  <c r="AM25" i="1"/>
  <c r="AN25" i="1" s="1"/>
  <c r="S29" i="1"/>
  <c r="U29" i="1"/>
  <c r="V29" i="1" s="1"/>
  <c r="AM29" i="1"/>
  <c r="AN29" i="1" s="1"/>
  <c r="S33" i="1"/>
  <c r="U33" i="1"/>
  <c r="V33" i="1" s="1"/>
  <c r="AM33" i="1"/>
  <c r="AN33" i="1" s="1"/>
  <c r="S39" i="1"/>
  <c r="U39" i="1"/>
  <c r="V39" i="1" s="1"/>
  <c r="AM39" i="1"/>
  <c r="AN39" i="1" s="1"/>
  <c r="S43" i="1"/>
  <c r="U43" i="1"/>
  <c r="V43" i="1" s="1"/>
  <c r="AM43" i="1"/>
  <c r="AN43" i="1" s="1"/>
  <c r="S46" i="1"/>
  <c r="U46" i="1"/>
  <c r="V46" i="1" s="1"/>
  <c r="S53" i="1"/>
  <c r="U53" i="1"/>
  <c r="V53" i="1" s="1"/>
  <c r="S56" i="1"/>
  <c r="U56" i="1"/>
  <c r="V56" i="1" s="1"/>
  <c r="S62" i="1"/>
  <c r="U62" i="1"/>
  <c r="V62" i="1" s="1"/>
  <c r="BC233" i="1"/>
  <c r="BC231" i="1"/>
  <c r="BC230" i="1"/>
  <c r="BC232" i="1"/>
  <c r="BC229" i="1"/>
  <c r="BC227" i="1"/>
  <c r="BC225" i="1"/>
  <c r="BC224" i="1"/>
  <c r="BC223" i="1"/>
  <c r="BC228" i="1"/>
  <c r="BC226" i="1"/>
  <c r="BC221" i="1"/>
  <c r="BC222" i="1"/>
  <c r="BC220" i="1"/>
  <c r="BC215" i="1"/>
  <c r="BC219" i="1"/>
  <c r="BC218" i="1"/>
  <c r="BC217" i="1"/>
  <c r="BC216" i="1"/>
  <c r="BC214" i="1"/>
  <c r="BC212" i="1"/>
  <c r="BC211" i="1"/>
  <c r="BC209" i="1"/>
  <c r="BC208" i="1"/>
  <c r="BC206" i="1"/>
  <c r="BC205" i="1"/>
  <c r="BC203" i="1"/>
  <c r="BC202" i="1"/>
  <c r="BC201" i="1"/>
  <c r="BC213" i="1"/>
  <c r="BC210" i="1"/>
  <c r="BC207" i="1"/>
  <c r="BC204" i="1"/>
  <c r="BC200" i="1"/>
  <c r="BC199" i="1"/>
  <c r="BC198" i="1"/>
  <c r="BC195" i="1"/>
  <c r="BC193" i="1"/>
  <c r="BC191" i="1"/>
  <c r="BC189" i="1"/>
  <c r="BC186" i="1"/>
  <c r="BC184" i="1"/>
  <c r="BC197" i="1"/>
  <c r="BC196" i="1"/>
  <c r="BC194" i="1"/>
  <c r="BC192" i="1"/>
  <c r="BC190" i="1"/>
  <c r="BC188" i="1"/>
  <c r="BC187" i="1"/>
  <c r="BC185" i="1"/>
  <c r="BC183" i="1"/>
  <c r="BC181" i="1"/>
  <c r="BC179" i="1"/>
  <c r="BC177" i="1"/>
  <c r="BC175" i="1"/>
  <c r="BC172" i="1"/>
  <c r="BC171" i="1"/>
  <c r="BC169" i="1"/>
  <c r="BC167" i="1"/>
  <c r="BC165" i="1"/>
  <c r="BC163" i="1"/>
  <c r="BC162" i="1"/>
  <c r="BC160" i="1"/>
  <c r="BC157" i="1"/>
  <c r="BC155" i="1"/>
  <c r="BC153" i="1"/>
  <c r="BC182" i="1"/>
  <c r="BC180" i="1"/>
  <c r="BC178" i="1"/>
  <c r="BC176" i="1"/>
  <c r="BC174" i="1"/>
  <c r="BC173" i="1"/>
  <c r="BC170" i="1"/>
  <c r="BC168" i="1"/>
  <c r="BC166" i="1"/>
  <c r="BC164" i="1"/>
  <c r="BC161" i="1"/>
  <c r="BC159" i="1"/>
  <c r="BC158" i="1"/>
  <c r="BC156" i="1"/>
  <c r="BC154" i="1"/>
  <c r="BC152" i="1"/>
  <c r="BC151" i="1"/>
  <c r="BC149" i="1"/>
  <c r="BC147" i="1"/>
  <c r="BC142" i="1"/>
  <c r="BC140" i="1"/>
  <c r="BC138" i="1"/>
  <c r="BC135" i="1"/>
  <c r="BC132" i="1"/>
  <c r="BC130" i="1"/>
  <c r="BC129" i="1"/>
  <c r="BC128" i="1"/>
  <c r="BC126" i="1"/>
  <c r="BC125" i="1"/>
  <c r="BC123" i="1"/>
  <c r="BC150" i="1"/>
  <c r="BC148" i="1"/>
  <c r="BC146" i="1"/>
  <c r="BC145" i="1"/>
  <c r="BC144" i="1"/>
  <c r="BC143" i="1"/>
  <c r="BC141" i="1"/>
  <c r="BC139" i="1"/>
  <c r="BC137" i="1"/>
  <c r="BC136" i="1"/>
  <c r="BC134" i="1"/>
  <c r="BC133" i="1"/>
  <c r="BC131" i="1"/>
  <c r="BC124" i="1"/>
  <c r="BC120" i="1"/>
  <c r="BC119" i="1"/>
  <c r="BC118" i="1"/>
  <c r="BC116" i="1"/>
  <c r="BC114" i="1"/>
  <c r="BC113" i="1"/>
  <c r="BC111" i="1"/>
  <c r="BC109" i="1"/>
  <c r="BC107" i="1"/>
  <c r="BC105" i="1"/>
  <c r="BC104" i="1"/>
  <c r="BC102" i="1"/>
  <c r="BC100" i="1"/>
  <c r="BC98" i="1"/>
  <c r="BC96" i="1"/>
  <c r="BC95" i="1"/>
  <c r="BC94" i="1"/>
  <c r="BC93" i="1"/>
  <c r="BC91" i="1"/>
  <c r="BC89" i="1"/>
  <c r="BC88" i="1"/>
  <c r="BC84" i="1"/>
  <c r="BC82" i="1"/>
  <c r="BC79" i="1"/>
  <c r="BC78" i="1"/>
  <c r="BC77" i="1"/>
  <c r="BC76" i="1"/>
  <c r="BC74" i="1"/>
  <c r="BC71" i="1"/>
  <c r="BC69" i="1"/>
  <c r="BC66" i="1"/>
  <c r="BC127" i="1"/>
  <c r="BC122" i="1"/>
  <c r="BC121" i="1"/>
  <c r="BC117" i="1"/>
  <c r="BC115" i="1"/>
  <c r="BC112" i="1"/>
  <c r="BC110" i="1"/>
  <c r="BC108" i="1"/>
  <c r="BC106" i="1"/>
  <c r="BC103" i="1"/>
  <c r="BC101" i="1"/>
  <c r="BC99" i="1"/>
  <c r="BC97" i="1"/>
  <c r="BC92" i="1"/>
  <c r="BC90" i="1"/>
  <c r="BC87" i="1"/>
  <c r="BC86" i="1"/>
  <c r="BC85" i="1"/>
  <c r="BC83" i="1"/>
  <c r="BC81" i="1"/>
  <c r="BC80" i="1"/>
  <c r="BC75" i="1"/>
  <c r="BC73" i="1"/>
  <c r="BC72" i="1"/>
  <c r="BC70" i="1"/>
  <c r="BC68" i="1"/>
  <c r="BC67" i="1"/>
  <c r="BC65" i="1"/>
  <c r="BC63" i="1"/>
  <c r="BC62" i="1"/>
  <c r="BC60" i="1"/>
  <c r="BC58" i="1"/>
  <c r="BC56" i="1"/>
  <c r="BC55" i="1"/>
  <c r="BC53" i="1"/>
  <c r="BC51" i="1"/>
  <c r="BC50" i="1"/>
  <c r="BC48" i="1"/>
  <c r="BC46" i="1"/>
  <c r="BC45" i="1"/>
  <c r="BC44" i="1"/>
  <c r="BC42" i="1"/>
  <c r="BC40" i="1"/>
  <c r="BC38" i="1"/>
  <c r="BC24" i="1"/>
  <c r="BC22" i="1"/>
  <c r="BC19" i="1"/>
  <c r="BC18" i="1"/>
  <c r="BC16" i="1"/>
  <c r="BD16" i="1" s="1"/>
  <c r="BC15" i="1"/>
  <c r="BC11" i="1"/>
  <c r="BC9" i="1"/>
  <c r="BC8" i="1"/>
  <c r="BC64" i="1"/>
  <c r="BC61" i="1"/>
  <c r="BC59" i="1"/>
  <c r="BC57" i="1"/>
  <c r="BC54" i="1"/>
  <c r="BC52" i="1"/>
  <c r="BC49" i="1"/>
  <c r="BC47" i="1"/>
  <c r="BC43" i="1"/>
  <c r="BC41" i="1"/>
  <c r="BC39" i="1"/>
  <c r="BC37" i="1"/>
  <c r="BC25" i="1"/>
  <c r="BC23" i="1"/>
  <c r="BC21" i="1"/>
  <c r="BC20" i="1"/>
  <c r="BC14" i="1"/>
  <c r="BD14" i="1" s="1"/>
  <c r="BC13" i="1"/>
  <c r="BD13" i="1" s="1"/>
  <c r="BC12" i="1"/>
  <c r="BC10" i="1"/>
  <c r="U15" i="1"/>
  <c r="V15" i="1" s="1"/>
  <c r="S15" i="1"/>
  <c r="AM15" i="1"/>
  <c r="AN15" i="1" s="1"/>
  <c r="U19" i="1"/>
  <c r="V19" i="1" s="1"/>
  <c r="S19" i="1"/>
  <c r="AM19" i="1"/>
  <c r="AN19" i="1" s="1"/>
  <c r="U24" i="1"/>
  <c r="V24" i="1" s="1"/>
  <c r="S24" i="1"/>
  <c r="AM24" i="1"/>
  <c r="AN24" i="1" s="1"/>
  <c r="U32" i="1"/>
  <c r="V32" i="1" s="1"/>
  <c r="S32" i="1"/>
  <c r="AM32" i="1"/>
  <c r="AN32" i="1" s="1"/>
  <c r="U36" i="1"/>
  <c r="V36" i="1" s="1"/>
  <c r="S36" i="1"/>
  <c r="AM36" i="1"/>
  <c r="AN36" i="1" s="1"/>
  <c r="U38" i="1"/>
  <c r="V38" i="1" s="1"/>
  <c r="S38" i="1"/>
  <c r="AM38" i="1"/>
  <c r="AN38" i="1" s="1"/>
  <c r="U42" i="1"/>
  <c r="V42" i="1" s="1"/>
  <c r="S42" i="1"/>
  <c r="AM42" i="1"/>
  <c r="AN42" i="1" s="1"/>
  <c r="U47" i="1"/>
  <c r="V47" i="1" s="1"/>
  <c r="S47" i="1"/>
  <c r="U50" i="1"/>
  <c r="V50" i="1" s="1"/>
  <c r="S50" i="1"/>
  <c r="AM50" i="1"/>
  <c r="AN50" i="1" s="1"/>
  <c r="U58" i="1"/>
  <c r="V58" i="1" s="1"/>
  <c r="S58" i="1"/>
  <c r="AM58" i="1"/>
  <c r="AN58" i="1" s="1"/>
  <c r="S63" i="1"/>
  <c r="U63" i="1"/>
  <c r="V63" i="1" s="1"/>
  <c r="AM63" i="1"/>
  <c r="AN63" i="1" s="1"/>
  <c r="S67" i="1"/>
  <c r="U67" i="1"/>
  <c r="V67" i="1" s="1"/>
  <c r="AM67" i="1"/>
  <c r="AN67" i="1" s="1"/>
  <c r="S71" i="1"/>
  <c r="U71" i="1"/>
  <c r="V71" i="1" s="1"/>
  <c r="S80" i="1"/>
  <c r="U80" i="1"/>
  <c r="V80" i="1" s="1"/>
  <c r="AM80" i="1"/>
  <c r="AN80" i="1" s="1"/>
  <c r="S85" i="1"/>
  <c r="U85" i="1"/>
  <c r="V85" i="1" s="1"/>
  <c r="AM85" i="1"/>
  <c r="AN85" i="1" s="1"/>
  <c r="S89" i="1"/>
  <c r="U89" i="1"/>
  <c r="V89" i="1" s="1"/>
  <c r="S97" i="1"/>
  <c r="U97" i="1"/>
  <c r="V97" i="1" s="1"/>
  <c r="AM97" i="1"/>
  <c r="AN97" i="1" s="1"/>
  <c r="S101" i="1"/>
  <c r="U101" i="1"/>
  <c r="V101" i="1" s="1"/>
  <c r="AM101" i="1"/>
  <c r="AN101" i="1" s="1"/>
  <c r="S106" i="1"/>
  <c r="U106" i="1"/>
  <c r="V106" i="1" s="1"/>
  <c r="AM106" i="1"/>
  <c r="AN106" i="1" s="1"/>
  <c r="S110" i="1"/>
  <c r="U110" i="1"/>
  <c r="V110" i="1" s="1"/>
  <c r="AM110" i="1"/>
  <c r="AN110" i="1" s="1"/>
  <c r="S115" i="1"/>
  <c r="U115" i="1"/>
  <c r="V115" i="1" s="1"/>
  <c r="AM115" i="1"/>
  <c r="AN115" i="1" s="1"/>
  <c r="S121" i="1"/>
  <c r="U121" i="1"/>
  <c r="V121" i="1" s="1"/>
  <c r="AM121" i="1"/>
  <c r="AN121" i="1" s="1"/>
  <c r="S126" i="1"/>
  <c r="U126" i="1"/>
  <c r="V126" i="1" s="1"/>
  <c r="U68" i="1"/>
  <c r="V68" i="1" s="1"/>
  <c r="S68" i="1"/>
  <c r="U72" i="1"/>
  <c r="V72" i="1" s="1"/>
  <c r="S72" i="1"/>
  <c r="U75" i="1"/>
  <c r="V75" i="1" s="1"/>
  <c r="S75" i="1"/>
  <c r="U77" i="1"/>
  <c r="V77" i="1" s="1"/>
  <c r="S77" i="1"/>
  <c r="AM77" i="1"/>
  <c r="AN77" i="1" s="1"/>
  <c r="U79" i="1"/>
  <c r="V79" i="1" s="1"/>
  <c r="S79" i="1"/>
  <c r="AM79" i="1"/>
  <c r="AN79" i="1" s="1"/>
  <c r="U88" i="1"/>
  <c r="V88" i="1" s="1"/>
  <c r="S88" i="1"/>
  <c r="AM88" i="1"/>
  <c r="AN88" i="1" s="1"/>
  <c r="U93" i="1"/>
  <c r="V93" i="1" s="1"/>
  <c r="S93" i="1"/>
  <c r="AM93" i="1"/>
  <c r="AN93" i="1" s="1"/>
  <c r="U95" i="1"/>
  <c r="V95" i="1" s="1"/>
  <c r="S95" i="1"/>
  <c r="AM95" i="1"/>
  <c r="AN95" i="1" s="1"/>
  <c r="U98" i="1"/>
  <c r="V98" i="1" s="1"/>
  <c r="S98" i="1"/>
  <c r="AM98" i="1"/>
  <c r="AN98" i="1" s="1"/>
  <c r="U102" i="1"/>
  <c r="V102" i="1" s="1"/>
  <c r="S102" i="1"/>
  <c r="AM102" i="1"/>
  <c r="AN102" i="1" s="1"/>
  <c r="U105" i="1"/>
  <c r="V105" i="1" s="1"/>
  <c r="S105" i="1"/>
  <c r="AM105" i="1"/>
  <c r="AN105" i="1" s="1"/>
  <c r="U109" i="1"/>
  <c r="V109" i="1" s="1"/>
  <c r="S109" i="1"/>
  <c r="AM109" i="1"/>
  <c r="AN109" i="1" s="1"/>
  <c r="U113" i="1"/>
  <c r="V113" i="1" s="1"/>
  <c r="S113" i="1"/>
  <c r="AM113" i="1"/>
  <c r="AN113" i="1" s="1"/>
  <c r="U116" i="1"/>
  <c r="V116" i="1" s="1"/>
  <c r="S116" i="1"/>
  <c r="AM116" i="1"/>
  <c r="AN116" i="1" s="1"/>
  <c r="U119" i="1"/>
  <c r="V119" i="1" s="1"/>
  <c r="S119" i="1"/>
  <c r="AM119" i="1"/>
  <c r="AN119" i="1" s="1"/>
  <c r="U122" i="1"/>
  <c r="V122" i="1" s="1"/>
  <c r="S122" i="1"/>
  <c r="S130" i="1"/>
  <c r="U130" i="1"/>
  <c r="V130" i="1" s="1"/>
  <c r="S134" i="1"/>
  <c r="U134" i="1"/>
  <c r="V134" i="1" s="1"/>
  <c r="AM134" i="1"/>
  <c r="AN134" i="1" s="1"/>
  <c r="S137" i="1"/>
  <c r="U137" i="1"/>
  <c r="V137" i="1" s="1"/>
  <c r="AM137" i="1"/>
  <c r="AN137" i="1" s="1"/>
  <c r="S140" i="1"/>
  <c r="U140" i="1"/>
  <c r="V140" i="1" s="1"/>
  <c r="S143" i="1"/>
  <c r="U143" i="1"/>
  <c r="V143" i="1" s="1"/>
  <c r="AM143" i="1"/>
  <c r="AN143" i="1" s="1"/>
  <c r="S149" i="1"/>
  <c r="U149" i="1"/>
  <c r="V149" i="1" s="1"/>
  <c r="U124" i="1"/>
  <c r="V124" i="1" s="1"/>
  <c r="S124" i="1"/>
  <c r="U129" i="1"/>
  <c r="V129" i="1" s="1"/>
  <c r="S129" i="1"/>
  <c r="AM129" i="1"/>
  <c r="AN129" i="1" s="1"/>
  <c r="U139" i="1"/>
  <c r="V139" i="1" s="1"/>
  <c r="S139" i="1"/>
  <c r="U145" i="1"/>
  <c r="V145" i="1" s="1"/>
  <c r="S145" i="1"/>
  <c r="U148" i="1"/>
  <c r="V148" i="1" s="1"/>
  <c r="S148" i="1"/>
  <c r="U151" i="1"/>
  <c r="V151" i="1" s="1"/>
  <c r="S151" i="1"/>
  <c r="AM151" i="1"/>
  <c r="AN151" i="1" s="1"/>
  <c r="S154" i="1"/>
  <c r="U154" i="1"/>
  <c r="V154" i="1" s="1"/>
  <c r="AM154" i="1"/>
  <c r="AN154" i="1" s="1"/>
  <c r="S158" i="1"/>
  <c r="U158" i="1"/>
  <c r="V158" i="1" s="1"/>
  <c r="AM158" i="1"/>
  <c r="AN158" i="1" s="1"/>
  <c r="S162" i="1"/>
  <c r="U162" i="1"/>
  <c r="V162" i="1" s="1"/>
  <c r="S165" i="1"/>
  <c r="U165" i="1"/>
  <c r="V165" i="1" s="1"/>
  <c r="S169" i="1"/>
  <c r="U169" i="1"/>
  <c r="V169" i="1" s="1"/>
  <c r="S175" i="1"/>
  <c r="U175" i="1"/>
  <c r="V175" i="1" s="1"/>
  <c r="S179" i="1"/>
  <c r="U179" i="1"/>
  <c r="V179" i="1" s="1"/>
  <c r="U155" i="1"/>
  <c r="V155" i="1" s="1"/>
  <c r="S155" i="1"/>
  <c r="AM155" i="1"/>
  <c r="AN155" i="1" s="1"/>
  <c r="U159" i="1"/>
  <c r="V159" i="1" s="1"/>
  <c r="S159" i="1"/>
  <c r="U164" i="1"/>
  <c r="V164" i="1" s="1"/>
  <c r="S164" i="1"/>
  <c r="U168" i="1"/>
  <c r="V168" i="1" s="1"/>
  <c r="S168" i="1"/>
  <c r="U173" i="1"/>
  <c r="V173" i="1" s="1"/>
  <c r="S173" i="1"/>
  <c r="U176" i="1"/>
  <c r="V176" i="1" s="1"/>
  <c r="S176" i="1"/>
  <c r="U180" i="1"/>
  <c r="V180" i="1" s="1"/>
  <c r="S180" i="1"/>
  <c r="S185" i="1"/>
  <c r="U185" i="1"/>
  <c r="V185" i="1" s="1"/>
  <c r="AM185" i="1"/>
  <c r="AN185" i="1" s="1"/>
  <c r="S189" i="1"/>
  <c r="U189" i="1"/>
  <c r="V189" i="1" s="1"/>
  <c r="S193" i="1"/>
  <c r="U193" i="1"/>
  <c r="V193" i="1" s="1"/>
  <c r="U183" i="1"/>
  <c r="V183" i="1" s="1"/>
  <c r="S183" i="1"/>
  <c r="U186" i="1"/>
  <c r="V186" i="1" s="1"/>
  <c r="S186" i="1"/>
  <c r="AM186" i="1"/>
  <c r="AN186" i="1" s="1"/>
  <c r="U192" i="1"/>
  <c r="V192" i="1" s="1"/>
  <c r="S192" i="1"/>
  <c r="U197" i="1"/>
  <c r="V197" i="1" s="1"/>
  <c r="S197" i="1"/>
  <c r="S203" i="1"/>
  <c r="U203" i="1"/>
  <c r="V203" i="1" s="1"/>
  <c r="S206" i="1"/>
  <c r="U206" i="1"/>
  <c r="V206" i="1" s="1"/>
  <c r="S212" i="1"/>
  <c r="U212" i="1"/>
  <c r="V212" i="1" s="1"/>
  <c r="U201" i="1"/>
  <c r="V201" i="1" s="1"/>
  <c r="S201" i="1"/>
  <c r="AM201" i="1"/>
  <c r="AN201" i="1" s="1"/>
  <c r="U204" i="1"/>
  <c r="V204" i="1" s="1"/>
  <c r="S204" i="1"/>
  <c r="U208" i="1"/>
  <c r="V208" i="1" s="1"/>
  <c r="S208" i="1"/>
  <c r="AM208" i="1"/>
  <c r="AN208" i="1" s="1"/>
  <c r="U211" i="1"/>
  <c r="V211" i="1" s="1"/>
  <c r="S211" i="1"/>
  <c r="AM211" i="1"/>
  <c r="AN211" i="1" s="1"/>
  <c r="S216" i="1"/>
  <c r="U216" i="1"/>
  <c r="V216" i="1" s="1"/>
  <c r="AM216" i="1"/>
  <c r="AN216" i="1" s="1"/>
  <c r="S223" i="1"/>
  <c r="U223" i="1"/>
  <c r="V223" i="1" s="1"/>
  <c r="AM223" i="1"/>
  <c r="AN223" i="1" s="1"/>
  <c r="U220" i="1"/>
  <c r="V220" i="1" s="1"/>
  <c r="S220" i="1"/>
  <c r="AM220" i="1"/>
  <c r="AN220" i="1" s="1"/>
  <c r="S222" i="1"/>
  <c r="AM222" i="1"/>
  <c r="AN222" i="1" s="1"/>
  <c r="U222" i="1"/>
  <c r="V222" i="1" s="1"/>
  <c r="S228" i="1"/>
  <c r="U228" i="1"/>
  <c r="V228" i="1" s="1"/>
  <c r="AM228" i="1"/>
  <c r="AN228" i="1" s="1"/>
  <c r="U224" i="1"/>
  <c r="V224" i="1" s="1"/>
  <c r="S224" i="1"/>
  <c r="AM224" i="1"/>
  <c r="AN224" i="1" s="1"/>
  <c r="U227" i="1"/>
  <c r="V227" i="1" s="1"/>
  <c r="S227" i="1"/>
  <c r="AM227" i="1"/>
  <c r="AN227" i="1" s="1"/>
  <c r="S231" i="1"/>
  <c r="U231" i="1"/>
  <c r="V231" i="1" s="1"/>
  <c r="U232" i="1"/>
  <c r="V232" i="1" s="1"/>
  <c r="S232" i="1"/>
  <c r="AA231" i="1" l="1"/>
  <c r="AJ231" i="1" s="1"/>
  <c r="AK231" i="1" s="1"/>
  <c r="BD231" i="1" s="1"/>
  <c r="AA204" i="1"/>
  <c r="AJ204" i="1" s="1"/>
  <c r="AK204" i="1" s="1"/>
  <c r="BD204" i="1" s="1"/>
  <c r="AA212" i="1"/>
  <c r="AJ212" i="1" s="1"/>
  <c r="AK212" i="1" s="1"/>
  <c r="BD212" i="1" s="1"/>
  <c r="AA206" i="1"/>
  <c r="AJ206" i="1" s="1"/>
  <c r="AK206" i="1" s="1"/>
  <c r="BD206" i="1" s="1"/>
  <c r="AA203" i="1"/>
  <c r="AJ203" i="1" s="1"/>
  <c r="AK203" i="1" s="1"/>
  <c r="BD203" i="1" s="1"/>
  <c r="AA183" i="1"/>
  <c r="AJ183" i="1" s="1"/>
  <c r="AK183" i="1" s="1"/>
  <c r="BD183" i="1" s="1"/>
  <c r="AA229" i="1"/>
  <c r="AJ229" i="1" s="1"/>
  <c r="AK229" i="1" s="1"/>
  <c r="BD229" i="1" s="1"/>
  <c r="AA124" i="1"/>
  <c r="AJ124" i="1" s="1"/>
  <c r="AK124" i="1" s="1"/>
  <c r="BD124" i="1" s="1"/>
  <c r="AA140" i="1"/>
  <c r="AJ140" i="1" s="1"/>
  <c r="AK140" i="1" s="1"/>
  <c r="BD140" i="1" s="1"/>
  <c r="AA130" i="1"/>
  <c r="AJ130" i="1" s="1"/>
  <c r="AK130" i="1" s="1"/>
  <c r="BD130" i="1" s="1"/>
  <c r="AA126" i="1"/>
  <c r="AJ126" i="1" s="1"/>
  <c r="AK126" i="1" s="1"/>
  <c r="BD126" i="1" s="1"/>
  <c r="AA89" i="1"/>
  <c r="AJ89" i="1" s="1"/>
  <c r="AK89" i="1" s="1"/>
  <c r="BD89" i="1" s="1"/>
  <c r="AA4" i="1"/>
  <c r="AJ4" i="1" s="1"/>
  <c r="AK4" i="1" s="1"/>
  <c r="BD4" i="1" s="1"/>
  <c r="AA230" i="1"/>
  <c r="AJ230" i="1" s="1"/>
  <c r="AK230" i="1" s="1"/>
  <c r="BD230" i="1" s="1"/>
  <c r="AA207" i="1"/>
  <c r="AJ207" i="1" s="1"/>
  <c r="AK207" i="1" s="1"/>
  <c r="AA205" i="1"/>
  <c r="AJ205" i="1" s="1"/>
  <c r="AK205" i="1" s="1"/>
  <c r="BD205" i="1" s="1"/>
  <c r="AA191" i="1"/>
  <c r="AJ191" i="1" s="1"/>
  <c r="AK191" i="1" s="1"/>
  <c r="BD191" i="1" s="1"/>
  <c r="AA182" i="1"/>
  <c r="AJ182" i="1" s="1"/>
  <c r="AK182" i="1" s="1"/>
  <c r="BD182" i="1" s="1"/>
  <c r="AA178" i="1"/>
  <c r="AJ178" i="1" s="1"/>
  <c r="AK178" i="1" s="1"/>
  <c r="AA174" i="1"/>
  <c r="AJ174" i="1" s="1"/>
  <c r="AK174" i="1" s="1"/>
  <c r="BD174" i="1" s="1"/>
  <c r="AA150" i="1"/>
  <c r="AJ150" i="1" s="1"/>
  <c r="AK150" i="1" s="1"/>
  <c r="AA146" i="1"/>
  <c r="AJ146" i="1" s="1"/>
  <c r="AK146" i="1" s="1"/>
  <c r="AA141" i="1"/>
  <c r="AJ141" i="1" s="1"/>
  <c r="AK141" i="1" s="1"/>
  <c r="AA131" i="1"/>
  <c r="AJ131" i="1" s="1"/>
  <c r="AK131" i="1" s="1"/>
  <c r="BD131" i="1" s="1"/>
  <c r="AA127" i="1"/>
  <c r="AJ127" i="1" s="1"/>
  <c r="AK127" i="1" s="1"/>
  <c r="AA73" i="1"/>
  <c r="AJ73" i="1" s="1"/>
  <c r="AK73" i="1" s="1"/>
  <c r="AA70" i="1"/>
  <c r="AJ70" i="1" s="1"/>
  <c r="AK70" i="1" s="1"/>
  <c r="AA125" i="1"/>
  <c r="AJ125" i="1" s="1"/>
  <c r="AK125" i="1" s="1"/>
  <c r="AA82" i="1"/>
  <c r="AJ82" i="1" s="1"/>
  <c r="AK82" i="1" s="1"/>
  <c r="AA74" i="1"/>
  <c r="AJ74" i="1" s="1"/>
  <c r="AK74" i="1" s="1"/>
  <c r="BD74" i="1" s="1"/>
  <c r="AA69" i="1"/>
  <c r="AJ69" i="1" s="1"/>
  <c r="AK69" i="1" s="1"/>
  <c r="AA61" i="1"/>
  <c r="AJ61" i="1" s="1"/>
  <c r="AK61" i="1" s="1"/>
  <c r="BD61" i="1" s="1"/>
  <c r="AA10" i="1"/>
  <c r="AJ10" i="1" s="1"/>
  <c r="AK10" i="1" s="1"/>
  <c r="AA60" i="1"/>
  <c r="AJ60" i="1" s="1"/>
  <c r="AK60" i="1" s="1"/>
  <c r="AA55" i="1"/>
  <c r="AJ55" i="1" s="1"/>
  <c r="AK55" i="1" s="1"/>
  <c r="AA48" i="1"/>
  <c r="AJ48" i="1" s="1"/>
  <c r="AK48" i="1" s="1"/>
  <c r="AA45" i="1"/>
  <c r="AJ45" i="1" s="1"/>
  <c r="AK45" i="1" s="1"/>
  <c r="AA71" i="1"/>
  <c r="AJ71" i="1" s="1"/>
  <c r="AK71" i="1" s="1"/>
  <c r="BD71" i="1" s="1"/>
  <c r="AA232" i="1"/>
  <c r="AJ232" i="1" s="1"/>
  <c r="AK232" i="1" s="1"/>
  <c r="BD232" i="1" s="1"/>
  <c r="AA224" i="1"/>
  <c r="AJ224" i="1" s="1"/>
  <c r="AK224" i="1" s="1"/>
  <c r="AS224" i="1"/>
  <c r="AZ224" i="1" s="1"/>
  <c r="BA224" i="1" s="1"/>
  <c r="BB224" i="1" s="1"/>
  <c r="BK224" i="1"/>
  <c r="BL224" i="1" s="1"/>
  <c r="BM224" i="1" s="1"/>
  <c r="AA228" i="1"/>
  <c r="AJ228" i="1" s="1"/>
  <c r="AK228" i="1" s="1"/>
  <c r="AS228" i="1"/>
  <c r="AZ228" i="1" s="1"/>
  <c r="BA228" i="1" s="1"/>
  <c r="BB228" i="1" s="1"/>
  <c r="BK228" i="1"/>
  <c r="BL228" i="1" s="1"/>
  <c r="BM228" i="1" s="1"/>
  <c r="BN228" i="1" s="1"/>
  <c r="AA216" i="1"/>
  <c r="AJ216" i="1" s="1"/>
  <c r="AK216" i="1" s="1"/>
  <c r="BK216" i="1"/>
  <c r="BL216" i="1" s="1"/>
  <c r="BM216" i="1" s="1"/>
  <c r="AS216" i="1"/>
  <c r="AZ216" i="1" s="1"/>
  <c r="BA216" i="1" s="1"/>
  <c r="BB216" i="1" s="1"/>
  <c r="AA211" i="1"/>
  <c r="AJ211" i="1" s="1"/>
  <c r="AK211" i="1" s="1"/>
  <c r="AS211" i="1"/>
  <c r="AZ211" i="1" s="1"/>
  <c r="BA211" i="1" s="1"/>
  <c r="BB211" i="1" s="1"/>
  <c r="BK211" i="1"/>
  <c r="BL211" i="1" s="1"/>
  <c r="BM211" i="1" s="1"/>
  <c r="AA201" i="1"/>
  <c r="AJ201" i="1" s="1"/>
  <c r="AK201" i="1" s="1"/>
  <c r="AS201" i="1"/>
  <c r="AZ201" i="1" s="1"/>
  <c r="BA201" i="1" s="1"/>
  <c r="BB201" i="1" s="1"/>
  <c r="BK201" i="1"/>
  <c r="BL201" i="1" s="1"/>
  <c r="BM201" i="1" s="1"/>
  <c r="BN201" i="1" s="1"/>
  <c r="AA197" i="1"/>
  <c r="AJ197" i="1" s="1"/>
  <c r="AK197" i="1" s="1"/>
  <c r="BD197" i="1" s="1"/>
  <c r="AA192" i="1"/>
  <c r="AJ192" i="1" s="1"/>
  <c r="AK192" i="1" s="1"/>
  <c r="BD192" i="1" s="1"/>
  <c r="AA193" i="1"/>
  <c r="AJ193" i="1" s="1"/>
  <c r="AK193" i="1" s="1"/>
  <c r="BD193" i="1" s="1"/>
  <c r="AA189" i="1"/>
  <c r="AJ189" i="1" s="1"/>
  <c r="AK189" i="1" s="1"/>
  <c r="BD189" i="1" s="1"/>
  <c r="AA180" i="1"/>
  <c r="AJ180" i="1" s="1"/>
  <c r="AK180" i="1" s="1"/>
  <c r="BD180" i="1" s="1"/>
  <c r="AA176" i="1"/>
  <c r="AJ176" i="1" s="1"/>
  <c r="AK176" i="1" s="1"/>
  <c r="BD176" i="1" s="1"/>
  <c r="AA173" i="1"/>
  <c r="AJ173" i="1" s="1"/>
  <c r="AK173" i="1" s="1"/>
  <c r="BD173" i="1" s="1"/>
  <c r="AA168" i="1"/>
  <c r="AJ168" i="1" s="1"/>
  <c r="AK168" i="1" s="1"/>
  <c r="BD168" i="1" s="1"/>
  <c r="AA164" i="1"/>
  <c r="AJ164" i="1" s="1"/>
  <c r="AK164" i="1" s="1"/>
  <c r="BD164" i="1" s="1"/>
  <c r="AA159" i="1"/>
  <c r="AJ159" i="1" s="1"/>
  <c r="AK159" i="1" s="1"/>
  <c r="BD159" i="1" s="1"/>
  <c r="AA179" i="1"/>
  <c r="AJ179" i="1" s="1"/>
  <c r="AK179" i="1" s="1"/>
  <c r="BD179" i="1" s="1"/>
  <c r="AA175" i="1"/>
  <c r="AJ175" i="1" s="1"/>
  <c r="AK175" i="1" s="1"/>
  <c r="BD175" i="1" s="1"/>
  <c r="AA169" i="1"/>
  <c r="AJ169" i="1" s="1"/>
  <c r="AK169" i="1" s="1"/>
  <c r="BD169" i="1" s="1"/>
  <c r="AA165" i="1"/>
  <c r="AJ165" i="1" s="1"/>
  <c r="AK165" i="1" s="1"/>
  <c r="BD165" i="1" s="1"/>
  <c r="AA162" i="1"/>
  <c r="AJ162" i="1" s="1"/>
  <c r="AK162" i="1" s="1"/>
  <c r="BD162" i="1" s="1"/>
  <c r="AA154" i="1"/>
  <c r="AJ154" i="1" s="1"/>
  <c r="AK154" i="1" s="1"/>
  <c r="AS154" i="1"/>
  <c r="AZ154" i="1" s="1"/>
  <c r="BA154" i="1" s="1"/>
  <c r="BB154" i="1" s="1"/>
  <c r="BK154" i="1"/>
  <c r="BL154" i="1" s="1"/>
  <c r="BM154" i="1" s="1"/>
  <c r="BN154" i="1" s="1"/>
  <c r="AA151" i="1"/>
  <c r="AJ151" i="1" s="1"/>
  <c r="AK151" i="1" s="1"/>
  <c r="BK151" i="1"/>
  <c r="BL151" i="1" s="1"/>
  <c r="BM151" i="1" s="1"/>
  <c r="AS151" i="1"/>
  <c r="AZ151" i="1" s="1"/>
  <c r="BA151" i="1" s="1"/>
  <c r="BB151" i="1" s="1"/>
  <c r="AA148" i="1"/>
  <c r="AJ148" i="1" s="1"/>
  <c r="AK148" i="1" s="1"/>
  <c r="BD148" i="1" s="1"/>
  <c r="AA145" i="1"/>
  <c r="AJ145" i="1" s="1"/>
  <c r="AK145" i="1" s="1"/>
  <c r="BD145" i="1" s="1"/>
  <c r="AA139" i="1"/>
  <c r="AJ139" i="1" s="1"/>
  <c r="AK139" i="1" s="1"/>
  <c r="BD139" i="1" s="1"/>
  <c r="AA149" i="1"/>
  <c r="AJ149" i="1" s="1"/>
  <c r="AK149" i="1" s="1"/>
  <c r="BD149" i="1" s="1"/>
  <c r="AA137" i="1"/>
  <c r="AJ137" i="1" s="1"/>
  <c r="AK137" i="1" s="1"/>
  <c r="AS137" i="1"/>
  <c r="AZ137" i="1" s="1"/>
  <c r="BA137" i="1" s="1"/>
  <c r="BB137" i="1" s="1"/>
  <c r="BK137" i="1"/>
  <c r="BL137" i="1" s="1"/>
  <c r="BM137" i="1" s="1"/>
  <c r="AA122" i="1"/>
  <c r="AJ122" i="1" s="1"/>
  <c r="AK122" i="1" s="1"/>
  <c r="BD122" i="1" s="1"/>
  <c r="AA116" i="1"/>
  <c r="AJ116" i="1" s="1"/>
  <c r="AK116" i="1" s="1"/>
  <c r="AS116" i="1"/>
  <c r="AZ116" i="1" s="1"/>
  <c r="BA116" i="1" s="1"/>
  <c r="BB116" i="1" s="1"/>
  <c r="BK116" i="1"/>
  <c r="BL116" i="1" s="1"/>
  <c r="BM116" i="1" s="1"/>
  <c r="BN116" i="1" s="1"/>
  <c r="AA109" i="1"/>
  <c r="AJ109" i="1" s="1"/>
  <c r="AK109" i="1" s="1"/>
  <c r="AS109" i="1"/>
  <c r="AZ109" i="1" s="1"/>
  <c r="BA109" i="1" s="1"/>
  <c r="BB109" i="1" s="1"/>
  <c r="BK109" i="1"/>
  <c r="BL109" i="1" s="1"/>
  <c r="BM109" i="1" s="1"/>
  <c r="AA102" i="1"/>
  <c r="AJ102" i="1" s="1"/>
  <c r="AK102" i="1" s="1"/>
  <c r="AS102" i="1"/>
  <c r="AZ102" i="1" s="1"/>
  <c r="BA102" i="1" s="1"/>
  <c r="BB102" i="1" s="1"/>
  <c r="BK102" i="1"/>
  <c r="BL102" i="1" s="1"/>
  <c r="BM102" i="1" s="1"/>
  <c r="BN102" i="1" s="1"/>
  <c r="AA95" i="1"/>
  <c r="AJ95" i="1" s="1"/>
  <c r="AK95" i="1" s="1"/>
  <c r="AS95" i="1"/>
  <c r="AZ95" i="1" s="1"/>
  <c r="BA95" i="1" s="1"/>
  <c r="BB95" i="1" s="1"/>
  <c r="BK95" i="1"/>
  <c r="BL95" i="1" s="1"/>
  <c r="BM95" i="1" s="1"/>
  <c r="BN95" i="1" s="1"/>
  <c r="AA88" i="1"/>
  <c r="AJ88" i="1" s="1"/>
  <c r="AK88" i="1" s="1"/>
  <c r="AS88" i="1"/>
  <c r="AZ88" i="1" s="1"/>
  <c r="BA88" i="1" s="1"/>
  <c r="BB88" i="1" s="1"/>
  <c r="BK88" i="1"/>
  <c r="BL88" i="1" s="1"/>
  <c r="BM88" i="1" s="1"/>
  <c r="AA77" i="1"/>
  <c r="AJ77" i="1" s="1"/>
  <c r="AK77" i="1" s="1"/>
  <c r="AS77" i="1"/>
  <c r="AZ77" i="1" s="1"/>
  <c r="BA77" i="1" s="1"/>
  <c r="BB77" i="1" s="1"/>
  <c r="BK77" i="1"/>
  <c r="BL77" i="1" s="1"/>
  <c r="BM77" i="1" s="1"/>
  <c r="AA75" i="1"/>
  <c r="AJ75" i="1" s="1"/>
  <c r="AK75" i="1" s="1"/>
  <c r="BD75" i="1" s="1"/>
  <c r="AA72" i="1"/>
  <c r="AJ72" i="1" s="1"/>
  <c r="AK72" i="1" s="1"/>
  <c r="BD72" i="1" s="1"/>
  <c r="AA68" i="1"/>
  <c r="AJ68" i="1" s="1"/>
  <c r="AK68" i="1" s="1"/>
  <c r="BD68" i="1" s="1"/>
  <c r="AA121" i="1"/>
  <c r="AJ121" i="1" s="1"/>
  <c r="AK121" i="1" s="1"/>
  <c r="AS121" i="1"/>
  <c r="AZ121" i="1" s="1"/>
  <c r="BA121" i="1" s="1"/>
  <c r="BB121" i="1" s="1"/>
  <c r="BK121" i="1"/>
  <c r="BL121" i="1" s="1"/>
  <c r="BM121" i="1" s="1"/>
  <c r="AA110" i="1"/>
  <c r="AJ110" i="1" s="1"/>
  <c r="AK110" i="1" s="1"/>
  <c r="BK110" i="1"/>
  <c r="BL110" i="1" s="1"/>
  <c r="BM110" i="1" s="1"/>
  <c r="AS110" i="1"/>
  <c r="AZ110" i="1" s="1"/>
  <c r="BA110" i="1" s="1"/>
  <c r="BB110" i="1" s="1"/>
  <c r="AA101" i="1"/>
  <c r="AJ101" i="1" s="1"/>
  <c r="AK101" i="1" s="1"/>
  <c r="AS101" i="1"/>
  <c r="AZ101" i="1" s="1"/>
  <c r="BA101" i="1" s="1"/>
  <c r="BB101" i="1" s="1"/>
  <c r="BK101" i="1"/>
  <c r="BL101" i="1" s="1"/>
  <c r="BM101" i="1" s="1"/>
  <c r="AA85" i="1"/>
  <c r="AJ85" i="1" s="1"/>
  <c r="AK85" i="1" s="1"/>
  <c r="BK85" i="1"/>
  <c r="BL85" i="1" s="1"/>
  <c r="BM85" i="1" s="1"/>
  <c r="AS85" i="1"/>
  <c r="AZ85" i="1" s="1"/>
  <c r="BA85" i="1" s="1"/>
  <c r="BB85" i="1" s="1"/>
  <c r="AA67" i="1"/>
  <c r="AJ67" i="1" s="1"/>
  <c r="AK67" i="1" s="1"/>
  <c r="BK67" i="1"/>
  <c r="BL67" i="1" s="1"/>
  <c r="BM67" i="1" s="1"/>
  <c r="AS67" i="1"/>
  <c r="AZ67" i="1" s="1"/>
  <c r="BA67" i="1" s="1"/>
  <c r="BB67" i="1" s="1"/>
  <c r="AA50" i="1"/>
  <c r="AJ50" i="1" s="1"/>
  <c r="AK50" i="1" s="1"/>
  <c r="AS50" i="1"/>
  <c r="AZ50" i="1" s="1"/>
  <c r="BA50" i="1" s="1"/>
  <c r="BB50" i="1" s="1"/>
  <c r="BK50" i="1"/>
  <c r="BL50" i="1" s="1"/>
  <c r="BM50" i="1" s="1"/>
  <c r="AA47" i="1"/>
  <c r="AJ47" i="1" s="1"/>
  <c r="AK47" i="1" s="1"/>
  <c r="BD47" i="1" s="1"/>
  <c r="AA38" i="1"/>
  <c r="AJ38" i="1" s="1"/>
  <c r="AK38" i="1" s="1"/>
  <c r="AS38" i="1"/>
  <c r="AZ38" i="1" s="1"/>
  <c r="BA38" i="1" s="1"/>
  <c r="BB38" i="1" s="1"/>
  <c r="BK38" i="1"/>
  <c r="BL38" i="1" s="1"/>
  <c r="BM38" i="1" s="1"/>
  <c r="BN38" i="1" s="1"/>
  <c r="AA32" i="1"/>
  <c r="AJ32" i="1" s="1"/>
  <c r="AK32" i="1" s="1"/>
  <c r="AS32" i="1"/>
  <c r="AZ32" i="1" s="1"/>
  <c r="BA32" i="1" s="1"/>
  <c r="BB32" i="1" s="1"/>
  <c r="BK32" i="1"/>
  <c r="BL32" i="1" s="1"/>
  <c r="BM32" i="1" s="1"/>
  <c r="AA19" i="1"/>
  <c r="AJ19" i="1" s="1"/>
  <c r="AK19" i="1" s="1"/>
  <c r="AS19" i="1"/>
  <c r="AZ19" i="1" s="1"/>
  <c r="BA19" i="1" s="1"/>
  <c r="BB19" i="1" s="1"/>
  <c r="BK19" i="1"/>
  <c r="BL19" i="1" s="1"/>
  <c r="BM19" i="1" s="1"/>
  <c r="AA62" i="1"/>
  <c r="AJ62" i="1" s="1"/>
  <c r="AK62" i="1" s="1"/>
  <c r="BD62" i="1" s="1"/>
  <c r="AA56" i="1"/>
  <c r="AJ56" i="1" s="1"/>
  <c r="AK56" i="1" s="1"/>
  <c r="BD56" i="1" s="1"/>
  <c r="AA53" i="1"/>
  <c r="AJ53" i="1" s="1"/>
  <c r="AK53" i="1" s="1"/>
  <c r="BD53" i="1" s="1"/>
  <c r="AA46" i="1"/>
  <c r="AJ46" i="1" s="1"/>
  <c r="AK46" i="1" s="1"/>
  <c r="BD46" i="1" s="1"/>
  <c r="AA39" i="1"/>
  <c r="AJ39" i="1" s="1"/>
  <c r="AK39" i="1" s="1"/>
  <c r="AS39" i="1"/>
  <c r="AZ39" i="1" s="1"/>
  <c r="BA39" i="1" s="1"/>
  <c r="BB39" i="1" s="1"/>
  <c r="BK39" i="1"/>
  <c r="BL39" i="1" s="1"/>
  <c r="BM39" i="1" s="1"/>
  <c r="BN39" i="1" s="1"/>
  <c r="AA29" i="1"/>
  <c r="AJ29" i="1" s="1"/>
  <c r="AK29" i="1" s="1"/>
  <c r="AS29" i="1"/>
  <c r="AZ29" i="1" s="1"/>
  <c r="BA29" i="1" s="1"/>
  <c r="BB29" i="1" s="1"/>
  <c r="BK29" i="1"/>
  <c r="BL29" i="1" s="1"/>
  <c r="BM29" i="1" s="1"/>
  <c r="BN29" i="1" s="1"/>
  <c r="AA21" i="1"/>
  <c r="AJ21" i="1" s="1"/>
  <c r="AK21" i="1" s="1"/>
  <c r="AS21" i="1"/>
  <c r="AZ21" i="1" s="1"/>
  <c r="BA21" i="1" s="1"/>
  <c r="BB21" i="1" s="1"/>
  <c r="BK21" i="1"/>
  <c r="BL21" i="1" s="1"/>
  <c r="BM21" i="1" s="1"/>
  <c r="AA13" i="1"/>
  <c r="BK13" i="1"/>
  <c r="BL13" i="1" s="1"/>
  <c r="AA9" i="1"/>
  <c r="AJ9" i="1" s="1"/>
  <c r="AK9" i="1" s="1"/>
  <c r="BD9" i="1" s="1"/>
  <c r="AA54" i="1"/>
  <c r="AJ54" i="1" s="1"/>
  <c r="AK54" i="1" s="1"/>
  <c r="AS54" i="1"/>
  <c r="AZ54" i="1" s="1"/>
  <c r="BA54" i="1" s="1"/>
  <c r="BB54" i="1" s="1"/>
  <c r="BK54" i="1"/>
  <c r="BL54" i="1" s="1"/>
  <c r="BM54" i="1" s="1"/>
  <c r="BN54" i="1" s="1"/>
  <c r="AA200" i="1"/>
  <c r="AJ200" i="1" s="1"/>
  <c r="AK200" i="1" s="1"/>
  <c r="AS200" i="1"/>
  <c r="AZ200" i="1" s="1"/>
  <c r="BA200" i="1" s="1"/>
  <c r="BB200" i="1" s="1"/>
  <c r="BK200" i="1"/>
  <c r="BL200" i="1" s="1"/>
  <c r="BM200" i="1" s="1"/>
  <c r="AA83" i="1"/>
  <c r="AJ83" i="1" s="1"/>
  <c r="AK83" i="1" s="1"/>
  <c r="BK83" i="1"/>
  <c r="BL83" i="1" s="1"/>
  <c r="BM83" i="1" s="1"/>
  <c r="AS83" i="1"/>
  <c r="AZ83" i="1" s="1"/>
  <c r="BA83" i="1" s="1"/>
  <c r="BB83" i="1" s="1"/>
  <c r="AA128" i="1"/>
  <c r="AJ128" i="1" s="1"/>
  <c r="AK128" i="1" s="1"/>
  <c r="AS128" i="1"/>
  <c r="AZ128" i="1" s="1"/>
  <c r="BA128" i="1" s="1"/>
  <c r="BB128" i="1" s="1"/>
  <c r="BK128" i="1"/>
  <c r="BL128" i="1" s="1"/>
  <c r="BM128" i="1" s="1"/>
  <c r="BN128" i="1" s="1"/>
  <c r="AA5" i="1"/>
  <c r="AJ5" i="1" s="1"/>
  <c r="AK5" i="1" s="1"/>
  <c r="BK5" i="1"/>
  <c r="BL5" i="1" s="1"/>
  <c r="AA30" i="1"/>
  <c r="AJ30" i="1" s="1"/>
  <c r="AK30" i="1" s="1"/>
  <c r="AS30" i="1"/>
  <c r="AZ30" i="1" s="1"/>
  <c r="BA30" i="1" s="1"/>
  <c r="BB30" i="1" s="1"/>
  <c r="BK30" i="1"/>
  <c r="BL30" i="1" s="1"/>
  <c r="BM30" i="1" s="1"/>
  <c r="AA233" i="1"/>
  <c r="AJ233" i="1" s="1"/>
  <c r="AK233" i="1" s="1"/>
  <c r="BD233" i="1" s="1"/>
  <c r="AA225" i="1"/>
  <c r="AJ225" i="1" s="1"/>
  <c r="AK225" i="1" s="1"/>
  <c r="AS225" i="1"/>
  <c r="AZ225" i="1" s="1"/>
  <c r="BA225" i="1" s="1"/>
  <c r="BB225" i="1" s="1"/>
  <c r="BK225" i="1"/>
  <c r="BL225" i="1" s="1"/>
  <c r="BM225" i="1" s="1"/>
  <c r="AA226" i="1"/>
  <c r="AJ226" i="1" s="1"/>
  <c r="AK226" i="1" s="1"/>
  <c r="AS226" i="1"/>
  <c r="AZ226" i="1" s="1"/>
  <c r="BA226" i="1" s="1"/>
  <c r="BB226" i="1" s="1"/>
  <c r="BK226" i="1"/>
  <c r="BL226" i="1" s="1"/>
  <c r="BM226" i="1" s="1"/>
  <c r="BN226" i="1" s="1"/>
  <c r="AA221" i="1"/>
  <c r="AJ221" i="1" s="1"/>
  <c r="AK221" i="1" s="1"/>
  <c r="AS221" i="1"/>
  <c r="AZ221" i="1" s="1"/>
  <c r="BA221" i="1" s="1"/>
  <c r="BB221" i="1" s="1"/>
  <c r="BK221" i="1"/>
  <c r="BL221" i="1" s="1"/>
  <c r="BM221" i="1" s="1"/>
  <c r="BN221" i="1" s="1"/>
  <c r="AA214" i="1"/>
  <c r="AJ214" i="1" s="1"/>
  <c r="AK214" i="1" s="1"/>
  <c r="BD214" i="1" s="1"/>
  <c r="AA202" i="1"/>
  <c r="AJ202" i="1" s="1"/>
  <c r="AK202" i="1" s="1"/>
  <c r="AS202" i="1"/>
  <c r="AZ202" i="1" s="1"/>
  <c r="BA202" i="1" s="1"/>
  <c r="BB202" i="1" s="1"/>
  <c r="BK202" i="1"/>
  <c r="BL202" i="1" s="1"/>
  <c r="BM202" i="1" s="1"/>
  <c r="AA213" i="1"/>
  <c r="AJ213" i="1" s="1"/>
  <c r="AK213" i="1" s="1"/>
  <c r="BK213" i="1"/>
  <c r="BL213" i="1" s="1"/>
  <c r="BM213" i="1" s="1"/>
  <c r="AS213" i="1"/>
  <c r="AZ213" i="1" s="1"/>
  <c r="BA213" i="1" s="1"/>
  <c r="BB213" i="1" s="1"/>
  <c r="AA195" i="1"/>
  <c r="AJ195" i="1" s="1"/>
  <c r="AK195" i="1" s="1"/>
  <c r="AS195" i="1"/>
  <c r="AZ195" i="1" s="1"/>
  <c r="BA195" i="1" s="1"/>
  <c r="BB195" i="1" s="1"/>
  <c r="BK195" i="1"/>
  <c r="BL195" i="1" s="1"/>
  <c r="BM195" i="1" s="1"/>
  <c r="AA190" i="1"/>
  <c r="AJ190" i="1" s="1"/>
  <c r="AK190" i="1" s="1"/>
  <c r="BD190" i="1" s="1"/>
  <c r="AA187" i="1"/>
  <c r="AJ187" i="1" s="1"/>
  <c r="AK187" i="1" s="1"/>
  <c r="AS187" i="1"/>
  <c r="AZ187" i="1" s="1"/>
  <c r="BA187" i="1" s="1"/>
  <c r="BB187" i="1" s="1"/>
  <c r="BK187" i="1"/>
  <c r="BL187" i="1" s="1"/>
  <c r="BM187" i="1" s="1"/>
  <c r="AA172" i="1"/>
  <c r="AJ172" i="1" s="1"/>
  <c r="AK172" i="1" s="1"/>
  <c r="AS172" i="1"/>
  <c r="AZ172" i="1" s="1"/>
  <c r="BA172" i="1" s="1"/>
  <c r="BB172" i="1" s="1"/>
  <c r="BK172" i="1"/>
  <c r="BL172" i="1" s="1"/>
  <c r="BM172" i="1" s="1"/>
  <c r="BN172" i="1" s="1"/>
  <c r="AA166" i="1"/>
  <c r="AJ166" i="1" s="1"/>
  <c r="AK166" i="1" s="1"/>
  <c r="BD166" i="1" s="1"/>
  <c r="AA161" i="1"/>
  <c r="AJ161" i="1" s="1"/>
  <c r="AK161" i="1" s="1"/>
  <c r="BD161" i="1" s="1"/>
  <c r="AA181" i="1"/>
  <c r="AJ181" i="1" s="1"/>
  <c r="AK181" i="1" s="1"/>
  <c r="BD181" i="1" s="1"/>
  <c r="AA177" i="1"/>
  <c r="AJ177" i="1" s="1"/>
  <c r="AK177" i="1" s="1"/>
  <c r="BD177" i="1" s="1"/>
  <c r="AA171" i="1"/>
  <c r="AJ171" i="1" s="1"/>
  <c r="AK171" i="1" s="1"/>
  <c r="AS171" i="1"/>
  <c r="AZ171" i="1" s="1"/>
  <c r="BA171" i="1" s="1"/>
  <c r="BB171" i="1" s="1"/>
  <c r="BK171" i="1"/>
  <c r="BL171" i="1" s="1"/>
  <c r="BM171" i="1" s="1"/>
  <c r="BN171" i="1" s="1"/>
  <c r="AA167" i="1"/>
  <c r="AJ167" i="1" s="1"/>
  <c r="AK167" i="1" s="1"/>
  <c r="BD167" i="1" s="1"/>
  <c r="AA163" i="1"/>
  <c r="AJ163" i="1" s="1"/>
  <c r="AK163" i="1" s="1"/>
  <c r="BD163" i="1" s="1"/>
  <c r="AA160" i="1"/>
  <c r="AJ160" i="1" s="1"/>
  <c r="AK160" i="1" s="1"/>
  <c r="BD160" i="1" s="1"/>
  <c r="AA144" i="1"/>
  <c r="AJ144" i="1" s="1"/>
  <c r="AK144" i="1" s="1"/>
  <c r="AS144" i="1"/>
  <c r="AZ144" i="1" s="1"/>
  <c r="BA144" i="1" s="1"/>
  <c r="BB144" i="1" s="1"/>
  <c r="BK144" i="1"/>
  <c r="BL144" i="1" s="1"/>
  <c r="BM144" i="1" s="1"/>
  <c r="AA142" i="1"/>
  <c r="AJ142" i="1" s="1"/>
  <c r="AK142" i="1" s="1"/>
  <c r="BD142" i="1" s="1"/>
  <c r="AA138" i="1"/>
  <c r="AJ138" i="1" s="1"/>
  <c r="AK138" i="1" s="1"/>
  <c r="BD138" i="1" s="1"/>
  <c r="AA133" i="1"/>
  <c r="AJ133" i="1" s="1"/>
  <c r="AK133" i="1" s="1"/>
  <c r="AS133" i="1"/>
  <c r="AZ133" i="1" s="1"/>
  <c r="BA133" i="1" s="1"/>
  <c r="BB133" i="1" s="1"/>
  <c r="BK133" i="1"/>
  <c r="BL133" i="1" s="1"/>
  <c r="BM133" i="1" s="1"/>
  <c r="AA123" i="1"/>
  <c r="AJ123" i="1" s="1"/>
  <c r="AK123" i="1" s="1"/>
  <c r="BD123" i="1" s="1"/>
  <c r="AA120" i="1"/>
  <c r="AJ120" i="1" s="1"/>
  <c r="AK120" i="1" s="1"/>
  <c r="AS120" i="1"/>
  <c r="AZ120" i="1" s="1"/>
  <c r="BA120" i="1" s="1"/>
  <c r="BB120" i="1" s="1"/>
  <c r="BK120" i="1"/>
  <c r="BL120" i="1" s="1"/>
  <c r="BM120" i="1" s="1"/>
  <c r="BN120" i="1" s="1"/>
  <c r="AA114" i="1"/>
  <c r="AJ114" i="1" s="1"/>
  <c r="AK114" i="1" s="1"/>
  <c r="AS114" i="1"/>
  <c r="AZ114" i="1" s="1"/>
  <c r="BA114" i="1" s="1"/>
  <c r="BB114" i="1" s="1"/>
  <c r="BK114" i="1"/>
  <c r="BL114" i="1" s="1"/>
  <c r="BM114" i="1" s="1"/>
  <c r="AA107" i="1"/>
  <c r="AJ107" i="1" s="1"/>
  <c r="AK107" i="1" s="1"/>
  <c r="AS107" i="1"/>
  <c r="AZ107" i="1" s="1"/>
  <c r="BA107" i="1" s="1"/>
  <c r="BB107" i="1" s="1"/>
  <c r="BK107" i="1"/>
  <c r="BL107" i="1" s="1"/>
  <c r="BM107" i="1" s="1"/>
  <c r="BN107" i="1" s="1"/>
  <c r="AA100" i="1"/>
  <c r="AJ100" i="1" s="1"/>
  <c r="AK100" i="1" s="1"/>
  <c r="AS100" i="1"/>
  <c r="AZ100" i="1" s="1"/>
  <c r="BA100" i="1" s="1"/>
  <c r="BB100" i="1" s="1"/>
  <c r="BK100" i="1"/>
  <c r="BL100" i="1" s="1"/>
  <c r="BM100" i="1" s="1"/>
  <c r="BN100" i="1" s="1"/>
  <c r="AA94" i="1"/>
  <c r="AJ94" i="1" s="1"/>
  <c r="AK94" i="1" s="1"/>
  <c r="AS94" i="1"/>
  <c r="AZ94" i="1" s="1"/>
  <c r="BA94" i="1" s="1"/>
  <c r="BB94" i="1" s="1"/>
  <c r="BK94" i="1"/>
  <c r="BL94" i="1" s="1"/>
  <c r="BM94" i="1" s="1"/>
  <c r="AA90" i="1"/>
  <c r="AJ90" i="1" s="1"/>
  <c r="AK90" i="1" s="1"/>
  <c r="BD90" i="1" s="1"/>
  <c r="AA78" i="1"/>
  <c r="AJ78" i="1" s="1"/>
  <c r="AK78" i="1" s="1"/>
  <c r="AS78" i="1"/>
  <c r="AZ78" i="1" s="1"/>
  <c r="BA78" i="1" s="1"/>
  <c r="BB78" i="1" s="1"/>
  <c r="BK78" i="1"/>
  <c r="BL78" i="1" s="1"/>
  <c r="BM78" i="1" s="1"/>
  <c r="BN78" i="1" s="1"/>
  <c r="AA66" i="1"/>
  <c r="AJ66" i="1" s="1"/>
  <c r="AK66" i="1" s="1"/>
  <c r="AS66" i="1"/>
  <c r="AZ66" i="1" s="1"/>
  <c r="BA66" i="1" s="1"/>
  <c r="BB66" i="1" s="1"/>
  <c r="BK66" i="1"/>
  <c r="BL66" i="1" s="1"/>
  <c r="BM66" i="1" s="1"/>
  <c r="AA117" i="1"/>
  <c r="AJ117" i="1" s="1"/>
  <c r="AK117" i="1" s="1"/>
  <c r="AS117" i="1"/>
  <c r="AZ117" i="1" s="1"/>
  <c r="BA117" i="1" s="1"/>
  <c r="BB117" i="1" s="1"/>
  <c r="BK117" i="1"/>
  <c r="BL117" i="1" s="1"/>
  <c r="BM117" i="1" s="1"/>
  <c r="BN117" i="1" s="1"/>
  <c r="AA108" i="1"/>
  <c r="AJ108" i="1" s="1"/>
  <c r="AK108" i="1" s="1"/>
  <c r="AS108" i="1"/>
  <c r="AZ108" i="1" s="1"/>
  <c r="BA108" i="1" s="1"/>
  <c r="BB108" i="1" s="1"/>
  <c r="BK108" i="1"/>
  <c r="BL108" i="1" s="1"/>
  <c r="BM108" i="1" s="1"/>
  <c r="BN108" i="1" s="1"/>
  <c r="AA99" i="1"/>
  <c r="AJ99" i="1" s="1"/>
  <c r="AK99" i="1" s="1"/>
  <c r="AS99" i="1"/>
  <c r="AZ99" i="1" s="1"/>
  <c r="BA99" i="1" s="1"/>
  <c r="BB99" i="1" s="1"/>
  <c r="BK99" i="1"/>
  <c r="BL99" i="1" s="1"/>
  <c r="BM99" i="1" s="1"/>
  <c r="AA91" i="1"/>
  <c r="AJ91" i="1" s="1"/>
  <c r="AK91" i="1" s="1"/>
  <c r="BD91" i="1" s="1"/>
  <c r="AA65" i="1"/>
  <c r="AJ65" i="1" s="1"/>
  <c r="AK65" i="1" s="1"/>
  <c r="AS65" i="1"/>
  <c r="AZ65" i="1" s="1"/>
  <c r="BA65" i="1" s="1"/>
  <c r="BB65" i="1" s="1"/>
  <c r="BK65" i="1"/>
  <c r="BL65" i="1" s="1"/>
  <c r="BM65" i="1" s="1"/>
  <c r="BN65" i="1" s="1"/>
  <c r="AA51" i="1"/>
  <c r="AJ51" i="1" s="1"/>
  <c r="AK51" i="1" s="1"/>
  <c r="AS51" i="1"/>
  <c r="AZ51" i="1" s="1"/>
  <c r="BA51" i="1" s="1"/>
  <c r="BB51" i="1" s="1"/>
  <c r="BK51" i="1"/>
  <c r="BL51" i="1" s="1"/>
  <c r="BM51" i="1" s="1"/>
  <c r="AA49" i="1"/>
  <c r="AJ49" i="1" s="1"/>
  <c r="AK49" i="1" s="1"/>
  <c r="BD49" i="1" s="1"/>
  <c r="AA40" i="1"/>
  <c r="AJ40" i="1" s="1"/>
  <c r="AK40" i="1" s="1"/>
  <c r="AS40" i="1"/>
  <c r="AZ40" i="1" s="1"/>
  <c r="BA40" i="1" s="1"/>
  <c r="BB40" i="1" s="1"/>
  <c r="BK40" i="1"/>
  <c r="BL40" i="1" s="1"/>
  <c r="BM40" i="1" s="1"/>
  <c r="AA34" i="1"/>
  <c r="AJ34" i="1" s="1"/>
  <c r="AK34" i="1" s="1"/>
  <c r="AS34" i="1"/>
  <c r="AZ34" i="1" s="1"/>
  <c r="BA34" i="1" s="1"/>
  <c r="BB34" i="1" s="1"/>
  <c r="BK34" i="1"/>
  <c r="BL34" i="1" s="1"/>
  <c r="BM34" i="1" s="1"/>
  <c r="BN34" i="1" s="1"/>
  <c r="AA22" i="1"/>
  <c r="AJ22" i="1" s="1"/>
  <c r="AK22" i="1" s="1"/>
  <c r="AS22" i="1"/>
  <c r="AZ22" i="1" s="1"/>
  <c r="BA22" i="1" s="1"/>
  <c r="BB22" i="1" s="1"/>
  <c r="BK22" i="1"/>
  <c r="BL22" i="1" s="1"/>
  <c r="BM22" i="1" s="1"/>
  <c r="AA41" i="1"/>
  <c r="AJ41" i="1" s="1"/>
  <c r="AK41" i="1" s="1"/>
  <c r="AS41" i="1"/>
  <c r="AZ41" i="1" s="1"/>
  <c r="BA41" i="1" s="1"/>
  <c r="BB41" i="1" s="1"/>
  <c r="BK41" i="1"/>
  <c r="BL41" i="1" s="1"/>
  <c r="BM41" i="1" s="1"/>
  <c r="BN41" i="1" s="1"/>
  <c r="AA31" i="1"/>
  <c r="AJ31" i="1" s="1"/>
  <c r="AK31" i="1" s="1"/>
  <c r="AS31" i="1"/>
  <c r="AZ31" i="1" s="1"/>
  <c r="BA31" i="1" s="1"/>
  <c r="BB31" i="1" s="1"/>
  <c r="BK31" i="1"/>
  <c r="BL31" i="1" s="1"/>
  <c r="BM31" i="1" s="1"/>
  <c r="AA23" i="1"/>
  <c r="AJ23" i="1" s="1"/>
  <c r="AK23" i="1" s="1"/>
  <c r="AS23" i="1"/>
  <c r="AZ23" i="1" s="1"/>
  <c r="BA23" i="1" s="1"/>
  <c r="BB23" i="1" s="1"/>
  <c r="BK23" i="1"/>
  <c r="BL23" i="1" s="1"/>
  <c r="BM23" i="1" s="1"/>
  <c r="BN23" i="1" s="1"/>
  <c r="BK14" i="1"/>
  <c r="BL14" i="1" s="1"/>
  <c r="AA14" i="1"/>
  <c r="AA11" i="1"/>
  <c r="AJ11" i="1" s="1"/>
  <c r="AK11" i="1" s="1"/>
  <c r="BD11" i="1" s="1"/>
  <c r="AA8" i="1"/>
  <c r="AJ8" i="1" s="1"/>
  <c r="AK8" i="1" s="1"/>
  <c r="BD8" i="1" s="1"/>
  <c r="AA52" i="1"/>
  <c r="AJ52" i="1" s="1"/>
  <c r="AK52" i="1" s="1"/>
  <c r="AS52" i="1"/>
  <c r="AZ52" i="1" s="1"/>
  <c r="BA52" i="1" s="1"/>
  <c r="BB52" i="1" s="1"/>
  <c r="BK52" i="1"/>
  <c r="BL52" i="1" s="1"/>
  <c r="BM52" i="1" s="1"/>
  <c r="BN52" i="1" s="1"/>
  <c r="AA59" i="1"/>
  <c r="AJ59" i="1" s="1"/>
  <c r="AK59" i="1" s="1"/>
  <c r="AS59" i="1"/>
  <c r="AZ59" i="1" s="1"/>
  <c r="BA59" i="1" s="1"/>
  <c r="BB59" i="1" s="1"/>
  <c r="BK59" i="1"/>
  <c r="BL59" i="1" s="1"/>
  <c r="BM59" i="1" s="1"/>
  <c r="BN59" i="1" s="1"/>
  <c r="AA194" i="1"/>
  <c r="AJ194" i="1" s="1"/>
  <c r="AK194" i="1" s="1"/>
  <c r="AS194" i="1"/>
  <c r="AZ194" i="1" s="1"/>
  <c r="BA194" i="1" s="1"/>
  <c r="BB194" i="1" s="1"/>
  <c r="BK194" i="1"/>
  <c r="BL194" i="1" s="1"/>
  <c r="BM194" i="1" s="1"/>
  <c r="AA26" i="1"/>
  <c r="AJ26" i="1" s="1"/>
  <c r="AK26" i="1" s="1"/>
  <c r="BK26" i="1"/>
  <c r="BL26" i="1" s="1"/>
  <c r="BM26" i="1" s="1"/>
  <c r="AS26" i="1"/>
  <c r="AZ26" i="1" s="1"/>
  <c r="BA26" i="1" s="1"/>
  <c r="BB26" i="1" s="1"/>
  <c r="AA227" i="1"/>
  <c r="AJ227" i="1" s="1"/>
  <c r="AK227" i="1" s="1"/>
  <c r="AS227" i="1"/>
  <c r="AZ227" i="1" s="1"/>
  <c r="BA227" i="1" s="1"/>
  <c r="BB227" i="1" s="1"/>
  <c r="BK227" i="1"/>
  <c r="BL227" i="1" s="1"/>
  <c r="BM227" i="1" s="1"/>
  <c r="BN227" i="1" s="1"/>
  <c r="AA222" i="1"/>
  <c r="AJ222" i="1" s="1"/>
  <c r="AK222" i="1" s="1"/>
  <c r="AS222" i="1"/>
  <c r="AZ222" i="1" s="1"/>
  <c r="BA222" i="1" s="1"/>
  <c r="BB222" i="1" s="1"/>
  <c r="BK222" i="1"/>
  <c r="BL222" i="1" s="1"/>
  <c r="BM222" i="1" s="1"/>
  <c r="AA220" i="1"/>
  <c r="AJ220" i="1" s="1"/>
  <c r="AK220" i="1" s="1"/>
  <c r="AS220" i="1"/>
  <c r="AZ220" i="1" s="1"/>
  <c r="BA220" i="1" s="1"/>
  <c r="BB220" i="1" s="1"/>
  <c r="BK220" i="1"/>
  <c r="BL220" i="1" s="1"/>
  <c r="BM220" i="1" s="1"/>
  <c r="AA223" i="1"/>
  <c r="AJ223" i="1" s="1"/>
  <c r="AK223" i="1" s="1"/>
  <c r="AS223" i="1"/>
  <c r="AZ223" i="1" s="1"/>
  <c r="BA223" i="1" s="1"/>
  <c r="BB223" i="1" s="1"/>
  <c r="BK223" i="1"/>
  <c r="BL223" i="1" s="1"/>
  <c r="BM223" i="1" s="1"/>
  <c r="BN223" i="1" s="1"/>
  <c r="AA208" i="1"/>
  <c r="AJ208" i="1" s="1"/>
  <c r="AK208" i="1" s="1"/>
  <c r="AS208" i="1"/>
  <c r="AZ208" i="1" s="1"/>
  <c r="BA208" i="1" s="1"/>
  <c r="BB208" i="1" s="1"/>
  <c r="BK208" i="1"/>
  <c r="BL208" i="1" s="1"/>
  <c r="BM208" i="1" s="1"/>
  <c r="BN208" i="1" s="1"/>
  <c r="AA186" i="1"/>
  <c r="AJ186" i="1" s="1"/>
  <c r="AK186" i="1" s="1"/>
  <c r="AS186" i="1"/>
  <c r="AZ186" i="1" s="1"/>
  <c r="BA186" i="1" s="1"/>
  <c r="BB186" i="1" s="1"/>
  <c r="BK186" i="1"/>
  <c r="BL186" i="1" s="1"/>
  <c r="BM186" i="1" s="1"/>
  <c r="BN186" i="1" s="1"/>
  <c r="AA185" i="1"/>
  <c r="AJ185" i="1" s="1"/>
  <c r="AK185" i="1" s="1"/>
  <c r="BK185" i="1"/>
  <c r="BL185" i="1" s="1"/>
  <c r="BM185" i="1" s="1"/>
  <c r="AS185" i="1"/>
  <c r="AZ185" i="1" s="1"/>
  <c r="BA185" i="1" s="1"/>
  <c r="BB185" i="1" s="1"/>
  <c r="AA155" i="1"/>
  <c r="AJ155" i="1" s="1"/>
  <c r="AK155" i="1" s="1"/>
  <c r="AS155" i="1"/>
  <c r="AZ155" i="1" s="1"/>
  <c r="BA155" i="1" s="1"/>
  <c r="BB155" i="1" s="1"/>
  <c r="BK155" i="1"/>
  <c r="BL155" i="1" s="1"/>
  <c r="BM155" i="1" s="1"/>
  <c r="AA158" i="1"/>
  <c r="AJ158" i="1" s="1"/>
  <c r="AK158" i="1" s="1"/>
  <c r="AS158" i="1"/>
  <c r="AZ158" i="1" s="1"/>
  <c r="BA158" i="1" s="1"/>
  <c r="BB158" i="1" s="1"/>
  <c r="BK158" i="1"/>
  <c r="BL158" i="1" s="1"/>
  <c r="BM158" i="1" s="1"/>
  <c r="BN158" i="1" s="1"/>
  <c r="AA129" i="1"/>
  <c r="AJ129" i="1" s="1"/>
  <c r="AK129" i="1" s="1"/>
  <c r="AS129" i="1"/>
  <c r="AZ129" i="1" s="1"/>
  <c r="BA129" i="1" s="1"/>
  <c r="BB129" i="1" s="1"/>
  <c r="BK129" i="1"/>
  <c r="BL129" i="1" s="1"/>
  <c r="BM129" i="1" s="1"/>
  <c r="AA143" i="1"/>
  <c r="AJ143" i="1" s="1"/>
  <c r="AK143" i="1" s="1"/>
  <c r="BK143" i="1"/>
  <c r="BL143" i="1" s="1"/>
  <c r="BM143" i="1" s="1"/>
  <c r="AS143" i="1"/>
  <c r="AZ143" i="1" s="1"/>
  <c r="BA143" i="1" s="1"/>
  <c r="BB143" i="1" s="1"/>
  <c r="AA134" i="1"/>
  <c r="AJ134" i="1" s="1"/>
  <c r="AK134" i="1" s="1"/>
  <c r="BK134" i="1"/>
  <c r="BL134" i="1" s="1"/>
  <c r="BM134" i="1" s="1"/>
  <c r="AS134" i="1"/>
  <c r="AZ134" i="1" s="1"/>
  <c r="BA134" i="1" s="1"/>
  <c r="BB134" i="1" s="1"/>
  <c r="AA119" i="1"/>
  <c r="AJ119" i="1" s="1"/>
  <c r="AK119" i="1" s="1"/>
  <c r="AS119" i="1"/>
  <c r="AZ119" i="1" s="1"/>
  <c r="BA119" i="1" s="1"/>
  <c r="BB119" i="1" s="1"/>
  <c r="BK119" i="1"/>
  <c r="BL119" i="1" s="1"/>
  <c r="BM119" i="1" s="1"/>
  <c r="BN119" i="1" s="1"/>
  <c r="AA113" i="1"/>
  <c r="AJ113" i="1" s="1"/>
  <c r="AK113" i="1" s="1"/>
  <c r="AS113" i="1"/>
  <c r="AZ113" i="1" s="1"/>
  <c r="BA113" i="1" s="1"/>
  <c r="BB113" i="1" s="1"/>
  <c r="BK113" i="1"/>
  <c r="BL113" i="1" s="1"/>
  <c r="BM113" i="1" s="1"/>
  <c r="BN113" i="1" s="1"/>
  <c r="AA105" i="1"/>
  <c r="AJ105" i="1" s="1"/>
  <c r="AK105" i="1" s="1"/>
  <c r="AS105" i="1"/>
  <c r="AZ105" i="1" s="1"/>
  <c r="BA105" i="1" s="1"/>
  <c r="BB105" i="1" s="1"/>
  <c r="BK105" i="1"/>
  <c r="BL105" i="1" s="1"/>
  <c r="BM105" i="1" s="1"/>
  <c r="AA98" i="1"/>
  <c r="AJ98" i="1" s="1"/>
  <c r="AK98" i="1" s="1"/>
  <c r="AS98" i="1"/>
  <c r="AZ98" i="1" s="1"/>
  <c r="BA98" i="1" s="1"/>
  <c r="BB98" i="1" s="1"/>
  <c r="BK98" i="1"/>
  <c r="BL98" i="1" s="1"/>
  <c r="BM98" i="1" s="1"/>
  <c r="AA93" i="1"/>
  <c r="AJ93" i="1" s="1"/>
  <c r="AK93" i="1" s="1"/>
  <c r="AS93" i="1"/>
  <c r="AZ93" i="1" s="1"/>
  <c r="BA93" i="1" s="1"/>
  <c r="BB93" i="1" s="1"/>
  <c r="BK93" i="1"/>
  <c r="BL93" i="1" s="1"/>
  <c r="BM93" i="1" s="1"/>
  <c r="BN93" i="1" s="1"/>
  <c r="AA79" i="1"/>
  <c r="AJ79" i="1" s="1"/>
  <c r="AK79" i="1" s="1"/>
  <c r="AS79" i="1"/>
  <c r="AZ79" i="1" s="1"/>
  <c r="BA79" i="1" s="1"/>
  <c r="BB79" i="1" s="1"/>
  <c r="BK79" i="1"/>
  <c r="BL79" i="1" s="1"/>
  <c r="BM79" i="1" s="1"/>
  <c r="AA115" i="1"/>
  <c r="AJ115" i="1" s="1"/>
  <c r="AK115" i="1" s="1"/>
  <c r="BK115" i="1"/>
  <c r="BL115" i="1" s="1"/>
  <c r="BM115" i="1" s="1"/>
  <c r="AS115" i="1"/>
  <c r="AZ115" i="1" s="1"/>
  <c r="BA115" i="1" s="1"/>
  <c r="BB115" i="1" s="1"/>
  <c r="AA106" i="1"/>
  <c r="AJ106" i="1" s="1"/>
  <c r="AK106" i="1" s="1"/>
  <c r="AS106" i="1"/>
  <c r="AZ106" i="1" s="1"/>
  <c r="BA106" i="1" s="1"/>
  <c r="BB106" i="1" s="1"/>
  <c r="BK106" i="1"/>
  <c r="BL106" i="1" s="1"/>
  <c r="BM106" i="1" s="1"/>
  <c r="BN106" i="1" s="1"/>
  <c r="AA97" i="1"/>
  <c r="AJ97" i="1" s="1"/>
  <c r="AK97" i="1" s="1"/>
  <c r="BK97" i="1"/>
  <c r="BL97" i="1" s="1"/>
  <c r="BM97" i="1" s="1"/>
  <c r="AS97" i="1"/>
  <c r="AZ97" i="1" s="1"/>
  <c r="BA97" i="1" s="1"/>
  <c r="BB97" i="1" s="1"/>
  <c r="AA80" i="1"/>
  <c r="AJ80" i="1" s="1"/>
  <c r="AK80" i="1" s="1"/>
  <c r="BK80" i="1"/>
  <c r="BL80" i="1" s="1"/>
  <c r="BM80" i="1" s="1"/>
  <c r="AS80" i="1"/>
  <c r="AZ80" i="1" s="1"/>
  <c r="BA80" i="1" s="1"/>
  <c r="BB80" i="1" s="1"/>
  <c r="AA63" i="1"/>
  <c r="AJ63" i="1" s="1"/>
  <c r="AK63" i="1" s="1"/>
  <c r="AS63" i="1"/>
  <c r="AZ63" i="1" s="1"/>
  <c r="BA63" i="1" s="1"/>
  <c r="BB63" i="1" s="1"/>
  <c r="BK63" i="1"/>
  <c r="BL63" i="1" s="1"/>
  <c r="BM63" i="1" s="1"/>
  <c r="AA58" i="1"/>
  <c r="AJ58" i="1" s="1"/>
  <c r="AK58" i="1" s="1"/>
  <c r="AS58" i="1"/>
  <c r="AZ58" i="1" s="1"/>
  <c r="BA58" i="1" s="1"/>
  <c r="BB58" i="1" s="1"/>
  <c r="BK58" i="1"/>
  <c r="BL58" i="1" s="1"/>
  <c r="BM58" i="1" s="1"/>
  <c r="AA42" i="1"/>
  <c r="AJ42" i="1" s="1"/>
  <c r="AK42" i="1" s="1"/>
  <c r="AS42" i="1"/>
  <c r="AZ42" i="1" s="1"/>
  <c r="BA42" i="1" s="1"/>
  <c r="BB42" i="1" s="1"/>
  <c r="BK42" i="1"/>
  <c r="BL42" i="1" s="1"/>
  <c r="BM42" i="1" s="1"/>
  <c r="BN42" i="1" s="1"/>
  <c r="AA36" i="1"/>
  <c r="AJ36" i="1" s="1"/>
  <c r="AK36" i="1" s="1"/>
  <c r="AS36" i="1"/>
  <c r="AZ36" i="1" s="1"/>
  <c r="BA36" i="1" s="1"/>
  <c r="BB36" i="1" s="1"/>
  <c r="BK36" i="1"/>
  <c r="BL36" i="1" s="1"/>
  <c r="BM36" i="1" s="1"/>
  <c r="AA24" i="1"/>
  <c r="AJ24" i="1" s="1"/>
  <c r="AK24" i="1" s="1"/>
  <c r="AS24" i="1"/>
  <c r="AZ24" i="1" s="1"/>
  <c r="BA24" i="1" s="1"/>
  <c r="BB24" i="1" s="1"/>
  <c r="BK24" i="1"/>
  <c r="BL24" i="1" s="1"/>
  <c r="BM24" i="1" s="1"/>
  <c r="AA15" i="1"/>
  <c r="AJ15" i="1" s="1"/>
  <c r="AK15" i="1" s="1"/>
  <c r="AS15" i="1"/>
  <c r="AZ15" i="1" s="1"/>
  <c r="BA15" i="1" s="1"/>
  <c r="BB15" i="1" s="1"/>
  <c r="BK15" i="1"/>
  <c r="BL15" i="1" s="1"/>
  <c r="BM15" i="1" s="1"/>
  <c r="AA43" i="1"/>
  <c r="AJ43" i="1" s="1"/>
  <c r="AK43" i="1" s="1"/>
  <c r="AS43" i="1"/>
  <c r="AZ43" i="1" s="1"/>
  <c r="BA43" i="1" s="1"/>
  <c r="BB43" i="1" s="1"/>
  <c r="BK43" i="1"/>
  <c r="BL43" i="1" s="1"/>
  <c r="BM43" i="1" s="1"/>
  <c r="BN43" i="1" s="1"/>
  <c r="AA33" i="1"/>
  <c r="AJ33" i="1" s="1"/>
  <c r="AK33" i="1" s="1"/>
  <c r="AS33" i="1"/>
  <c r="AZ33" i="1" s="1"/>
  <c r="BA33" i="1" s="1"/>
  <c r="BB33" i="1" s="1"/>
  <c r="BK33" i="1"/>
  <c r="BL33" i="1" s="1"/>
  <c r="BM33" i="1" s="1"/>
  <c r="BN33" i="1" s="1"/>
  <c r="AA25" i="1"/>
  <c r="AJ25" i="1" s="1"/>
  <c r="AK25" i="1" s="1"/>
  <c r="AS25" i="1"/>
  <c r="AZ25" i="1" s="1"/>
  <c r="BA25" i="1" s="1"/>
  <c r="BB25" i="1" s="1"/>
  <c r="BK25" i="1"/>
  <c r="BL25" i="1" s="1"/>
  <c r="BM25" i="1" s="1"/>
  <c r="AA20" i="1"/>
  <c r="AJ20" i="1" s="1"/>
  <c r="AK20" i="1" s="1"/>
  <c r="BK20" i="1"/>
  <c r="BL20" i="1" s="1"/>
  <c r="BM20" i="1" s="1"/>
  <c r="AS20" i="1"/>
  <c r="AZ20" i="1" s="1"/>
  <c r="BA20" i="1" s="1"/>
  <c r="BB20" i="1" s="1"/>
  <c r="AA92" i="1"/>
  <c r="AJ92" i="1" s="1"/>
  <c r="AK92" i="1" s="1"/>
  <c r="BK92" i="1"/>
  <c r="BL92" i="1" s="1"/>
  <c r="BM92" i="1" s="1"/>
  <c r="AS92" i="1"/>
  <c r="AZ92" i="1" s="1"/>
  <c r="BA92" i="1" s="1"/>
  <c r="BB92" i="1" s="1"/>
  <c r="AA57" i="1"/>
  <c r="AJ57" i="1" s="1"/>
  <c r="AK57" i="1" s="1"/>
  <c r="AS57" i="1"/>
  <c r="AZ57" i="1" s="1"/>
  <c r="BA57" i="1" s="1"/>
  <c r="BB57" i="1" s="1"/>
  <c r="BK57" i="1"/>
  <c r="BL57" i="1" s="1"/>
  <c r="BM57" i="1" s="1"/>
  <c r="AA147" i="1"/>
  <c r="AJ147" i="1" s="1"/>
  <c r="AK147" i="1" s="1"/>
  <c r="AS147" i="1"/>
  <c r="AZ147" i="1" s="1"/>
  <c r="BA147" i="1" s="1"/>
  <c r="BB147" i="1" s="1"/>
  <c r="BK147" i="1"/>
  <c r="BL147" i="1" s="1"/>
  <c r="BM147" i="1" s="1"/>
  <c r="AA188" i="1"/>
  <c r="AJ188" i="1" s="1"/>
  <c r="AK188" i="1" s="1"/>
  <c r="AS188" i="1"/>
  <c r="AZ188" i="1" s="1"/>
  <c r="BA188" i="1" s="1"/>
  <c r="BB188" i="1" s="1"/>
  <c r="BK188" i="1"/>
  <c r="BL188" i="1" s="1"/>
  <c r="BM188" i="1" s="1"/>
  <c r="BN188" i="1" s="1"/>
  <c r="AA198" i="1"/>
  <c r="AJ198" i="1" s="1"/>
  <c r="AK198" i="1" s="1"/>
  <c r="AS198" i="1"/>
  <c r="AZ198" i="1" s="1"/>
  <c r="BA198" i="1" s="1"/>
  <c r="BB198" i="1" s="1"/>
  <c r="BK198" i="1"/>
  <c r="BL198" i="1" s="1"/>
  <c r="BM198" i="1" s="1"/>
  <c r="BN198" i="1" s="1"/>
  <c r="AA215" i="1"/>
  <c r="AJ215" i="1" s="1"/>
  <c r="AK215" i="1" s="1"/>
  <c r="AS215" i="1"/>
  <c r="AZ215" i="1" s="1"/>
  <c r="BA215" i="1" s="1"/>
  <c r="BB215" i="1" s="1"/>
  <c r="BK215" i="1"/>
  <c r="BL215" i="1" s="1"/>
  <c r="BM215" i="1" s="1"/>
  <c r="BN215" i="1" s="1"/>
  <c r="AA218" i="1"/>
  <c r="AJ218" i="1" s="1"/>
  <c r="AK218" i="1" s="1"/>
  <c r="AS218" i="1"/>
  <c r="AZ218" i="1" s="1"/>
  <c r="BA218" i="1" s="1"/>
  <c r="BB218" i="1" s="1"/>
  <c r="BK218" i="1"/>
  <c r="BL218" i="1" s="1"/>
  <c r="BM218" i="1" s="1"/>
  <c r="AA209" i="1"/>
  <c r="AJ209" i="1" s="1"/>
  <c r="AK209" i="1" s="1"/>
  <c r="AS209" i="1"/>
  <c r="AZ209" i="1" s="1"/>
  <c r="BA209" i="1" s="1"/>
  <c r="BB209" i="1" s="1"/>
  <c r="BK209" i="1"/>
  <c r="BL209" i="1" s="1"/>
  <c r="BM209" i="1" s="1"/>
  <c r="BD207" i="1"/>
  <c r="AA210" i="1"/>
  <c r="AJ210" i="1" s="1"/>
  <c r="AK210" i="1" s="1"/>
  <c r="BK210" i="1"/>
  <c r="BL210" i="1" s="1"/>
  <c r="BM210" i="1" s="1"/>
  <c r="AS210" i="1"/>
  <c r="AZ210" i="1" s="1"/>
  <c r="BA210" i="1" s="1"/>
  <c r="BB210" i="1" s="1"/>
  <c r="AA199" i="1"/>
  <c r="AJ199" i="1" s="1"/>
  <c r="AK199" i="1" s="1"/>
  <c r="AS199" i="1"/>
  <c r="AZ199" i="1" s="1"/>
  <c r="BA199" i="1" s="1"/>
  <c r="BB199" i="1" s="1"/>
  <c r="BK199" i="1"/>
  <c r="BL199" i="1" s="1"/>
  <c r="BM199" i="1" s="1"/>
  <c r="BN199" i="1" s="1"/>
  <c r="AA184" i="1"/>
  <c r="AJ184" i="1" s="1"/>
  <c r="AK184" i="1" s="1"/>
  <c r="AS184" i="1"/>
  <c r="AZ184" i="1" s="1"/>
  <c r="BA184" i="1" s="1"/>
  <c r="BB184" i="1" s="1"/>
  <c r="BK184" i="1"/>
  <c r="BL184" i="1" s="1"/>
  <c r="BM184" i="1" s="1"/>
  <c r="BN184" i="1" s="1"/>
  <c r="AA196" i="1"/>
  <c r="AJ196" i="1" s="1"/>
  <c r="AK196" i="1" s="1"/>
  <c r="BK196" i="1"/>
  <c r="BL196" i="1" s="1"/>
  <c r="BM196" i="1" s="1"/>
  <c r="AS196" i="1"/>
  <c r="AZ196" i="1" s="1"/>
  <c r="BA196" i="1" s="1"/>
  <c r="BB196" i="1" s="1"/>
  <c r="BD178" i="1"/>
  <c r="AA157" i="1"/>
  <c r="AJ157" i="1" s="1"/>
  <c r="AK157" i="1" s="1"/>
  <c r="AS157" i="1"/>
  <c r="AZ157" i="1" s="1"/>
  <c r="BA157" i="1" s="1"/>
  <c r="BB157" i="1" s="1"/>
  <c r="BK157" i="1"/>
  <c r="BL157" i="1" s="1"/>
  <c r="BM157" i="1" s="1"/>
  <c r="AA156" i="1"/>
  <c r="AJ156" i="1" s="1"/>
  <c r="AK156" i="1" s="1"/>
  <c r="BK156" i="1"/>
  <c r="BL156" i="1" s="1"/>
  <c r="BM156" i="1" s="1"/>
  <c r="AS156" i="1"/>
  <c r="AZ156" i="1" s="1"/>
  <c r="BA156" i="1" s="1"/>
  <c r="BB156" i="1" s="1"/>
  <c r="AA152" i="1"/>
  <c r="AJ152" i="1" s="1"/>
  <c r="AK152" i="1" s="1"/>
  <c r="AS152" i="1"/>
  <c r="AZ152" i="1" s="1"/>
  <c r="BA152" i="1" s="1"/>
  <c r="BB152" i="1" s="1"/>
  <c r="BK152" i="1"/>
  <c r="BL152" i="1" s="1"/>
  <c r="BM152" i="1" s="1"/>
  <c r="BD150" i="1"/>
  <c r="BD146" i="1"/>
  <c r="BD141" i="1"/>
  <c r="BD127" i="1"/>
  <c r="AA153" i="1"/>
  <c r="AJ153" i="1" s="1"/>
  <c r="AK153" i="1" s="1"/>
  <c r="BK153" i="1"/>
  <c r="BL153" i="1" s="1"/>
  <c r="BM153" i="1" s="1"/>
  <c r="AS153" i="1"/>
  <c r="AZ153" i="1" s="1"/>
  <c r="BA153" i="1" s="1"/>
  <c r="BB153" i="1" s="1"/>
  <c r="AA136" i="1"/>
  <c r="AJ136" i="1" s="1"/>
  <c r="AK136" i="1" s="1"/>
  <c r="AS136" i="1"/>
  <c r="AZ136" i="1" s="1"/>
  <c r="BA136" i="1" s="1"/>
  <c r="BB136" i="1" s="1"/>
  <c r="BK136" i="1"/>
  <c r="BL136" i="1" s="1"/>
  <c r="BM136" i="1" s="1"/>
  <c r="BN136" i="1" s="1"/>
  <c r="AA118" i="1"/>
  <c r="AJ118" i="1" s="1"/>
  <c r="AK118" i="1" s="1"/>
  <c r="AS118" i="1"/>
  <c r="AZ118" i="1" s="1"/>
  <c r="BA118" i="1" s="1"/>
  <c r="BB118" i="1" s="1"/>
  <c r="BK118" i="1"/>
  <c r="BL118" i="1" s="1"/>
  <c r="BM118" i="1" s="1"/>
  <c r="AA111" i="1"/>
  <c r="AJ111" i="1" s="1"/>
  <c r="AK111" i="1" s="1"/>
  <c r="AS111" i="1"/>
  <c r="AZ111" i="1" s="1"/>
  <c r="BA111" i="1" s="1"/>
  <c r="BB111" i="1" s="1"/>
  <c r="BK111" i="1"/>
  <c r="BL111" i="1" s="1"/>
  <c r="BM111" i="1" s="1"/>
  <c r="AA104" i="1"/>
  <c r="AJ104" i="1" s="1"/>
  <c r="AK104" i="1" s="1"/>
  <c r="AS104" i="1"/>
  <c r="AZ104" i="1" s="1"/>
  <c r="BA104" i="1" s="1"/>
  <c r="BB104" i="1" s="1"/>
  <c r="BK104" i="1"/>
  <c r="BL104" i="1" s="1"/>
  <c r="BM104" i="1" s="1"/>
  <c r="BN104" i="1" s="1"/>
  <c r="AA96" i="1"/>
  <c r="AJ96" i="1" s="1"/>
  <c r="AK96" i="1" s="1"/>
  <c r="AS96" i="1"/>
  <c r="AZ96" i="1" s="1"/>
  <c r="BA96" i="1" s="1"/>
  <c r="BB96" i="1" s="1"/>
  <c r="BK96" i="1"/>
  <c r="BL96" i="1" s="1"/>
  <c r="BM96" i="1" s="1"/>
  <c r="AA84" i="1"/>
  <c r="AJ84" i="1" s="1"/>
  <c r="AK84" i="1" s="1"/>
  <c r="AS84" i="1"/>
  <c r="AZ84" i="1" s="1"/>
  <c r="BA84" i="1" s="1"/>
  <c r="BB84" i="1" s="1"/>
  <c r="BK84" i="1"/>
  <c r="BL84" i="1" s="1"/>
  <c r="BM84" i="1" s="1"/>
  <c r="AA76" i="1"/>
  <c r="AJ76" i="1" s="1"/>
  <c r="AK76" i="1" s="1"/>
  <c r="AS76" i="1"/>
  <c r="AZ76" i="1" s="1"/>
  <c r="BA76" i="1" s="1"/>
  <c r="BB76" i="1" s="1"/>
  <c r="BK76" i="1"/>
  <c r="BL76" i="1" s="1"/>
  <c r="BM76" i="1" s="1"/>
  <c r="BN76" i="1" s="1"/>
  <c r="BD73" i="1"/>
  <c r="BD70" i="1"/>
  <c r="BD125" i="1"/>
  <c r="AA112" i="1"/>
  <c r="AJ112" i="1" s="1"/>
  <c r="AK112" i="1" s="1"/>
  <c r="BK112" i="1"/>
  <c r="BL112" i="1" s="1"/>
  <c r="BM112" i="1" s="1"/>
  <c r="AS112" i="1"/>
  <c r="AZ112" i="1" s="1"/>
  <c r="BA112" i="1" s="1"/>
  <c r="BB112" i="1" s="1"/>
  <c r="AA103" i="1"/>
  <c r="AJ103" i="1" s="1"/>
  <c r="AK103" i="1" s="1"/>
  <c r="BK103" i="1"/>
  <c r="BL103" i="1" s="1"/>
  <c r="BM103" i="1" s="1"/>
  <c r="AS103" i="1"/>
  <c r="AZ103" i="1" s="1"/>
  <c r="BA103" i="1" s="1"/>
  <c r="BB103" i="1" s="1"/>
  <c r="AA87" i="1"/>
  <c r="AJ87" i="1" s="1"/>
  <c r="AK87" i="1" s="1"/>
  <c r="AS87" i="1"/>
  <c r="AZ87" i="1" s="1"/>
  <c r="BA87" i="1" s="1"/>
  <c r="BB87" i="1" s="1"/>
  <c r="BK87" i="1"/>
  <c r="BL87" i="1" s="1"/>
  <c r="BM87" i="1" s="1"/>
  <c r="BD82" i="1"/>
  <c r="BD69" i="1"/>
  <c r="AA44" i="1"/>
  <c r="AJ44" i="1" s="1"/>
  <c r="AK44" i="1" s="1"/>
  <c r="AS44" i="1"/>
  <c r="AZ44" i="1" s="1"/>
  <c r="BA44" i="1" s="1"/>
  <c r="BB44" i="1" s="1"/>
  <c r="BK44" i="1"/>
  <c r="BL44" i="1" s="1"/>
  <c r="BM44" i="1" s="1"/>
  <c r="AA37" i="1"/>
  <c r="AJ37" i="1" s="1"/>
  <c r="AK37" i="1" s="1"/>
  <c r="AS37" i="1"/>
  <c r="AZ37" i="1" s="1"/>
  <c r="BA37" i="1" s="1"/>
  <c r="BB37" i="1" s="1"/>
  <c r="BK37" i="1"/>
  <c r="BL37" i="1" s="1"/>
  <c r="BM37" i="1" s="1"/>
  <c r="AA28" i="1"/>
  <c r="AJ28" i="1" s="1"/>
  <c r="AK28" i="1" s="1"/>
  <c r="AS28" i="1"/>
  <c r="AZ28" i="1" s="1"/>
  <c r="BA28" i="1" s="1"/>
  <c r="BB28" i="1" s="1"/>
  <c r="BK28" i="1"/>
  <c r="BL28" i="1" s="1"/>
  <c r="BM28" i="1" s="1"/>
  <c r="BN28" i="1" s="1"/>
  <c r="AA18" i="1"/>
  <c r="AJ18" i="1" s="1"/>
  <c r="AK18" i="1" s="1"/>
  <c r="AS18" i="1"/>
  <c r="AZ18" i="1" s="1"/>
  <c r="BA18" i="1" s="1"/>
  <c r="BB18" i="1" s="1"/>
  <c r="BK18" i="1"/>
  <c r="BL18" i="1" s="1"/>
  <c r="BM18" i="1" s="1"/>
  <c r="BD10" i="1"/>
  <c r="AA64" i="1"/>
  <c r="AJ64" i="1" s="1"/>
  <c r="AK64" i="1" s="1"/>
  <c r="AS64" i="1"/>
  <c r="AZ64" i="1" s="1"/>
  <c r="BA64" i="1" s="1"/>
  <c r="BB64" i="1" s="1"/>
  <c r="BK64" i="1"/>
  <c r="BL64" i="1" s="1"/>
  <c r="BM64" i="1" s="1"/>
  <c r="BN64" i="1" s="1"/>
  <c r="BD60" i="1"/>
  <c r="BD55" i="1"/>
  <c r="BD48" i="1"/>
  <c r="BD45" i="1"/>
  <c r="AA35" i="1"/>
  <c r="AJ35" i="1" s="1"/>
  <c r="AK35" i="1" s="1"/>
  <c r="AS35" i="1"/>
  <c r="AZ35" i="1" s="1"/>
  <c r="BA35" i="1" s="1"/>
  <c r="BB35" i="1" s="1"/>
  <c r="BK35" i="1"/>
  <c r="BL35" i="1" s="1"/>
  <c r="BM35" i="1" s="1"/>
  <c r="AA27" i="1"/>
  <c r="AJ27" i="1" s="1"/>
  <c r="AK27" i="1" s="1"/>
  <c r="AS27" i="1"/>
  <c r="AZ27" i="1" s="1"/>
  <c r="BA27" i="1" s="1"/>
  <c r="BB27" i="1" s="1"/>
  <c r="BK27" i="1"/>
  <c r="BL27" i="1" s="1"/>
  <c r="BM27" i="1" s="1"/>
  <c r="BN27" i="1" s="1"/>
  <c r="AA12" i="1"/>
  <c r="AJ12" i="1" s="1"/>
  <c r="AK12" i="1" s="1"/>
  <c r="AS12" i="1"/>
  <c r="AZ12" i="1" s="1"/>
  <c r="BA12" i="1" s="1"/>
  <c r="BB12" i="1" s="1"/>
  <c r="BK12" i="1"/>
  <c r="BL12" i="1" s="1"/>
  <c r="BM12" i="1" s="1"/>
  <c r="BN12" i="1" s="1"/>
  <c r="AA81" i="1"/>
  <c r="AJ81" i="1" s="1"/>
  <c r="AK81" i="1" s="1"/>
  <c r="BK81" i="1"/>
  <c r="BL81" i="1" s="1"/>
  <c r="BM81" i="1" s="1"/>
  <c r="AS81" i="1"/>
  <c r="AZ81" i="1" s="1"/>
  <c r="BA81" i="1" s="1"/>
  <c r="BB81" i="1" s="1"/>
  <c r="AA132" i="1"/>
  <c r="AJ132" i="1" s="1"/>
  <c r="AK132" i="1" s="1"/>
  <c r="AS132" i="1"/>
  <c r="AZ132" i="1" s="1"/>
  <c r="BA132" i="1" s="1"/>
  <c r="BB132" i="1" s="1"/>
  <c r="BK132" i="1"/>
  <c r="BL132" i="1" s="1"/>
  <c r="BM132" i="1" s="1"/>
  <c r="AA217" i="1"/>
  <c r="AJ217" i="1" s="1"/>
  <c r="AK217" i="1" s="1"/>
  <c r="BK217" i="1"/>
  <c r="BL217" i="1" s="1"/>
  <c r="BM217" i="1" s="1"/>
  <c r="AS217" i="1"/>
  <c r="AZ217" i="1" s="1"/>
  <c r="BA217" i="1" s="1"/>
  <c r="BB217" i="1" s="1"/>
  <c r="AA86" i="1"/>
  <c r="AJ86" i="1" s="1"/>
  <c r="AK86" i="1" s="1"/>
  <c r="AS86" i="1"/>
  <c r="AZ86" i="1" s="1"/>
  <c r="BA86" i="1" s="1"/>
  <c r="BB86" i="1" s="1"/>
  <c r="BK86" i="1"/>
  <c r="BL86" i="1" s="1"/>
  <c r="BM86" i="1" s="1"/>
  <c r="BN86" i="1" s="1"/>
  <c r="AA135" i="1"/>
  <c r="AJ135" i="1" s="1"/>
  <c r="AK135" i="1" s="1"/>
  <c r="AS135" i="1"/>
  <c r="AZ135" i="1" s="1"/>
  <c r="BA135" i="1" s="1"/>
  <c r="BB135" i="1" s="1"/>
  <c r="BK135" i="1"/>
  <c r="BL135" i="1" s="1"/>
  <c r="BM135" i="1" s="1"/>
  <c r="AA170" i="1"/>
  <c r="AJ170" i="1" s="1"/>
  <c r="AK170" i="1" s="1"/>
  <c r="AS170" i="1"/>
  <c r="AZ170" i="1" s="1"/>
  <c r="BA170" i="1" s="1"/>
  <c r="BB170" i="1" s="1"/>
  <c r="BK170" i="1"/>
  <c r="BL170" i="1" s="1"/>
  <c r="BM170" i="1" s="1"/>
  <c r="AA219" i="1"/>
  <c r="AJ219" i="1" s="1"/>
  <c r="AK219" i="1" s="1"/>
  <c r="AS219" i="1"/>
  <c r="AZ219" i="1" s="1"/>
  <c r="BA219" i="1" s="1"/>
  <c r="BB219" i="1" s="1"/>
  <c r="BK219" i="1"/>
  <c r="BL219" i="1" s="1"/>
  <c r="BM219" i="1" s="1"/>
  <c r="BN219" i="1" s="1"/>
  <c r="BA5" i="1"/>
  <c r="BB5" i="1" s="1"/>
  <c r="BN152" i="1" l="1"/>
  <c r="BN170" i="1"/>
  <c r="BN84" i="1"/>
  <c r="BN157" i="1"/>
  <c r="BN147" i="1"/>
  <c r="BN220" i="1"/>
  <c r="BN40" i="1"/>
  <c r="BN144" i="1"/>
  <c r="BN187" i="1"/>
  <c r="BN30" i="1"/>
  <c r="BN77" i="1"/>
  <c r="BN37" i="1"/>
  <c r="BN87" i="1"/>
  <c r="BN111" i="1"/>
  <c r="BN209" i="1"/>
  <c r="BN58" i="1"/>
  <c r="BN98" i="1"/>
  <c r="BN155" i="1"/>
  <c r="BN19" i="1"/>
  <c r="BN22" i="1"/>
  <c r="BN202" i="1"/>
  <c r="BN121" i="1"/>
  <c r="BN211" i="1"/>
  <c r="BN135" i="1"/>
  <c r="BN18" i="1"/>
  <c r="BN96" i="1"/>
  <c r="BN57" i="1"/>
  <c r="BN36" i="1"/>
  <c r="BN79" i="1"/>
  <c r="BN129" i="1"/>
  <c r="BN222" i="1"/>
  <c r="BN99" i="1"/>
  <c r="BN94" i="1"/>
  <c r="BN133" i="1"/>
  <c r="BN200" i="1"/>
  <c r="BN50" i="1"/>
  <c r="BN88" i="1"/>
  <c r="BN137" i="1"/>
  <c r="BN224" i="1"/>
  <c r="BN44" i="1"/>
  <c r="BN118" i="1"/>
  <c r="BN218" i="1"/>
  <c r="BN25" i="1"/>
  <c r="BN63" i="1"/>
  <c r="BN105" i="1"/>
  <c r="BN194" i="1"/>
  <c r="BN31" i="1"/>
  <c r="BN51" i="1"/>
  <c r="BN66" i="1"/>
  <c r="BN114" i="1"/>
  <c r="BN195" i="1"/>
  <c r="BN225" i="1"/>
  <c r="BN21" i="1"/>
  <c r="BN32" i="1"/>
  <c r="BN101" i="1"/>
  <c r="BN109" i="1"/>
  <c r="BN132" i="1"/>
  <c r="BN35" i="1"/>
  <c r="BN24" i="1"/>
  <c r="BB234" i="1"/>
  <c r="BN156" i="1"/>
  <c r="BN81" i="1"/>
  <c r="BN143" i="1"/>
  <c r="BN112" i="1"/>
  <c r="BN103" i="1"/>
  <c r="BN196" i="1"/>
  <c r="BN210" i="1"/>
  <c r="BN20" i="1"/>
  <c r="BN134" i="1"/>
  <c r="BD51" i="1"/>
  <c r="BN213" i="1"/>
  <c r="BD30" i="1"/>
  <c r="BD32" i="1"/>
  <c r="BN85" i="1"/>
  <c r="BD101" i="1"/>
  <c r="BN110" i="1"/>
  <c r="BD121" i="1"/>
  <c r="BD77" i="1"/>
  <c r="BD95" i="1"/>
  <c r="BD109" i="1"/>
  <c r="BD211" i="1"/>
  <c r="BN216" i="1"/>
  <c r="BD228" i="1"/>
  <c r="BN217" i="1"/>
  <c r="BD84" i="1"/>
  <c r="BD104" i="1"/>
  <c r="BD118" i="1"/>
  <c r="BD152" i="1"/>
  <c r="BD157" i="1"/>
  <c r="BN185" i="1"/>
  <c r="BD94" i="1"/>
  <c r="BD107" i="1"/>
  <c r="BD120" i="1"/>
  <c r="BD133" i="1"/>
  <c r="BD172" i="1"/>
  <c r="BN83" i="1"/>
  <c r="BN67" i="1"/>
  <c r="BD184" i="1"/>
  <c r="BD218" i="1"/>
  <c r="BD198" i="1"/>
  <c r="BD147" i="1"/>
  <c r="BD25" i="1"/>
  <c r="BD43" i="1"/>
  <c r="BD24" i="1"/>
  <c r="BD42" i="1"/>
  <c r="BD63" i="1"/>
  <c r="BD208" i="1"/>
  <c r="BD220" i="1"/>
  <c r="BD227" i="1"/>
  <c r="BD219" i="1"/>
  <c r="BD135" i="1"/>
  <c r="BD217" i="1"/>
  <c r="BD81" i="1"/>
  <c r="BD27" i="1"/>
  <c r="BD64" i="1"/>
  <c r="BD18" i="1"/>
  <c r="BD37" i="1"/>
  <c r="BD87" i="1"/>
  <c r="BD112" i="1"/>
  <c r="BD76" i="1"/>
  <c r="BD96" i="1"/>
  <c r="BD111" i="1"/>
  <c r="BD136" i="1"/>
  <c r="BN153" i="1"/>
  <c r="BD156" i="1"/>
  <c r="BD196" i="1"/>
  <c r="BD199" i="1"/>
  <c r="BD210" i="1"/>
  <c r="BD209" i="1"/>
  <c r="BD215" i="1"/>
  <c r="BD188" i="1"/>
  <c r="BD57" i="1"/>
  <c r="BN92" i="1"/>
  <c r="BD20" i="1"/>
  <c r="BD33" i="1"/>
  <c r="BD15" i="1"/>
  <c r="BD36" i="1"/>
  <c r="BD58" i="1"/>
  <c r="BN80" i="1"/>
  <c r="BN97" i="1"/>
  <c r="BD106" i="1"/>
  <c r="BN115" i="1"/>
  <c r="BD93" i="1"/>
  <c r="BD105" i="1"/>
  <c r="BD119" i="1"/>
  <c r="BD134" i="1"/>
  <c r="BD143" i="1"/>
  <c r="BD129" i="1"/>
  <c r="BD155" i="1"/>
  <c r="BD26" i="1"/>
  <c r="BD59" i="1"/>
  <c r="BD23" i="1"/>
  <c r="BD41" i="1"/>
  <c r="BD34" i="1"/>
  <c r="BD65" i="1"/>
  <c r="BD99" i="1"/>
  <c r="BD117" i="1"/>
  <c r="BD78" i="1"/>
  <c r="BD213" i="1"/>
  <c r="BD226" i="1"/>
  <c r="BD128" i="1"/>
  <c r="BD200" i="1"/>
  <c r="BD29" i="1"/>
  <c r="BD19" i="1"/>
  <c r="BD38" i="1"/>
  <c r="BD50" i="1"/>
  <c r="BD85" i="1"/>
  <c r="BD110" i="1"/>
  <c r="BD88" i="1"/>
  <c r="BD102" i="1"/>
  <c r="BD116" i="1"/>
  <c r="BD137" i="1"/>
  <c r="BD154" i="1"/>
  <c r="BD201" i="1"/>
  <c r="BD216" i="1"/>
  <c r="BD224" i="1"/>
  <c r="BD170" i="1"/>
  <c r="BD86" i="1"/>
  <c r="BD132" i="1"/>
  <c r="BD12" i="1"/>
  <c r="BD35" i="1"/>
  <c r="BD28" i="1"/>
  <c r="BD44" i="1"/>
  <c r="BD103" i="1"/>
  <c r="BD153" i="1"/>
  <c r="BD92" i="1"/>
  <c r="BD80" i="1"/>
  <c r="BD97" i="1"/>
  <c r="BD115" i="1"/>
  <c r="BD79" i="1"/>
  <c r="BD98" i="1"/>
  <c r="BD113" i="1"/>
  <c r="BD158" i="1"/>
  <c r="BD185" i="1"/>
  <c r="BD186" i="1"/>
  <c r="BD223" i="1"/>
  <c r="BD222" i="1"/>
  <c r="BD194" i="1"/>
  <c r="BD52" i="1"/>
  <c r="BD31" i="1"/>
  <c r="BD22" i="1"/>
  <c r="BD40" i="1"/>
  <c r="BD108" i="1"/>
  <c r="BD66" i="1"/>
  <c r="BD100" i="1"/>
  <c r="BD114" i="1"/>
  <c r="BD144" i="1"/>
  <c r="BD171" i="1"/>
  <c r="BD187" i="1"/>
  <c r="BD195" i="1"/>
  <c r="BD202" i="1"/>
  <c r="BD221" i="1"/>
  <c r="BD225" i="1"/>
  <c r="AK234" i="1"/>
  <c r="BD5" i="1"/>
  <c r="BN5" i="1"/>
  <c r="BD83" i="1"/>
  <c r="BD54" i="1"/>
  <c r="BD21" i="1"/>
  <c r="BD39" i="1"/>
  <c r="BD67" i="1"/>
  <c r="BD151" i="1"/>
  <c r="BD234" i="1" l="1"/>
  <c r="BN234" i="1"/>
  <c r="H238" i="1"/>
  <c r="H237" i="1"/>
  <c r="H236" i="1"/>
  <c r="H235" i="1"/>
  <c r="H239" i="1" l="1"/>
  <c r="BS3" i="1" l="1"/>
  <c r="BO201" i="1" l="1"/>
  <c r="BO81" i="1"/>
  <c r="BO51" i="1"/>
  <c r="BO219" i="1"/>
  <c r="BO183" i="1"/>
  <c r="BO55" i="1"/>
  <c r="BO47" i="1"/>
  <c r="BO122" i="1"/>
  <c r="BO124" i="1"/>
  <c r="BO231" i="1"/>
  <c r="BO45" i="1"/>
  <c r="BO71" i="1"/>
  <c r="BO163" i="1"/>
  <c r="BO70" i="1"/>
  <c r="BO126" i="1"/>
  <c r="BO147" i="1"/>
  <c r="BO78" i="1"/>
  <c r="BO59" i="1"/>
  <c r="BO223" i="1"/>
  <c r="BO213" i="1"/>
  <c r="BO217" i="1"/>
  <c r="BO145" i="1"/>
  <c r="BO197" i="1"/>
  <c r="BO68" i="1"/>
  <c r="BO161" i="1"/>
  <c r="BO160" i="1"/>
  <c r="BO138" i="1"/>
  <c r="BO190" i="1"/>
  <c r="BO146" i="1"/>
  <c r="BO72" i="1"/>
  <c r="BO49" i="1"/>
  <c r="BO127" i="1"/>
  <c r="BO20" i="1"/>
  <c r="BO135" i="1"/>
  <c r="BO203" i="1"/>
  <c r="BO181" i="1"/>
  <c r="BO119" i="1"/>
  <c r="BO54" i="1"/>
  <c r="BO133" i="1"/>
  <c r="BO5" i="1"/>
  <c r="BO46" i="1"/>
  <c r="BO56" i="1"/>
  <c r="BO175" i="1"/>
  <c r="BO159" i="1"/>
  <c r="BO189" i="1"/>
  <c r="BO61" i="1"/>
  <c r="BO182" i="1"/>
  <c r="BO205" i="1"/>
  <c r="BO141" i="1"/>
  <c r="BO204" i="1"/>
  <c r="BO37" i="1"/>
  <c r="BO15" i="1"/>
  <c r="BO76" i="1"/>
  <c r="BO92" i="1"/>
  <c r="BO90" i="1"/>
  <c r="BO207" i="1"/>
  <c r="BO134" i="1"/>
  <c r="BO57" i="1"/>
  <c r="BO82" i="1"/>
  <c r="BO53" i="1"/>
  <c r="BO200" i="1"/>
  <c r="BO93" i="1"/>
  <c r="BO193" i="1"/>
  <c r="BO125" i="1"/>
  <c r="BO69" i="1"/>
  <c r="BO225" i="1"/>
  <c r="BO184" i="1"/>
  <c r="BO132" i="1"/>
  <c r="BO52" i="1"/>
  <c r="BO83" i="1"/>
  <c r="BO212" i="1"/>
  <c r="BO214" i="1"/>
  <c r="BO60" i="1"/>
  <c r="BO232" i="1"/>
  <c r="BO48" i="1"/>
  <c r="BO168" i="1"/>
  <c r="BO73" i="1"/>
  <c r="BO89" i="1"/>
  <c r="BO74" i="1"/>
  <c r="BO142" i="1"/>
  <c r="BO172" i="1"/>
  <c r="BO137" i="1"/>
  <c r="BO30" i="1"/>
  <c r="BP30" i="1" s="1"/>
  <c r="BQ30" i="1" s="1"/>
  <c r="BO63" i="1"/>
  <c r="BO148" i="1"/>
  <c r="BO91" i="1"/>
  <c r="BO12" i="1"/>
  <c r="BO233" i="1"/>
  <c r="BO176" i="1"/>
  <c r="BO123" i="1"/>
  <c r="BO220" i="1"/>
  <c r="BO114" i="1"/>
  <c r="BO170" i="1"/>
  <c r="BO58" i="1"/>
  <c r="BO178" i="1"/>
  <c r="BO162" i="1"/>
  <c r="BO191" i="1"/>
  <c r="BO75" i="1"/>
  <c r="BO140" i="1"/>
  <c r="BO167" i="1"/>
  <c r="BO149" i="1"/>
  <c r="BO62" i="1"/>
  <c r="BO86" i="1"/>
  <c r="BO139" i="1"/>
  <c r="BO206" i="1"/>
  <c r="BO26" i="1"/>
  <c r="BP26" i="1" s="1"/>
  <c r="BQ26" i="1" s="1"/>
  <c r="BO10" i="1"/>
  <c r="BO169" i="1"/>
  <c r="BO188" i="1"/>
  <c r="BO194" i="1"/>
  <c r="BO128" i="1"/>
  <c r="BO215" i="1"/>
  <c r="BO131" i="1"/>
  <c r="BO192" i="1"/>
  <c r="BO150" i="1"/>
  <c r="BO229" i="1"/>
  <c r="BO173" i="1"/>
  <c r="BO11" i="1"/>
  <c r="BO174" i="1"/>
  <c r="BO179" i="1"/>
  <c r="BO180" i="1"/>
  <c r="BO177" i="1"/>
  <c r="BO9" i="1"/>
  <c r="BO198" i="1"/>
  <c r="BO208" i="1"/>
  <c r="BO143" i="1"/>
  <c r="BO50" i="1"/>
  <c r="BO164" i="1"/>
  <c r="BO166" i="1"/>
  <c r="BO165" i="1"/>
  <c r="BO130" i="1"/>
  <c r="BO151" i="1"/>
  <c r="BO230" i="1"/>
  <c r="BP230" i="1" s="1"/>
  <c r="BQ230" i="1" s="1"/>
  <c r="BP18" i="1" l="1"/>
  <c r="BQ18" i="1" s="1"/>
  <c r="BP7" i="1"/>
  <c r="BQ7" i="1" s="1"/>
  <c r="BP6" i="1"/>
  <c r="BQ6" i="1" s="1"/>
  <c r="BP5" i="1"/>
  <c r="BQ5" i="1" s="1"/>
  <c r="BP104" i="1"/>
  <c r="BQ104" i="1" s="1"/>
  <c r="BP93" i="1"/>
  <c r="BQ93" i="1" s="1"/>
  <c r="BP83" i="1"/>
  <c r="BQ83" i="1" s="1"/>
  <c r="BP62" i="1"/>
  <c r="BQ62" i="1" s="1"/>
  <c r="BP125" i="1"/>
  <c r="BQ125" i="1" s="1"/>
  <c r="BP72" i="1"/>
  <c r="BQ72" i="1" s="1"/>
  <c r="BP205" i="1"/>
  <c r="BQ205" i="1" s="1"/>
  <c r="BP55" i="1"/>
  <c r="BQ55" i="1" s="1"/>
  <c r="BP133" i="1"/>
  <c r="BQ133" i="1" s="1"/>
  <c r="BP194" i="1"/>
  <c r="BQ194" i="1" s="1"/>
  <c r="BP145" i="1"/>
  <c r="BQ145" i="1" s="1"/>
  <c r="BP184" i="1"/>
  <c r="BQ184" i="1" s="1"/>
  <c r="BP45" i="1"/>
  <c r="BQ45" i="1" s="1"/>
  <c r="BP114" i="1"/>
  <c r="BQ114" i="1" s="1"/>
  <c r="BP135" i="1"/>
  <c r="BQ135" i="1" s="1"/>
  <c r="BP173" i="1"/>
  <c r="BQ173" i="1" s="1"/>
  <c r="BP151" i="1"/>
  <c r="BQ151" i="1" s="1"/>
  <c r="BP162" i="1"/>
  <c r="BQ162" i="1" s="1"/>
  <c r="BP8" i="1"/>
  <c r="BQ8" i="1" s="1"/>
  <c r="BP225" i="1"/>
  <c r="BQ225" i="1" s="1"/>
  <c r="BP15" i="1"/>
  <c r="BQ15" i="1" s="1"/>
  <c r="BP16" i="1"/>
  <c r="BQ16" i="1" s="1"/>
  <c r="BP50" i="1"/>
  <c r="BQ50" i="1" s="1"/>
  <c r="BP215" i="1"/>
  <c r="BQ2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5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红色字房号和抵押物清单房号对不上</t>
        </r>
      </text>
    </comment>
  </commentList>
</comments>
</file>

<file path=xl/sharedStrings.xml><?xml version="1.0" encoding="utf-8"?>
<sst xmlns="http://schemas.openxmlformats.org/spreadsheetml/2006/main" count="3141" uniqueCount="141">
  <si>
    <t>容积率</t>
    <phoneticPr fontId="3" type="noConversion"/>
  </si>
  <si>
    <t>建筑物原值单价（办公）</t>
    <phoneticPr fontId="3" type="noConversion"/>
  </si>
  <si>
    <r>
      <rPr>
        <sz val="11"/>
        <rFont val="宋体"/>
        <family val="3"/>
        <charset val="134"/>
      </rPr>
      <t>维修费率</t>
    </r>
    <phoneticPr fontId="6" type="noConversion"/>
  </si>
  <si>
    <r>
      <rPr>
        <sz val="11"/>
        <rFont val="宋体"/>
        <family val="3"/>
        <charset val="134"/>
      </rPr>
      <t>保险费率</t>
    </r>
    <phoneticPr fontId="6" type="noConversion"/>
  </si>
  <si>
    <r>
      <rPr>
        <sz val="11"/>
        <rFont val="宋体"/>
        <family val="3"/>
        <charset val="134"/>
      </rPr>
      <t>管理费率</t>
    </r>
    <phoneticPr fontId="6" type="noConversion"/>
  </si>
  <si>
    <t>押金方式</t>
    <phoneticPr fontId="3" type="noConversion"/>
  </si>
  <si>
    <t>一年期存款利率</t>
    <phoneticPr fontId="3" type="noConversion"/>
  </si>
  <si>
    <t>租金年增长率</t>
    <phoneticPr fontId="3" type="noConversion"/>
  </si>
  <si>
    <t>空置率</t>
    <phoneticPr fontId="3" type="noConversion"/>
  </si>
  <si>
    <t>报酬率</t>
    <phoneticPr fontId="3" type="noConversion"/>
  </si>
  <si>
    <t>低区</t>
    <phoneticPr fontId="3" type="noConversion"/>
  </si>
  <si>
    <t>中区</t>
    <phoneticPr fontId="3" type="noConversion"/>
  </si>
  <si>
    <t>高区</t>
    <phoneticPr fontId="3" type="noConversion"/>
  </si>
  <si>
    <t>建筑物原值单价-车库</t>
    <phoneticPr fontId="3" type="noConversion"/>
  </si>
  <si>
    <t>建筑物原值单价-商业</t>
    <phoneticPr fontId="3" type="noConversion"/>
  </si>
  <si>
    <t>车库建筑物价值折现</t>
    <phoneticPr fontId="3" type="noConversion"/>
  </si>
  <si>
    <t>办公建筑物价值折现</t>
    <phoneticPr fontId="3" type="noConversion"/>
  </si>
  <si>
    <t>商业建筑物价值折现</t>
    <phoneticPr fontId="3" type="noConversion"/>
  </si>
  <si>
    <t>押三</t>
  </si>
  <si>
    <t>租约期内或无租约</t>
    <phoneticPr fontId="3" type="noConversion"/>
  </si>
  <si>
    <t>租约期外</t>
    <phoneticPr fontId="3" type="noConversion"/>
  </si>
  <si>
    <t>承租人权益</t>
    <phoneticPr fontId="3" type="noConversion"/>
  </si>
  <si>
    <t>序号</t>
  </si>
  <si>
    <t>地址</t>
    <phoneticPr fontId="3" type="noConversion"/>
  </si>
  <si>
    <t>楼号</t>
    <phoneticPr fontId="3" type="noConversion"/>
  </si>
  <si>
    <t>房号</t>
  </si>
  <si>
    <t>建筑面积㎡</t>
  </si>
  <si>
    <t>房屋规划用途</t>
  </si>
  <si>
    <t>备注</t>
    <phoneticPr fontId="3" type="noConversion"/>
  </si>
  <si>
    <t>土地使用权</t>
    <phoneticPr fontId="3" type="noConversion"/>
  </si>
  <si>
    <t>估价时点</t>
    <phoneticPr fontId="3" type="noConversion"/>
  </si>
  <si>
    <t>土地剩余年限</t>
    <phoneticPr fontId="3" type="noConversion"/>
  </si>
  <si>
    <t>存在租约</t>
    <phoneticPr fontId="3" type="noConversion"/>
  </si>
  <si>
    <t>合计面积</t>
    <phoneticPr fontId="3" type="noConversion"/>
  </si>
  <si>
    <t>实际楼层</t>
    <phoneticPr fontId="3" type="noConversion"/>
  </si>
  <si>
    <t>楼层</t>
    <phoneticPr fontId="3" type="noConversion"/>
  </si>
  <si>
    <t>建成年代</t>
    <phoneticPr fontId="3" type="noConversion"/>
  </si>
  <si>
    <t>分摊土地面积（㎡）</t>
    <phoneticPr fontId="6" type="noConversion"/>
  </si>
  <si>
    <r>
      <rPr>
        <sz val="10"/>
        <rFont val="宋体"/>
        <family val="3"/>
        <charset val="134"/>
      </rPr>
      <t>城镇土地使用税</t>
    </r>
    <phoneticPr fontId="6" type="noConversion"/>
  </si>
  <si>
    <t>建筑物原值</t>
    <phoneticPr fontId="3" type="noConversion"/>
  </si>
  <si>
    <t>维修费</t>
    <phoneticPr fontId="6" type="noConversion"/>
  </si>
  <si>
    <t>租约期内成新度</t>
    <phoneticPr fontId="6" type="noConversion"/>
  </si>
  <si>
    <t>租约期内现值</t>
    <phoneticPr fontId="3" type="noConversion"/>
  </si>
  <si>
    <t>保险费</t>
    <phoneticPr fontId="6" type="noConversion"/>
  </si>
  <si>
    <t>管理费</t>
    <phoneticPr fontId="3" type="noConversion"/>
  </si>
  <si>
    <t>两税两费</t>
    <phoneticPr fontId="6" type="noConversion"/>
  </si>
  <si>
    <t>房产税</t>
    <phoneticPr fontId="6" type="noConversion"/>
  </si>
  <si>
    <r>
      <rPr>
        <sz val="10"/>
        <rFont val="宋体"/>
        <family val="3"/>
        <charset val="134"/>
      </rPr>
      <t>税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费</t>
    </r>
  </si>
  <si>
    <t>年经营费用</t>
    <phoneticPr fontId="3" type="noConversion"/>
  </si>
  <si>
    <t>租约期内第一年净收益单价</t>
    <phoneticPr fontId="3" type="noConversion"/>
  </si>
  <si>
    <t>租约期内第一年租金收益</t>
    <phoneticPr fontId="3" type="noConversion"/>
  </si>
  <si>
    <t>押金利息</t>
    <phoneticPr fontId="3" type="noConversion"/>
  </si>
  <si>
    <t>租约期内第一年总收益</t>
    <phoneticPr fontId="3" type="noConversion"/>
  </si>
  <si>
    <t>增长率</t>
    <phoneticPr fontId="3" type="noConversion"/>
  </si>
  <si>
    <t>租约到期日</t>
    <phoneticPr fontId="3" type="noConversion"/>
  </si>
  <si>
    <t>租约期内收益年限</t>
    <phoneticPr fontId="3" type="noConversion"/>
  </si>
  <si>
    <t>第一年净收益</t>
    <phoneticPr fontId="3" type="noConversion"/>
  </si>
  <si>
    <t>收益价值</t>
    <phoneticPr fontId="3" type="noConversion"/>
  </si>
  <si>
    <t>租约期外成新度</t>
    <phoneticPr fontId="3" type="noConversion"/>
  </si>
  <si>
    <t>租约期外现值</t>
    <phoneticPr fontId="3" type="noConversion"/>
  </si>
  <si>
    <t>当前市场租金</t>
    <phoneticPr fontId="3" type="noConversion"/>
  </si>
  <si>
    <t>租约期外租金</t>
    <phoneticPr fontId="3" type="noConversion"/>
  </si>
  <si>
    <t>租金收入</t>
    <phoneticPr fontId="3" type="noConversion"/>
  </si>
  <si>
    <t>租约期外第一年总收益</t>
    <phoneticPr fontId="3" type="noConversion"/>
  </si>
  <si>
    <t>租约期外收益年限</t>
    <phoneticPr fontId="3" type="noConversion"/>
  </si>
  <si>
    <t>折现价值</t>
    <phoneticPr fontId="3" type="noConversion"/>
  </si>
  <si>
    <t>建筑物价值折现</t>
    <phoneticPr fontId="3" type="noConversion"/>
  </si>
  <si>
    <t>收益法总值（万元）</t>
    <phoneticPr fontId="3" type="noConversion"/>
  </si>
  <si>
    <t>承租人租金收入</t>
    <phoneticPr fontId="3" type="noConversion"/>
  </si>
  <si>
    <t>第一年总收益</t>
    <phoneticPr fontId="3" type="noConversion"/>
  </si>
  <si>
    <t>管理费用</t>
    <phoneticPr fontId="3" type="noConversion"/>
  </si>
  <si>
    <t>两税两费</t>
    <phoneticPr fontId="3" type="noConversion"/>
  </si>
  <si>
    <t>按租约分价值</t>
    <phoneticPr fontId="3" type="noConversion"/>
  </si>
  <si>
    <t>公式行</t>
    <phoneticPr fontId="3" type="noConversion"/>
  </si>
  <si>
    <t>办公</t>
    <phoneticPr fontId="3" type="noConversion"/>
  </si>
  <si>
    <t>地上</t>
    <phoneticPr fontId="3" type="noConversion"/>
  </si>
  <si>
    <t>朝阳区光华路4号院</t>
    <phoneticPr fontId="3" type="noConversion"/>
  </si>
  <si>
    <t>2号楼</t>
    <phoneticPr fontId="3" type="noConversion"/>
  </si>
  <si>
    <t>车库</t>
    <phoneticPr fontId="3" type="noConversion"/>
  </si>
  <si>
    <t>地下</t>
    <phoneticPr fontId="3" type="noConversion"/>
  </si>
  <si>
    <t>整体出租</t>
    <phoneticPr fontId="3" type="noConversion"/>
  </si>
  <si>
    <t>——</t>
    <phoneticPr fontId="3" type="noConversion"/>
  </si>
  <si>
    <t>朝阳区光华路4号院</t>
  </si>
  <si>
    <t>办公用房</t>
  </si>
  <si>
    <t>是</t>
    <phoneticPr fontId="3" type="noConversion"/>
  </si>
  <si>
    <t>3号楼</t>
    <phoneticPr fontId="3" type="noConversion"/>
  </si>
  <si>
    <t>商务</t>
  </si>
  <si>
    <t>商业</t>
  </si>
  <si>
    <t>1</t>
  </si>
  <si>
    <t>11层</t>
    <phoneticPr fontId="3" type="noConversion"/>
  </si>
  <si>
    <t>21层</t>
    <phoneticPr fontId="3" type="noConversion"/>
  </si>
  <si>
    <t>1205-2</t>
    <phoneticPr fontId="3" type="noConversion"/>
  </si>
  <si>
    <t>1205-1</t>
    <phoneticPr fontId="3" type="noConversion"/>
  </si>
  <si>
    <t>商务</t>
    <phoneticPr fontId="3" type="noConversion"/>
  </si>
  <si>
    <t>商业</t>
    <phoneticPr fontId="3" type="noConversion"/>
  </si>
  <si>
    <t>办公用房</t>
    <phoneticPr fontId="3" type="noConversion"/>
  </si>
  <si>
    <t>合计</t>
    <phoneticPr fontId="3" type="noConversion"/>
  </si>
  <si>
    <t>地址</t>
  </si>
  <si>
    <t>楼号</t>
  </si>
  <si>
    <t>备注</t>
  </si>
  <si>
    <t>实际楼层</t>
  </si>
  <si>
    <t>楼层</t>
  </si>
  <si>
    <t>收益法总值（万元）</t>
  </si>
  <si>
    <t>按租约分价值</t>
  </si>
  <si>
    <t>分楼层</t>
  </si>
  <si>
    <t>2号楼</t>
  </si>
  <si>
    <t>车库</t>
  </si>
  <si>
    <t>地下</t>
  </si>
  <si>
    <t>地上</t>
  </si>
  <si>
    <t>低区</t>
  </si>
  <si>
    <t>3号楼</t>
  </si>
  <si>
    <t>中区</t>
  </si>
  <si>
    <t>高区</t>
  </si>
  <si>
    <t>1205-2</t>
  </si>
  <si>
    <t>1205-1</t>
  </si>
  <si>
    <t>合计</t>
  </si>
  <si>
    <t>含101</t>
    <phoneticPr fontId="3" type="noConversion"/>
  </si>
  <si>
    <t>按面积分配价值</t>
    <phoneticPr fontId="3" type="noConversion"/>
  </si>
  <si>
    <t>单价</t>
    <phoneticPr fontId="3" type="noConversion"/>
  </si>
  <si>
    <t>分楼层价值</t>
    <phoneticPr fontId="3" type="noConversion"/>
  </si>
  <si>
    <t>单价</t>
    <phoneticPr fontId="3" type="noConversion"/>
  </si>
  <si>
    <t>备注</t>
    <phoneticPr fontId="3" type="noConversion"/>
  </si>
  <si>
    <t>地下</t>
    <phoneticPr fontId="3" type="noConversion"/>
  </si>
  <si>
    <t>中国工商银行股份有限公司北京商务中心区支行，租约到2024年1月</t>
    <phoneticPr fontId="3" type="noConversion"/>
  </si>
  <si>
    <t>四世同堂整体租赁，租约到2038年7月</t>
    <phoneticPr fontId="3" type="noConversion"/>
  </si>
  <si>
    <t>11、21层整体租赁北京顺源山辉科技有限公司，租约到2032年11月</t>
    <phoneticPr fontId="3" type="noConversion"/>
  </si>
  <si>
    <t>备注</t>
    <phoneticPr fontId="3" type="noConversion"/>
  </si>
  <si>
    <t>建筑面积（㎡）</t>
  </si>
  <si>
    <t>分楼层价值（万元）</t>
  </si>
  <si>
    <t>96个车位</t>
  </si>
  <si>
    <t>地下车库整体承包经营，承包期至2032年12月</t>
  </si>
  <si>
    <t>107个车位</t>
  </si>
  <si>
    <t>108个车位</t>
  </si>
  <si>
    <t>部分存在租约</t>
  </si>
  <si>
    <t>分楼层价值</t>
  </si>
  <si>
    <t>　部分存在租约</t>
  </si>
  <si>
    <t>中国工商银行股份有限公司北京商务中心区支行，租约到2024年1月</t>
  </si>
  <si>
    <t>四世同堂整体租赁，租约到2038年7月</t>
  </si>
  <si>
    <t>11、21层整体租赁，租约到2032年11月</t>
  </si>
  <si>
    <t>不存在租约　</t>
  </si>
  <si>
    <t>部分存在租约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</si>
</sst>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0.00_);[Red]\(0.00\)"/>
    <numFmt numFmtId="178" formatCode="0.00_ ;[Red]\-0.00\ "/>
    <numFmt numFmtId="179" formatCode="0_ ;[Red]\-0\ "/>
    <numFmt numFmtId="180" formatCode="0.0%"/>
    <numFmt numFmtId="181" formatCode="0.00_ "/>
    <numFmt numFmtId="182" formatCode="0.0_ "/>
    <numFmt numFmtId="183" formatCode="0.000"/>
    <numFmt numFmtId="184" formatCode="0.0_);[Red]\(0.0\)"/>
  </numFmts>
  <fonts count="22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b/>
      <sz val="10"/>
      <name val="Arial"/>
      <family val="2"/>
    </font>
    <font>
      <b/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0.5"/>
      <color theme="1"/>
      <name val="华文细黑"/>
      <family val="3"/>
      <charset val="134"/>
    </font>
    <font>
      <sz val="10.5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10" fontId="2" fillId="0" borderId="1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9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178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180" fontId="8" fillId="2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0" fontId="8" fillId="0" borderId="1" xfId="0" applyNumberFormat="1" applyFont="1" applyBorder="1" applyAlignment="1" applyProtection="1">
      <alignment horizontal="center" vertical="center"/>
      <protection locked="0"/>
    </xf>
    <xf numFmtId="9" fontId="8" fillId="0" borderId="1" xfId="0" applyNumberFormat="1" applyFont="1" applyBorder="1" applyAlignment="1" applyProtection="1">
      <alignment horizontal="center" vertical="center"/>
      <protection locked="0"/>
    </xf>
    <xf numFmtId="0" fontId="2" fillId="4" borderId="1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10" fontId="2" fillId="4" borderId="1" xfId="0" applyNumberFormat="1" applyFont="1" applyFill="1" applyBorder="1">
      <alignment vertical="center"/>
    </xf>
    <xf numFmtId="14" fontId="2" fillId="4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2" fillId="5" borderId="1" xfId="0" applyNumberFormat="1" applyFont="1" applyFill="1" applyBorder="1">
      <alignment vertical="center"/>
    </xf>
    <xf numFmtId="0" fontId="2" fillId="5" borderId="1" xfId="0" applyFont="1" applyFill="1" applyBorder="1">
      <alignment vertical="center"/>
    </xf>
    <xf numFmtId="177" fontId="2" fillId="5" borderId="1" xfId="0" applyNumberFormat="1" applyFont="1" applyFill="1" applyBorder="1">
      <alignment vertical="center"/>
    </xf>
    <xf numFmtId="178" fontId="7" fillId="5" borderId="1" xfId="0" applyNumberFormat="1" applyFont="1" applyFill="1" applyBorder="1">
      <alignment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  <xf numFmtId="179" fontId="2" fillId="5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0" fontId="11" fillId="7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81" fontId="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8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177" fontId="11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6" fontId="7" fillId="6" borderId="1" xfId="0" applyNumberFormat="1" applyFont="1" applyFill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left" vertical="center"/>
    </xf>
    <xf numFmtId="179" fontId="2" fillId="5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83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83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6" fillId="7" borderId="1" xfId="0" applyFont="1" applyFill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/>
    </xf>
    <xf numFmtId="183" fontId="16" fillId="7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" fontId="0" fillId="7" borderId="1" xfId="0" applyNumberFormat="1" applyFill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181" fontId="2" fillId="9" borderId="1" xfId="0" applyNumberFormat="1" applyFont="1" applyFill="1" applyBorder="1" applyAlignment="1">
      <alignment horizontal="center" vertical="center" wrapText="1"/>
    </xf>
    <xf numFmtId="9" fontId="2" fillId="9" borderId="1" xfId="0" applyNumberFormat="1" applyFont="1" applyFill="1" applyBorder="1" applyAlignment="1">
      <alignment horizontal="center" vertical="center" wrapText="1"/>
    </xf>
    <xf numFmtId="177" fontId="7" fillId="9" borderId="1" xfId="0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/>
    </xf>
    <xf numFmtId="181" fontId="7" fillId="9" borderId="1" xfId="0" applyNumberFormat="1" applyFont="1" applyFill="1" applyBorder="1" applyAlignment="1">
      <alignment horizontal="center" vertical="center" wrapText="1"/>
    </xf>
    <xf numFmtId="177" fontId="2" fillId="9" borderId="1" xfId="0" applyNumberFormat="1" applyFont="1" applyFill="1" applyBorder="1" applyAlignment="1">
      <alignment horizontal="center" vertical="center" wrapText="1"/>
    </xf>
    <xf numFmtId="178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76" fontId="2" fillId="9" borderId="1" xfId="0" applyNumberFormat="1" applyFont="1" applyFill="1" applyBorder="1" applyAlignment="1">
      <alignment horizontal="center" vertical="center" wrapText="1"/>
    </xf>
    <xf numFmtId="176" fontId="7" fillId="9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177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78" fontId="7" fillId="9" borderId="1" xfId="0" applyNumberFormat="1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  <xf numFmtId="176" fontId="7" fillId="9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2" fillId="9" borderId="1" xfId="0" applyNumberFormat="1" applyFont="1" applyFill="1" applyBorder="1" applyAlignment="1">
      <alignment horizontal="center" vertical="center" wrapText="1"/>
    </xf>
    <xf numFmtId="179" fontId="2" fillId="9" borderId="1" xfId="0" applyNumberFormat="1" applyFont="1" applyFill="1" applyBorder="1" applyAlignment="1">
      <alignment horizontal="center" vertical="center"/>
    </xf>
    <xf numFmtId="14" fontId="7" fillId="9" borderId="1" xfId="0" applyNumberFormat="1" applyFont="1" applyFill="1" applyBorder="1" applyAlignment="1">
      <alignment horizontal="center" vertical="center"/>
    </xf>
    <xf numFmtId="10" fontId="7" fillId="9" borderId="1" xfId="0" applyNumberFormat="1" applyFont="1" applyFill="1" applyBorder="1" applyAlignment="1">
      <alignment horizontal="center" vertical="center" wrapText="1"/>
    </xf>
    <xf numFmtId="176" fontId="7" fillId="9" borderId="1" xfId="0" applyNumberFormat="1" applyFont="1" applyFill="1" applyBorder="1" applyAlignment="1">
      <alignment vertical="center" wrapText="1"/>
    </xf>
    <xf numFmtId="184" fontId="7" fillId="9" borderId="1" xfId="0" applyNumberFormat="1" applyFont="1" applyFill="1" applyBorder="1" applyAlignment="1">
      <alignment vertical="center" wrapText="1"/>
    </xf>
    <xf numFmtId="177" fontId="13" fillId="9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7" fillId="9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0" fontId="7" fillId="9" borderId="1" xfId="0" applyNumberFormat="1" applyFont="1" applyFill="1" applyBorder="1" applyAlignment="1">
      <alignment horizontal="center" vertical="center" wrapText="1"/>
    </xf>
    <xf numFmtId="9" fontId="7" fillId="9" borderId="1" xfId="0" applyNumberFormat="1" applyFont="1" applyFill="1" applyBorder="1" applyAlignment="1">
      <alignment horizontal="center" vertical="center" wrapText="1"/>
    </xf>
    <xf numFmtId="178" fontId="7" fillId="9" borderId="1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/>
    </xf>
    <xf numFmtId="179" fontId="7" fillId="9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0" fontId="2" fillId="6" borderId="1" xfId="1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7" fontId="13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/>
    </xf>
    <xf numFmtId="178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0" fontId="2" fillId="9" borderId="1" xfId="0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  <xf numFmtId="179" fontId="2" fillId="9" borderId="1" xfId="0" applyNumberFormat="1" applyFont="1" applyFill="1" applyBorder="1" applyAlignment="1">
      <alignment horizontal="center" vertical="center"/>
    </xf>
    <xf numFmtId="176" fontId="7" fillId="9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9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0" fillId="7" borderId="1" xfId="0" applyNumberFormat="1" applyFill="1" applyBorder="1" applyAlignment="1">
      <alignment horizontal="center" vertical="center"/>
    </xf>
    <xf numFmtId="183" fontId="1" fillId="7" borderId="1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16" fillId="2" borderId="0" xfId="0" applyFont="1" applyFill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28575</xdr:colOff>
      <xdr:row>4</xdr:row>
      <xdr:rowOff>85725</xdr:rowOff>
    </xdr:from>
    <xdr:to>
      <xdr:col>85</xdr:col>
      <xdr:colOff>513604</xdr:colOff>
      <xdr:row>21</xdr:row>
      <xdr:rowOff>85295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8AEA048-7E01-420A-8938-F6D9BCFFB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7075" y="1809750"/>
          <a:ext cx="5971429" cy="34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96;&#26041;&#26757;&#22320;&#20122;&#35843;&#25972;&#27979;&#31639;(&#26368;&#32456;&#29256;202304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常用公式"/>
      <sheetName val="数据-基础表"/>
      <sheetName val="项目基本情况"/>
      <sheetName val="估价对象房地状况"/>
      <sheetName val="数据-取费表"/>
      <sheetName val="数据-汇总表"/>
      <sheetName val="系统读取表"/>
      <sheetName val="结果表"/>
      <sheetName val="收益法-办公"/>
      <sheetName val="3种方法结果汇总"/>
      <sheetName val="收益法汇总"/>
      <sheetName val="Sheet1"/>
      <sheetName val="收益法-车库"/>
      <sheetName val="收益法-商业"/>
      <sheetName val="比较法-大宗 (2)"/>
      <sheetName val="比较法-大宗"/>
      <sheetName val="比较法-办公地上"/>
      <sheetName val="比较法-办公地下 (换案例)"/>
      <sheetName val="比较法-办公地下"/>
      <sheetName val="比较法-商业1层"/>
      <sheetName val="比较法-商业2层"/>
      <sheetName val="比较法-车位"/>
      <sheetName val="收益法"/>
      <sheetName val="成本法汇总"/>
      <sheetName val="成本法-办公"/>
      <sheetName val="成本法-商业"/>
      <sheetName val="成本法-车库"/>
      <sheetName val="成本法"/>
      <sheetName val="成本法-办公（元）"/>
      <sheetName val="假设开发法"/>
      <sheetName val="收益法-酒店模型"/>
      <sheetName val="成本法-商业（元）"/>
      <sheetName val="成本法-车库（元）"/>
      <sheetName val="收益法（汇总）"/>
      <sheetName val="比较法-住宅"/>
      <sheetName val="比较法-工业"/>
      <sheetName val="比较法-仓储"/>
      <sheetName val="土地比较法-住宅、综合"/>
      <sheetName val="土地比较法-工业"/>
      <sheetName val="基准地价（汇总）"/>
      <sheetName val="基准地价修正-办公"/>
      <sheetName val="修正"/>
      <sheetName val="基准地价修正-商业"/>
      <sheetName val="典型户型修正"/>
      <sheetName val="容积率修正"/>
      <sheetName val="成本法（废）"/>
      <sheetName val="区片价"/>
      <sheetName val="因素修正幅度"/>
      <sheetName val="区片价（范围）"/>
      <sheetName val="地价-分区"/>
      <sheetName val="地价"/>
      <sheetName val="存贷款利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注册房地产估价师</v>
          </cell>
        </row>
        <row r="4">
          <cell r="A4" t="str">
            <v>梁津</v>
          </cell>
        </row>
        <row r="5">
          <cell r="A5" t="str">
            <v>叶凌</v>
          </cell>
        </row>
        <row r="6">
          <cell r="A6" t="str">
            <v>王鹏</v>
          </cell>
        </row>
        <row r="7">
          <cell r="A7" t="str">
            <v>欧红伟</v>
          </cell>
        </row>
        <row r="8">
          <cell r="A8" t="str">
            <v>吴薇</v>
          </cell>
        </row>
        <row r="9">
          <cell r="A9" t="str">
            <v>陈颖</v>
          </cell>
        </row>
        <row r="10">
          <cell r="A10" t="str">
            <v>崔锴</v>
          </cell>
        </row>
        <row r="11">
          <cell r="A11" t="str">
            <v>郑燚</v>
          </cell>
        </row>
        <row r="12">
          <cell r="A12" t="str">
            <v>苏海</v>
          </cell>
        </row>
        <row r="13">
          <cell r="A13" t="str">
            <v>刘敬东</v>
          </cell>
        </row>
        <row r="14">
          <cell r="A14" t="str">
            <v>刘俊财</v>
          </cell>
        </row>
        <row r="15">
          <cell r="A15" t="str">
            <v>宁小鳗</v>
          </cell>
        </row>
      </sheetData>
      <sheetData sheetId="9">
        <row r="1">
          <cell r="A1" t="str">
            <v>用途类型</v>
          </cell>
          <cell r="B1" t="str">
            <v>估价方法</v>
          </cell>
          <cell r="C1" t="str">
            <v>土地级别</v>
          </cell>
          <cell r="D1" t="str">
            <v>估价范围判定</v>
          </cell>
          <cell r="F1" t="str">
            <v>主用途</v>
          </cell>
          <cell r="G1" t="str">
            <v>法定最高年限</v>
          </cell>
          <cell r="H1" t="str">
            <v>地类判定</v>
          </cell>
          <cell r="J1" t="str">
            <v>类别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N1" t="str">
            <v>产业集聚程度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U1" t="str">
            <v>内部装修维护情况</v>
          </cell>
          <cell r="V1" t="str">
            <v>单价内涵</v>
          </cell>
          <cell r="W1" t="str">
            <v>五等判定</v>
          </cell>
        </row>
        <row r="2">
          <cell r="A2" t="str">
            <v>——</v>
          </cell>
          <cell r="B2" t="str">
            <v>成本法</v>
          </cell>
          <cell r="C2" t="str">
            <v>一级</v>
          </cell>
          <cell r="D2" t="str">
            <v>是</v>
          </cell>
          <cell r="E2" t="str">
            <v>地上</v>
          </cell>
          <cell r="F2" t="str">
            <v>住宅</v>
          </cell>
          <cell r="G2">
            <v>20</v>
          </cell>
          <cell r="H2" t="str">
            <v>住宅</v>
          </cell>
          <cell r="J2" t="str">
            <v>经营性</v>
          </cell>
          <cell r="K2" t="str">
            <v>好</v>
          </cell>
          <cell r="L2" t="str">
            <v>好</v>
          </cell>
          <cell r="M2" t="str">
            <v>好</v>
          </cell>
          <cell r="N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U2" t="str">
            <v>好</v>
          </cell>
          <cell r="V2" t="str">
            <v>单位面积地价</v>
          </cell>
          <cell r="W2" t="str">
            <v>好</v>
          </cell>
        </row>
        <row r="3">
          <cell r="A3" t="str">
            <v>平层住宅</v>
          </cell>
          <cell r="B3" t="str">
            <v>成本法 (元)</v>
          </cell>
          <cell r="C3" t="str">
            <v>二级</v>
          </cell>
          <cell r="D3" t="str">
            <v>否</v>
          </cell>
          <cell r="E3" t="str">
            <v>——</v>
          </cell>
          <cell r="F3" t="str">
            <v>商业</v>
          </cell>
          <cell r="G3">
            <v>40</v>
          </cell>
          <cell r="H3" t="str">
            <v>商业</v>
          </cell>
          <cell r="J3" t="str">
            <v>非经营性</v>
          </cell>
          <cell r="K3" t="str">
            <v>较好</v>
          </cell>
          <cell r="L3" t="str">
            <v>较好</v>
          </cell>
          <cell r="M3" t="str">
            <v>较好</v>
          </cell>
          <cell r="N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U3" t="str">
            <v>较好</v>
          </cell>
          <cell r="V3" t="str">
            <v>楼面地价</v>
          </cell>
          <cell r="W3" t="str">
            <v>较好</v>
          </cell>
        </row>
        <row r="4">
          <cell r="A4" t="str">
            <v>LOFT住宅</v>
          </cell>
          <cell r="B4" t="str">
            <v>假设开发法</v>
          </cell>
          <cell r="C4" t="str">
            <v>三级</v>
          </cell>
          <cell r="D4" t="str">
            <v>——</v>
          </cell>
          <cell r="E4" t="str">
            <v>地下</v>
          </cell>
          <cell r="F4" t="str">
            <v>办公</v>
          </cell>
          <cell r="G4">
            <v>50</v>
          </cell>
          <cell r="H4" t="str">
            <v>办公</v>
          </cell>
          <cell r="K4" t="str">
            <v>一般</v>
          </cell>
          <cell r="L4" t="str">
            <v>一般</v>
          </cell>
          <cell r="M4" t="str">
            <v>一般</v>
          </cell>
          <cell r="N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U4" t="str">
            <v>一般</v>
          </cell>
          <cell r="W4" t="str">
            <v>一般</v>
          </cell>
        </row>
        <row r="5">
          <cell r="A5" t="str">
            <v>普通住宅</v>
          </cell>
          <cell r="B5" t="str">
            <v>收益法</v>
          </cell>
          <cell r="C5" t="str">
            <v>四级</v>
          </cell>
          <cell r="F5" t="str">
            <v>工业</v>
          </cell>
          <cell r="G5">
            <v>70</v>
          </cell>
          <cell r="H5" t="str">
            <v>车库</v>
          </cell>
          <cell r="K5" t="str">
            <v>较差</v>
          </cell>
          <cell r="L5" t="str">
            <v>较差</v>
          </cell>
          <cell r="M5" t="str">
            <v>较差</v>
          </cell>
          <cell r="N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U5" t="str">
            <v>较差</v>
          </cell>
          <cell r="W5" t="str">
            <v>较差</v>
          </cell>
        </row>
        <row r="6">
          <cell r="A6" t="str">
            <v>公寓</v>
          </cell>
          <cell r="B6" t="str">
            <v>收益法 (元)</v>
          </cell>
          <cell r="C6" t="str">
            <v>五级</v>
          </cell>
          <cell r="F6" t="str">
            <v>车库</v>
          </cell>
          <cell r="H6" t="str">
            <v>仓储</v>
          </cell>
          <cell r="K6" t="str">
            <v>差</v>
          </cell>
          <cell r="L6" t="str">
            <v>差</v>
          </cell>
          <cell r="M6" t="str">
            <v>差</v>
          </cell>
          <cell r="N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U6" t="str">
            <v>差</v>
          </cell>
          <cell r="W6" t="str">
            <v>差</v>
          </cell>
        </row>
        <row r="7">
          <cell r="A7" t="str">
            <v>洋房</v>
          </cell>
          <cell r="B7" t="str">
            <v>收益法（汇总）</v>
          </cell>
          <cell r="C7" t="str">
            <v>六级</v>
          </cell>
          <cell r="F7" t="str">
            <v>车库—商业</v>
          </cell>
          <cell r="H7" t="str">
            <v>工业</v>
          </cell>
        </row>
        <row r="8">
          <cell r="A8" t="str">
            <v>叠拼</v>
          </cell>
          <cell r="B8" t="str">
            <v>比较法-住宅</v>
          </cell>
          <cell r="C8" t="str">
            <v>七级</v>
          </cell>
          <cell r="F8" t="str">
            <v>车库—办公</v>
          </cell>
          <cell r="H8" t="str">
            <v>公共服务</v>
          </cell>
        </row>
        <row r="9">
          <cell r="A9" t="str">
            <v>联排</v>
          </cell>
          <cell r="B9" t="str">
            <v>比较法-商业</v>
          </cell>
          <cell r="C9" t="str">
            <v>八级</v>
          </cell>
          <cell r="F9" t="str">
            <v>仓储</v>
          </cell>
        </row>
        <row r="10">
          <cell r="A10" t="str">
            <v>双拼</v>
          </cell>
          <cell r="B10" t="str">
            <v>比较法-办公</v>
          </cell>
          <cell r="C10" t="str">
            <v>九级</v>
          </cell>
          <cell r="F10" t="str">
            <v>公共服务</v>
          </cell>
        </row>
        <row r="11">
          <cell r="A11" t="str">
            <v>独栋</v>
          </cell>
          <cell r="B11" t="str">
            <v>比较法-工业</v>
          </cell>
          <cell r="C11" t="str">
            <v>十级</v>
          </cell>
          <cell r="F11" t="str">
            <v>——</v>
          </cell>
        </row>
        <row r="12">
          <cell r="A12" t="str">
            <v>底商</v>
          </cell>
          <cell r="B12" t="str">
            <v>比较法-车位</v>
          </cell>
          <cell r="C12" t="str">
            <v>十一级</v>
          </cell>
        </row>
        <row r="13">
          <cell r="A13" t="str">
            <v>独立商业</v>
          </cell>
          <cell r="B13" t="str">
            <v>比较法-仓储</v>
          </cell>
          <cell r="C13" t="str">
            <v>十二级</v>
          </cell>
        </row>
        <row r="14">
          <cell r="A14" t="str">
            <v>商业街</v>
          </cell>
          <cell r="B14" t="str">
            <v>土地比较法-住宅、综合</v>
          </cell>
          <cell r="C14" t="str">
            <v>——</v>
          </cell>
        </row>
        <row r="15">
          <cell r="A15" t="str">
            <v>酒店</v>
          </cell>
          <cell r="B15" t="str">
            <v>土地比较法-工业</v>
          </cell>
        </row>
        <row r="16">
          <cell r="A16" t="str">
            <v>标准厂房</v>
          </cell>
          <cell r="B16" t="str">
            <v>基准地价修正</v>
          </cell>
        </row>
        <row r="17">
          <cell r="A17" t="str">
            <v>特殊厂房</v>
          </cell>
          <cell r="B17" t="str">
            <v>典型户型修正</v>
          </cell>
        </row>
        <row r="18">
          <cell r="A18" t="str">
            <v>办公楼</v>
          </cell>
          <cell r="B18" t="str">
            <v>收益法-酒店模型</v>
          </cell>
        </row>
        <row r="19">
          <cell r="A19" t="str">
            <v>车库</v>
          </cell>
          <cell r="B19" t="str">
            <v>收益法-车库</v>
          </cell>
        </row>
        <row r="20">
          <cell r="A20" t="str">
            <v>办公</v>
          </cell>
          <cell r="B20" t="str">
            <v>收益法-办公</v>
          </cell>
        </row>
        <row r="21">
          <cell r="A21" t="str">
            <v>商业</v>
          </cell>
          <cell r="B21" t="str">
            <v>收益法-商业</v>
          </cell>
        </row>
        <row r="22">
          <cell r="A22" t="str">
            <v>戊类库房</v>
          </cell>
          <cell r="B22" t="str">
            <v>基准地价修正-办公</v>
          </cell>
        </row>
        <row r="23">
          <cell r="A23" t="str">
            <v>燃品库房</v>
          </cell>
          <cell r="B23" t="str">
            <v>基准地价修正-商业</v>
          </cell>
        </row>
        <row r="24">
          <cell r="A24" t="str">
            <v>非燃品库房</v>
          </cell>
          <cell r="B24" t="str">
            <v>成本法-办公</v>
          </cell>
        </row>
        <row r="25">
          <cell r="A25" t="str">
            <v>限价商品房</v>
          </cell>
          <cell r="B25" t="str">
            <v>成本法-商业</v>
          </cell>
        </row>
        <row r="26">
          <cell r="A26" t="str">
            <v>自住商品房</v>
          </cell>
          <cell r="B26" t="str">
            <v>成本法-车库</v>
          </cell>
        </row>
        <row r="27">
          <cell r="A27" t="str">
            <v>*</v>
          </cell>
          <cell r="B27" t="str">
            <v>*</v>
          </cell>
        </row>
        <row r="28">
          <cell r="A28" t="str">
            <v>*</v>
          </cell>
          <cell r="B28" t="str">
            <v>*</v>
          </cell>
        </row>
        <row r="29">
          <cell r="A29" t="str">
            <v>*</v>
          </cell>
          <cell r="B29" t="str">
            <v>*</v>
          </cell>
        </row>
        <row r="30">
          <cell r="A30" t="str">
            <v>*</v>
          </cell>
          <cell r="B30" t="str">
            <v>*</v>
          </cell>
        </row>
        <row r="31">
          <cell r="A31" t="str">
            <v>*</v>
          </cell>
          <cell r="B31" t="str">
            <v>*</v>
          </cell>
        </row>
        <row r="32">
          <cell r="A32" t="str">
            <v>*</v>
          </cell>
          <cell r="B32" t="str">
            <v>*</v>
          </cell>
        </row>
        <row r="33">
          <cell r="A33" t="str">
            <v>*</v>
          </cell>
          <cell r="B33" t="str">
            <v>*</v>
          </cell>
        </row>
        <row r="34">
          <cell r="A34" t="str">
            <v>*</v>
          </cell>
          <cell r="B34" t="str">
            <v>*</v>
          </cell>
        </row>
        <row r="35">
          <cell r="A35" t="str">
            <v>*</v>
          </cell>
          <cell r="B35" t="str">
            <v>*</v>
          </cell>
        </row>
        <row r="36">
          <cell r="A36" t="str">
            <v>*</v>
          </cell>
          <cell r="B36" t="str">
            <v>*</v>
          </cell>
        </row>
        <row r="37">
          <cell r="A37" t="str">
            <v>*</v>
          </cell>
          <cell r="B37" t="str">
            <v>*</v>
          </cell>
        </row>
        <row r="38">
          <cell r="A38" t="str">
            <v>*</v>
          </cell>
          <cell r="B38" t="str">
            <v>*</v>
          </cell>
        </row>
        <row r="39">
          <cell r="A39" t="str">
            <v>*</v>
          </cell>
          <cell r="B39" t="str">
            <v>*</v>
          </cell>
        </row>
        <row r="40">
          <cell r="A40" t="str">
            <v>*</v>
          </cell>
          <cell r="B40" t="str">
            <v>*</v>
          </cell>
        </row>
        <row r="41">
          <cell r="A41" t="str">
            <v>*</v>
          </cell>
          <cell r="B41" t="str">
            <v>*</v>
          </cell>
        </row>
        <row r="42">
          <cell r="A42" t="str">
            <v>*</v>
          </cell>
          <cell r="B42" t="str">
            <v>*</v>
          </cell>
        </row>
        <row r="43">
          <cell r="A43" t="str">
            <v>*</v>
          </cell>
          <cell r="B43" t="str">
            <v>*</v>
          </cell>
        </row>
        <row r="44">
          <cell r="A44" t="str">
            <v>*</v>
          </cell>
          <cell r="B44" t="str">
            <v>*</v>
          </cell>
        </row>
        <row r="45">
          <cell r="A45" t="str">
            <v>*</v>
          </cell>
          <cell r="B45" t="str">
            <v>*</v>
          </cell>
        </row>
        <row r="46">
          <cell r="A46" t="str">
            <v>*</v>
          </cell>
          <cell r="B46" t="str">
            <v>*</v>
          </cell>
        </row>
        <row r="47">
          <cell r="A47" t="str">
            <v>*</v>
          </cell>
          <cell r="B47" t="str">
            <v>*</v>
          </cell>
        </row>
        <row r="48">
          <cell r="A48" t="str">
            <v>*</v>
          </cell>
          <cell r="B48" t="str">
            <v>*</v>
          </cell>
        </row>
        <row r="49">
          <cell r="A49" t="str">
            <v>*</v>
          </cell>
          <cell r="B49" t="str">
            <v>*</v>
          </cell>
        </row>
        <row r="50">
          <cell r="A50" t="str">
            <v>*</v>
          </cell>
          <cell r="B50" t="str">
            <v>*</v>
          </cell>
        </row>
        <row r="54">
          <cell r="B54" t="str">
            <v>房地产抵押价值</v>
          </cell>
        </row>
        <row r="55">
          <cell r="B55" t="str">
            <v>已注销</v>
          </cell>
        </row>
        <row r="56">
          <cell r="B56" t="str">
            <v>已注销及未注销</v>
          </cell>
        </row>
      </sheetData>
      <sheetData sheetId="10"/>
      <sheetData sheetId="11"/>
      <sheetData sheetId="12">
        <row r="15">
          <cell r="D15">
            <v>20.18</v>
          </cell>
          <cell r="E15">
            <v>30.19</v>
          </cell>
        </row>
      </sheetData>
      <sheetData sheetId="13"/>
      <sheetData sheetId="14">
        <row r="6">
          <cell r="J6">
            <v>6.5000000000000002E-2</v>
          </cell>
          <cell r="AE6">
            <v>20.18</v>
          </cell>
        </row>
        <row r="7">
          <cell r="J7">
            <v>6.5000000000000002E-2</v>
          </cell>
          <cell r="AE7">
            <v>30.19</v>
          </cell>
        </row>
        <row r="8">
          <cell r="J8">
            <v>6.5000000000000002E-2</v>
          </cell>
          <cell r="AE8">
            <v>30.19</v>
          </cell>
          <cell r="AK8">
            <v>0.01</v>
          </cell>
        </row>
        <row r="41">
          <cell r="B41">
            <v>5.6000000000000001E-2</v>
          </cell>
        </row>
        <row r="42">
          <cell r="B42">
            <v>0.05</v>
          </cell>
          <cell r="C42">
            <v>0.05</v>
          </cell>
        </row>
        <row r="51">
          <cell r="B51">
            <v>0.12</v>
          </cell>
        </row>
        <row r="52">
          <cell r="B52">
            <v>30</v>
          </cell>
        </row>
        <row r="53">
          <cell r="A53" t="str">
            <v>城镇土地纳税等级分级范围</v>
          </cell>
        </row>
        <row r="54">
          <cell r="A54" t="str">
            <v>一级</v>
          </cell>
        </row>
        <row r="55">
          <cell r="A55" t="str">
            <v>二级</v>
          </cell>
        </row>
        <row r="56">
          <cell r="A56" t="str">
            <v>三级</v>
          </cell>
        </row>
        <row r="57">
          <cell r="A57" t="str">
            <v>四级</v>
          </cell>
        </row>
        <row r="58">
          <cell r="A58" t="str">
            <v>五级</v>
          </cell>
        </row>
        <row r="59">
          <cell r="A59" t="str">
            <v>六级</v>
          </cell>
        </row>
        <row r="60">
          <cell r="A60" t="str">
            <v>七级</v>
          </cell>
        </row>
        <row r="61">
          <cell r="A61" t="str">
            <v>八级</v>
          </cell>
        </row>
        <row r="62">
          <cell r="A62" t="str">
            <v>九级</v>
          </cell>
        </row>
        <row r="63">
          <cell r="A63" t="str">
            <v>十级</v>
          </cell>
        </row>
      </sheetData>
      <sheetData sheetId="15">
        <row r="17">
          <cell r="C17" t="str">
            <v>项目类型</v>
          </cell>
        </row>
        <row r="19">
          <cell r="C19" t="str">
            <v>商业</v>
          </cell>
          <cell r="E19">
            <v>1955.02</v>
          </cell>
        </row>
        <row r="20">
          <cell r="C20" t="str">
            <v>办公</v>
          </cell>
          <cell r="E20">
            <v>37746.76</v>
          </cell>
        </row>
        <row r="21">
          <cell r="C21" t="str">
            <v>车库</v>
          </cell>
          <cell r="E21">
            <v>14169.72</v>
          </cell>
        </row>
      </sheetData>
      <sheetData sheetId="16"/>
      <sheetData sheetId="17"/>
      <sheetData sheetId="18"/>
      <sheetData sheetId="19">
        <row r="6">
          <cell r="G6">
            <v>236141</v>
          </cell>
        </row>
      </sheetData>
      <sheetData sheetId="20"/>
      <sheetData sheetId="21"/>
      <sheetData sheetId="22">
        <row r="6">
          <cell r="M6">
            <v>1216</v>
          </cell>
        </row>
        <row r="7">
          <cell r="M7">
            <v>311</v>
          </cell>
        </row>
        <row r="8">
          <cell r="M8">
            <v>12</v>
          </cell>
        </row>
        <row r="9">
          <cell r="M9">
            <v>0.05</v>
          </cell>
        </row>
        <row r="10">
          <cell r="C10">
            <v>0</v>
          </cell>
          <cell r="J10">
            <v>0</v>
          </cell>
        </row>
        <row r="26">
          <cell r="J26">
            <v>3404</v>
          </cell>
        </row>
        <row r="36">
          <cell r="C36">
            <v>0</v>
          </cell>
        </row>
        <row r="38">
          <cell r="C38">
            <v>0</v>
          </cell>
        </row>
        <row r="49">
          <cell r="C49">
            <v>319</v>
          </cell>
        </row>
        <row r="53">
          <cell r="C53">
            <v>0</v>
          </cell>
        </row>
        <row r="68">
          <cell r="C68">
            <v>1234</v>
          </cell>
        </row>
      </sheetData>
      <sheetData sheetId="23"/>
      <sheetData sheetId="24"/>
      <sheetData sheetId="25"/>
      <sheetData sheetId="26">
        <row r="62">
          <cell r="A62" t="str">
            <v>交易情况</v>
          </cell>
          <cell r="C62" t="str">
            <v>正常</v>
          </cell>
        </row>
        <row r="64">
          <cell r="B64" t="str">
            <v>用途</v>
          </cell>
          <cell r="C64" t="str">
            <v>办公</v>
          </cell>
        </row>
        <row r="87">
          <cell r="B87" t="str">
            <v>毗邻道路的类型与等级</v>
          </cell>
          <cell r="C87" t="str">
            <v>城市快速路</v>
          </cell>
          <cell r="D87" t="str">
            <v>城市主干道</v>
          </cell>
          <cell r="E87" t="str">
            <v>城市次干道</v>
          </cell>
          <cell r="F87" t="str">
            <v>城市支路</v>
          </cell>
        </row>
        <row r="89">
          <cell r="B89" t="str">
            <v>楼层</v>
          </cell>
          <cell r="C89" t="str">
            <v>高区</v>
          </cell>
          <cell r="D89" t="str">
            <v>中区</v>
          </cell>
          <cell r="E89" t="str">
            <v>低区</v>
          </cell>
        </row>
        <row r="91">
          <cell r="B91" t="str">
            <v>朝向</v>
          </cell>
        </row>
        <row r="101">
          <cell r="B101" t="str">
            <v>建筑类型</v>
          </cell>
          <cell r="C101" t="str">
            <v>塔楼</v>
          </cell>
        </row>
        <row r="106">
          <cell r="B106" t="str">
            <v>建筑结构</v>
          </cell>
          <cell r="C106" t="str">
            <v>钢混</v>
          </cell>
        </row>
        <row r="108">
          <cell r="B108" t="str">
            <v>公共部分装修</v>
          </cell>
          <cell r="C108" t="str">
            <v>精装修</v>
          </cell>
          <cell r="D108" t="str">
            <v>普通装修</v>
          </cell>
          <cell r="E108" t="str">
            <v>毛坯</v>
          </cell>
        </row>
        <row r="113">
          <cell r="B113" t="str">
            <v>写字楼等级</v>
          </cell>
          <cell r="C113" t="str">
            <v>甲级</v>
          </cell>
          <cell r="D113" t="str">
            <v>乙级</v>
          </cell>
        </row>
        <row r="115">
          <cell r="B115" t="str">
            <v>物业管理</v>
          </cell>
          <cell r="C115" t="str">
            <v>专业物业管理公司</v>
          </cell>
        </row>
        <row r="117">
          <cell r="B117" t="str">
            <v>市政基础设施</v>
          </cell>
          <cell r="C117" t="str">
            <v>七通</v>
          </cell>
          <cell r="D117" t="str">
            <v>六通</v>
          </cell>
          <cell r="E117" t="str">
            <v>五通</v>
          </cell>
          <cell r="F117" t="str">
            <v>四通</v>
          </cell>
          <cell r="G117" t="str">
            <v>三通</v>
          </cell>
        </row>
        <row r="119">
          <cell r="B119" t="str">
            <v>层高</v>
          </cell>
          <cell r="C119" t="str">
            <v>非标层高</v>
          </cell>
          <cell r="D119" t="str">
            <v>标准层高</v>
          </cell>
        </row>
        <row r="123">
          <cell r="B123" t="str">
            <v>内部装修</v>
          </cell>
          <cell r="C123" t="str">
            <v>精装修</v>
          </cell>
          <cell r="D123" t="str">
            <v>普通装修</v>
          </cell>
          <cell r="E123" t="str">
            <v>简单装修</v>
          </cell>
          <cell r="F123" t="str">
            <v>毛坯</v>
          </cell>
        </row>
      </sheetData>
      <sheetData sheetId="27"/>
      <sheetData sheetId="28">
        <row r="50">
          <cell r="C50">
            <v>3.3</v>
          </cell>
        </row>
      </sheetData>
      <sheetData sheetId="29">
        <row r="49">
          <cell r="C49">
            <v>18.5</v>
          </cell>
        </row>
        <row r="61">
          <cell r="A61" t="str">
            <v>交易情况</v>
          </cell>
          <cell r="C61" t="str">
            <v>正常</v>
          </cell>
        </row>
        <row r="63">
          <cell r="B63" t="str">
            <v>用途</v>
          </cell>
          <cell r="C63" t="str">
            <v>商业</v>
          </cell>
        </row>
        <row r="86">
          <cell r="B86" t="str">
            <v>临街状况</v>
          </cell>
          <cell r="C86" t="str">
            <v>多面临街</v>
          </cell>
          <cell r="D86" t="str">
            <v>双面临街</v>
          </cell>
          <cell r="E86" t="str">
            <v>单面临街</v>
          </cell>
          <cell r="F86" t="str">
            <v>不临街</v>
          </cell>
        </row>
        <row r="90">
          <cell r="B90" t="str">
            <v>人流量</v>
          </cell>
          <cell r="C90" t="str">
            <v>好</v>
          </cell>
          <cell r="D90" t="str">
            <v>较好</v>
          </cell>
          <cell r="E90" t="str">
            <v>一般</v>
          </cell>
          <cell r="F90" t="str">
            <v>较差</v>
          </cell>
          <cell r="G90" t="str">
            <v>差</v>
          </cell>
        </row>
        <row r="92">
          <cell r="B92" t="str">
            <v>楼层</v>
          </cell>
          <cell r="C92" t="str">
            <v>1层</v>
          </cell>
          <cell r="D92" t="str">
            <v>2层</v>
          </cell>
        </row>
        <row r="100">
          <cell r="B100" t="str">
            <v>商业类型</v>
          </cell>
          <cell r="C100" t="str">
            <v>办公楼底商</v>
          </cell>
          <cell r="D100" t="str">
            <v>商业街</v>
          </cell>
        </row>
        <row r="105">
          <cell r="B105" t="str">
            <v>建筑结构</v>
          </cell>
          <cell r="C105" t="str">
            <v>钢混</v>
          </cell>
        </row>
        <row r="107">
          <cell r="B107" t="str">
            <v>公共部分装修</v>
          </cell>
          <cell r="C107" t="str">
            <v>精装修</v>
          </cell>
          <cell r="D107" t="str">
            <v>普通装修</v>
          </cell>
          <cell r="E107" t="str">
            <v>毛坯</v>
          </cell>
        </row>
        <row r="112">
          <cell r="B112" t="str">
            <v>市政基础设施</v>
          </cell>
          <cell r="C112" t="str">
            <v>七通</v>
          </cell>
          <cell r="D112" t="str">
            <v>六通</v>
          </cell>
          <cell r="E112" t="str">
            <v>五通</v>
          </cell>
          <cell r="F112" t="str">
            <v>四通</v>
          </cell>
          <cell r="G112" t="str">
            <v>三通</v>
          </cell>
        </row>
        <row r="114">
          <cell r="B114" t="str">
            <v>业态</v>
          </cell>
        </row>
        <row r="116">
          <cell r="B116" t="str">
            <v>层高</v>
          </cell>
          <cell r="C116" t="str">
            <v>非标层高</v>
          </cell>
          <cell r="D116" t="str">
            <v>标准层高</v>
          </cell>
        </row>
        <row r="120">
          <cell r="B120" t="str">
            <v>进深比</v>
          </cell>
        </row>
        <row r="122">
          <cell r="B122" t="str">
            <v>内部装修</v>
          </cell>
          <cell r="C122" t="str">
            <v>精装修</v>
          </cell>
          <cell r="D122" t="str">
            <v>普通装修</v>
          </cell>
          <cell r="E122" t="str">
            <v>简单装修</v>
          </cell>
          <cell r="F122" t="str">
            <v>毛坯</v>
          </cell>
        </row>
      </sheetData>
      <sheetData sheetId="30">
        <row r="49">
          <cell r="C49">
            <v>5.7</v>
          </cell>
        </row>
      </sheetData>
      <sheetData sheetId="31">
        <row r="51">
          <cell r="A51" t="str">
            <v>交易情况</v>
          </cell>
          <cell r="C51" t="str">
            <v>正常</v>
          </cell>
        </row>
        <row r="53">
          <cell r="B53" t="str">
            <v>用途</v>
          </cell>
          <cell r="C53" t="str">
            <v>车库</v>
          </cell>
        </row>
        <row r="71">
          <cell r="B71" t="str">
            <v>楼层</v>
          </cell>
        </row>
        <row r="79">
          <cell r="B79" t="str">
            <v>配套类型（地上主用途）</v>
          </cell>
          <cell r="C79" t="str">
            <v>车库</v>
          </cell>
        </row>
        <row r="83">
          <cell r="B83" t="str">
            <v>公共部分装修</v>
          </cell>
          <cell r="C83" t="str">
            <v>精装修</v>
          </cell>
          <cell r="D83" t="str">
            <v>普通装修</v>
          </cell>
          <cell r="E83" t="str">
            <v>简单装修</v>
          </cell>
          <cell r="F83" t="str">
            <v>毛坯</v>
          </cell>
        </row>
        <row r="88">
          <cell r="B88" t="str">
            <v>物业等级</v>
          </cell>
          <cell r="C88" t="str">
            <v>甲级</v>
          </cell>
          <cell r="D88" t="str">
            <v>乙级</v>
          </cell>
        </row>
        <row r="93">
          <cell r="B93" t="str">
            <v>车位类型</v>
          </cell>
          <cell r="C93" t="str">
            <v>地下车库</v>
          </cell>
          <cell r="D93" t="str">
            <v>地上车位</v>
          </cell>
        </row>
        <row r="95">
          <cell r="B95" t="str">
            <v>是否直接入户</v>
          </cell>
        </row>
      </sheetData>
      <sheetData sheetId="32"/>
      <sheetData sheetId="33"/>
      <sheetData sheetId="34">
        <row r="49">
          <cell r="C49">
            <v>42773</v>
          </cell>
        </row>
      </sheetData>
      <sheetData sheetId="35">
        <row r="49">
          <cell r="C49">
            <v>2309</v>
          </cell>
        </row>
      </sheetData>
      <sheetData sheetId="36">
        <row r="49">
          <cell r="C49">
            <v>9306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>
        <row r="61">
          <cell r="A61" t="str">
            <v>交易情况</v>
          </cell>
          <cell r="C61" t="str">
            <v>正常</v>
          </cell>
        </row>
        <row r="63">
          <cell r="B63" t="str">
            <v>用途</v>
          </cell>
          <cell r="C63">
            <v>0</v>
          </cell>
        </row>
        <row r="86">
          <cell r="B86" t="str">
            <v>楼层-1</v>
          </cell>
        </row>
        <row r="88">
          <cell r="B88" t="str">
            <v>朝向</v>
          </cell>
        </row>
        <row r="100">
          <cell r="B100" t="str">
            <v>建筑类型</v>
          </cell>
        </row>
        <row r="105">
          <cell r="B105" t="str">
            <v>建筑结构</v>
          </cell>
        </row>
        <row r="107">
          <cell r="B107" t="str">
            <v>建筑品质</v>
          </cell>
        </row>
        <row r="109">
          <cell r="B109" t="str">
            <v>公共部分装修</v>
          </cell>
        </row>
        <row r="114">
          <cell r="B114" t="str">
            <v>物业管理</v>
          </cell>
        </row>
        <row r="116">
          <cell r="B116" t="str">
            <v>市政基础设施</v>
          </cell>
        </row>
        <row r="118">
          <cell r="B118" t="str">
            <v>房型</v>
          </cell>
        </row>
        <row r="122">
          <cell r="B122" t="str">
            <v>内部装修</v>
          </cell>
        </row>
      </sheetData>
      <sheetData sheetId="45">
        <row r="55">
          <cell r="A55" t="str">
            <v>交易情况</v>
          </cell>
          <cell r="C55" t="str">
            <v>正常</v>
          </cell>
        </row>
        <row r="57">
          <cell r="B57" t="str">
            <v>用途</v>
          </cell>
          <cell r="C57">
            <v>0</v>
          </cell>
        </row>
        <row r="88">
          <cell r="B88" t="str">
            <v>建筑类型</v>
          </cell>
        </row>
        <row r="93">
          <cell r="B93" t="str">
            <v>建筑结构</v>
          </cell>
        </row>
        <row r="95">
          <cell r="B95" t="str">
            <v>公共部分装修</v>
          </cell>
        </row>
        <row r="100">
          <cell r="B100" t="str">
            <v>物业管理</v>
          </cell>
        </row>
        <row r="102">
          <cell r="B102" t="str">
            <v>市政基础设施</v>
          </cell>
        </row>
        <row r="104">
          <cell r="B104" t="str">
            <v>内部装修</v>
          </cell>
        </row>
      </sheetData>
      <sheetData sheetId="46">
        <row r="49">
          <cell r="A49" t="str">
            <v>交易情况</v>
          </cell>
          <cell r="C49" t="str">
            <v>正常</v>
          </cell>
        </row>
        <row r="51">
          <cell r="B51" t="str">
            <v>用途</v>
          </cell>
          <cell r="C51">
            <v>0</v>
          </cell>
        </row>
        <row r="69">
          <cell r="B69" t="str">
            <v>楼层</v>
          </cell>
        </row>
        <row r="77">
          <cell r="B77" t="str">
            <v>公共部分装修</v>
          </cell>
        </row>
        <row r="82">
          <cell r="B82" t="str">
            <v>物业等级</v>
          </cell>
        </row>
        <row r="84">
          <cell r="B84" t="str">
            <v>有无电梯</v>
          </cell>
        </row>
        <row r="89">
          <cell r="B89" t="str">
            <v>是否封闭</v>
          </cell>
        </row>
      </sheetData>
      <sheetData sheetId="47">
        <row r="72">
          <cell r="A72" t="str">
            <v>交易情况</v>
          </cell>
          <cell r="C72" t="str">
            <v>正常</v>
          </cell>
        </row>
        <row r="74">
          <cell r="B74" t="str">
            <v>用途</v>
          </cell>
        </row>
        <row r="105">
          <cell r="B105" t="str">
            <v>毗邻道路的类型与等级</v>
          </cell>
        </row>
        <row r="107">
          <cell r="B107" t="str">
            <v>土地级别</v>
          </cell>
        </row>
        <row r="118">
          <cell r="B118" t="str">
            <v>宗地形状</v>
          </cell>
        </row>
        <row r="120">
          <cell r="B120" t="str">
            <v>临街宽度及深度</v>
          </cell>
        </row>
        <row r="122">
          <cell r="B122" t="str">
            <v>宗地开发程度</v>
          </cell>
        </row>
        <row r="124">
          <cell r="B124" t="str">
            <v>工程地质条件</v>
          </cell>
        </row>
      </sheetData>
      <sheetData sheetId="48">
        <row r="70">
          <cell r="B70" t="str">
            <v>用途</v>
          </cell>
        </row>
        <row r="97">
          <cell r="B97" t="str">
            <v>毗邻道路的类型与等级</v>
          </cell>
        </row>
        <row r="99">
          <cell r="B99" t="str">
            <v>土地级别</v>
          </cell>
        </row>
        <row r="110">
          <cell r="B110" t="str">
            <v>宗地形状</v>
          </cell>
        </row>
        <row r="112">
          <cell r="B112" t="str">
            <v>宗地开发程度</v>
          </cell>
        </row>
        <row r="114">
          <cell r="B114" t="str">
            <v>工程地质条件</v>
          </cell>
        </row>
      </sheetData>
      <sheetData sheetId="49"/>
      <sheetData sheetId="50"/>
      <sheetData sheetId="51">
        <row r="8">
          <cell r="A8" t="str">
            <v>通路</v>
          </cell>
        </row>
        <row r="9">
          <cell r="A9" t="str">
            <v>通电</v>
          </cell>
        </row>
        <row r="10">
          <cell r="A10" t="str">
            <v>通讯</v>
          </cell>
        </row>
        <row r="11">
          <cell r="A11" t="str">
            <v>通上水</v>
          </cell>
        </row>
        <row r="12">
          <cell r="A12" t="str">
            <v>通下水</v>
          </cell>
        </row>
        <row r="13">
          <cell r="A13" t="str">
            <v>通热</v>
          </cell>
        </row>
        <row r="14">
          <cell r="A14" t="str">
            <v>燃气</v>
          </cell>
        </row>
        <row r="15">
          <cell r="A15" t="str">
            <v>平整</v>
          </cell>
        </row>
        <row r="16">
          <cell r="A16" t="str">
            <v>——</v>
          </cell>
        </row>
        <row r="19">
          <cell r="C19" t="str">
            <v>二级分类</v>
          </cell>
        </row>
        <row r="20">
          <cell r="C20" t="str">
            <v>零售商业用地</v>
          </cell>
        </row>
        <row r="21">
          <cell r="C21" t="str">
            <v>批发市场用地</v>
          </cell>
        </row>
        <row r="22">
          <cell r="C22" t="str">
            <v>餐饮用地</v>
          </cell>
        </row>
        <row r="23">
          <cell r="C23" t="str">
            <v>旅馆用地</v>
          </cell>
        </row>
        <row r="24">
          <cell r="C24" t="str">
            <v>娱乐用地</v>
          </cell>
        </row>
        <row r="25">
          <cell r="C25" t="str">
            <v>其他商服用地</v>
          </cell>
        </row>
        <row r="26">
          <cell r="C26" t="str">
            <v>商务金融用地</v>
          </cell>
        </row>
        <row r="27">
          <cell r="C27" t="str">
            <v>机关团体用地</v>
          </cell>
        </row>
        <row r="28">
          <cell r="C28" t="str">
            <v>新闻出版用地</v>
          </cell>
        </row>
        <row r="29">
          <cell r="C29" t="str">
            <v>教育用地</v>
          </cell>
        </row>
        <row r="30">
          <cell r="C30" t="str">
            <v>科研用地</v>
          </cell>
        </row>
        <row r="31">
          <cell r="C31" t="str">
            <v>医疗卫生用地</v>
          </cell>
        </row>
        <row r="32">
          <cell r="C32" t="str">
            <v>社会福利用地</v>
          </cell>
        </row>
        <row r="33">
          <cell r="C33" t="str">
            <v>文化设施用地</v>
          </cell>
        </row>
        <row r="34">
          <cell r="C34" t="str">
            <v>体育用地</v>
          </cell>
        </row>
        <row r="35">
          <cell r="C35" t="str">
            <v>公用设施用地</v>
          </cell>
        </row>
        <row r="36">
          <cell r="C36" t="str">
            <v>公园与绿地</v>
          </cell>
        </row>
        <row r="37">
          <cell r="C37" t="str">
            <v>宗教用地</v>
          </cell>
        </row>
        <row r="38">
          <cell r="C38" t="str">
            <v>殡葬用地</v>
          </cell>
        </row>
        <row r="39">
          <cell r="C39" t="str">
            <v>风景名胜设施用地</v>
          </cell>
        </row>
        <row r="40">
          <cell r="C40" t="str">
            <v>城镇住宅用地</v>
          </cell>
        </row>
        <row r="41">
          <cell r="C41" t="str">
            <v>工业用地</v>
          </cell>
        </row>
        <row r="42">
          <cell r="C42" t="str">
            <v>采矿用地</v>
          </cell>
        </row>
        <row r="43">
          <cell r="C43" t="str">
            <v>仓储用地</v>
          </cell>
        </row>
        <row r="44">
          <cell r="C44" t="str">
            <v>M4科研用地</v>
          </cell>
        </row>
        <row r="45">
          <cell r="C45" t="str">
            <v>铁路用地</v>
          </cell>
        </row>
        <row r="46">
          <cell r="C46" t="str">
            <v>轨道交通用地</v>
          </cell>
        </row>
        <row r="47">
          <cell r="C47" t="str">
            <v>公路用地</v>
          </cell>
        </row>
        <row r="48">
          <cell r="C48" t="str">
            <v>城镇村道路用地</v>
          </cell>
        </row>
        <row r="49">
          <cell r="C49" t="str">
            <v>机场用地</v>
          </cell>
        </row>
        <row r="50">
          <cell r="C50" t="str">
            <v>管道运输用地</v>
          </cell>
        </row>
        <row r="51">
          <cell r="C51" t="str">
            <v>交通服务场站用地</v>
          </cell>
        </row>
        <row r="71">
          <cell r="C71" t="str">
            <v>商业街名称</v>
          </cell>
        </row>
        <row r="72">
          <cell r="C72" t="str">
            <v>不临65条商业街</v>
          </cell>
        </row>
        <row r="73">
          <cell r="C73" t="str">
            <v>东长安街</v>
          </cell>
        </row>
        <row r="74">
          <cell r="C74" t="str">
            <v>王府井商业街（王府井大街）</v>
          </cell>
        </row>
        <row r="75">
          <cell r="C75" t="str">
            <v>前门商业街（前门大街）</v>
          </cell>
        </row>
        <row r="76">
          <cell r="C76" t="str">
            <v>建国门内大街</v>
          </cell>
        </row>
        <row r="77">
          <cell r="C77" t="str">
            <v>王府井大街</v>
          </cell>
        </row>
        <row r="78">
          <cell r="C78" t="str">
            <v>东单北大街</v>
          </cell>
        </row>
        <row r="79">
          <cell r="C79" t="str">
            <v>南锣鼓巷</v>
          </cell>
        </row>
        <row r="80">
          <cell r="C80" t="str">
            <v>东四南大街</v>
          </cell>
        </row>
        <row r="81">
          <cell r="C81" t="str">
            <v>簋街（东直门内大街）</v>
          </cell>
        </row>
        <row r="82">
          <cell r="C82" t="str">
            <v>东四十条</v>
          </cell>
        </row>
        <row r="83">
          <cell r="C83" t="str">
            <v>张自忠路</v>
          </cell>
        </row>
        <row r="84">
          <cell r="C84" t="str">
            <v>地安门东大街</v>
          </cell>
        </row>
        <row r="85">
          <cell r="C85" t="str">
            <v>崇文门外大街</v>
          </cell>
        </row>
        <row r="86">
          <cell r="C86" t="str">
            <v>广渠门内大街</v>
          </cell>
        </row>
        <row r="87">
          <cell r="C87" t="str">
            <v>珠市口东大街</v>
          </cell>
        </row>
        <row r="88">
          <cell r="C88" t="str">
            <v>鲜鱼口老字号美食街</v>
          </cell>
        </row>
        <row r="89">
          <cell r="C89" t="str">
            <v>五道营胡同</v>
          </cell>
        </row>
        <row r="90">
          <cell r="C90" t="str">
            <v>西长安街</v>
          </cell>
        </row>
        <row r="91">
          <cell r="C91" t="str">
            <v>西单商业街（西单北大街）</v>
          </cell>
        </row>
        <row r="92">
          <cell r="C92" t="str">
            <v>复兴门内大街</v>
          </cell>
        </row>
        <row r="93">
          <cell r="C93" t="str">
            <v>西四大街</v>
          </cell>
        </row>
        <row r="94">
          <cell r="C94" t="str">
            <v>大栅栏商业街</v>
          </cell>
        </row>
        <row r="95">
          <cell r="C95" t="str">
            <v>琉璃厂古文化街（琉璃厂西街、琉璃厂东街）</v>
          </cell>
        </row>
        <row r="96">
          <cell r="C96" t="str">
            <v>复兴门外大街</v>
          </cell>
        </row>
        <row r="97">
          <cell r="C97" t="str">
            <v>新街口大街</v>
          </cell>
        </row>
        <row r="98">
          <cell r="C98" t="str">
            <v>地安门西大街</v>
          </cell>
        </row>
        <row r="99">
          <cell r="C99" t="str">
            <v>平安里西大街</v>
          </cell>
        </row>
        <row r="100">
          <cell r="C100" t="str">
            <v>珠市口西大街</v>
          </cell>
        </row>
        <row r="101">
          <cell r="C101" t="str">
            <v>骡马市大街</v>
          </cell>
        </row>
        <row r="102">
          <cell r="C102" t="str">
            <v>广安门内大街</v>
          </cell>
        </row>
        <row r="103">
          <cell r="C103" t="str">
            <v>马连道茶叶街（马连道路）</v>
          </cell>
        </row>
        <row r="104">
          <cell r="C104" t="str">
            <v>烟袋斜街</v>
          </cell>
        </row>
        <row r="105">
          <cell r="C105" t="str">
            <v>护国寺街</v>
          </cell>
        </row>
        <row r="106">
          <cell r="C106" t="str">
            <v>什刹海茶艺酒吧街</v>
          </cell>
        </row>
        <row r="107">
          <cell r="C107" t="str">
            <v>三里屯路</v>
          </cell>
        </row>
        <row r="108">
          <cell r="C108" t="str">
            <v>建国门外大街</v>
          </cell>
        </row>
        <row r="109">
          <cell r="C109" t="str">
            <v>建国路</v>
          </cell>
        </row>
        <row r="110">
          <cell r="C110" t="str">
            <v>朝阳门外大街</v>
          </cell>
        </row>
        <row r="111">
          <cell r="C111" t="str">
            <v>十里河家具大道</v>
          </cell>
        </row>
        <row r="112">
          <cell r="C112" t="str">
            <v xml:space="preserve">大羊坊路         </v>
          </cell>
        </row>
        <row r="113">
          <cell r="C113" t="str">
            <v>中关村大街</v>
          </cell>
        </row>
        <row r="114">
          <cell r="C114" t="str">
            <v>复兴路</v>
          </cell>
        </row>
        <row r="115">
          <cell r="C115" t="str">
            <v>丹棱街</v>
          </cell>
        </row>
        <row r="116">
          <cell r="C116" t="str">
            <v>丽泽路</v>
          </cell>
        </row>
        <row r="117">
          <cell r="C117" t="str">
            <v>方庄商业街（蒲芳路）</v>
          </cell>
        </row>
        <row r="118">
          <cell r="C118" t="str">
            <v>政达路</v>
          </cell>
        </row>
        <row r="119">
          <cell r="C119" t="str">
            <v>北京台湾街</v>
          </cell>
        </row>
        <row r="120">
          <cell r="C120" t="str">
            <v>新桥大街</v>
          </cell>
        </row>
        <row r="121">
          <cell r="C121" t="str">
            <v>金安路</v>
          </cell>
        </row>
        <row r="122">
          <cell r="C122" t="str">
            <v>南关大街</v>
          </cell>
        </row>
        <row r="123">
          <cell r="C123" t="str">
            <v>拱辰大街</v>
          </cell>
        </row>
        <row r="124">
          <cell r="C124" t="str">
            <v>新华大街</v>
          </cell>
        </row>
        <row r="125">
          <cell r="C125" t="str">
            <v>云景东路</v>
          </cell>
        </row>
        <row r="126">
          <cell r="C126" t="str">
            <v>新顺大街</v>
          </cell>
        </row>
        <row r="127">
          <cell r="C127" t="str">
            <v>鼓楼东、西街</v>
          </cell>
        </row>
        <row r="128">
          <cell r="C128" t="str">
            <v>鼓楼南、北街</v>
          </cell>
        </row>
        <row r="129">
          <cell r="C129" t="str">
            <v>回龙观西大街</v>
          </cell>
        </row>
        <row r="130">
          <cell r="C130" t="str">
            <v>兴华大街</v>
          </cell>
        </row>
        <row r="131">
          <cell r="C131" t="str">
            <v>新源大街</v>
          </cell>
        </row>
        <row r="132">
          <cell r="C132" t="str">
            <v>商业街</v>
          </cell>
        </row>
        <row r="133">
          <cell r="C133" t="str">
            <v>青春路</v>
          </cell>
        </row>
        <row r="134">
          <cell r="C134" t="str">
            <v>步行街</v>
          </cell>
        </row>
        <row r="135">
          <cell r="C135" t="str">
            <v>鼓楼东、西大街</v>
          </cell>
        </row>
        <row r="136">
          <cell r="C136" t="str">
            <v>鼓楼南北大街</v>
          </cell>
        </row>
        <row r="137">
          <cell r="C137" t="str">
            <v>东外大街</v>
          </cell>
        </row>
      </sheetData>
      <sheetData sheetId="52"/>
      <sheetData sheetId="53">
        <row r="5">
          <cell r="B5" t="str">
            <v>楼层</v>
          </cell>
          <cell r="C5" t="str">
            <v>高区</v>
          </cell>
          <cell r="D5" t="str">
            <v>中区</v>
          </cell>
          <cell r="E5" t="str">
            <v>低区</v>
          </cell>
          <cell r="T5">
            <v>2</v>
          </cell>
        </row>
        <row r="7">
          <cell r="B7" t="str">
            <v>修正项3</v>
          </cell>
        </row>
        <row r="9">
          <cell r="B9" t="str">
            <v>修正项4</v>
          </cell>
        </row>
        <row r="11">
          <cell r="B11" t="str">
            <v>修正项5</v>
          </cell>
        </row>
        <row r="13">
          <cell r="B13" t="str">
            <v>修正项6</v>
          </cell>
        </row>
        <row r="15">
          <cell r="B15" t="str">
            <v>修正项7</v>
          </cell>
        </row>
        <row r="17">
          <cell r="A17" t="str">
            <v>修正系数</v>
          </cell>
          <cell r="B17" t="str">
            <v>楼层</v>
          </cell>
        </row>
        <row r="24">
          <cell r="R24">
            <v>8.6</v>
          </cell>
        </row>
        <row r="25">
          <cell r="R25">
            <v>8.43</v>
          </cell>
        </row>
        <row r="26">
          <cell r="R26">
            <v>8.77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G239"/>
  <sheetViews>
    <sheetView tabSelected="1" zoomScaleNormal="100" workbookViewId="0">
      <pane xSplit="12" ySplit="4" topLeftCell="BF5" activePane="bottomRight" state="frozen"/>
      <selection pane="topRight" activeCell="M1" sqref="M1"/>
      <selection pane="bottomLeft" activeCell="A5" sqref="A5"/>
      <selection pane="bottomRight" activeCell="BO238" sqref="BO238"/>
    </sheetView>
  </sheetViews>
  <sheetFormatPr defaultColWidth="9" defaultRowHeight="12.75" x14ac:dyDescent="0.2"/>
  <cols>
    <col min="1" max="1" width="5" style="20" customWidth="1"/>
    <col min="2" max="2" width="10.25" style="89" customWidth="1"/>
    <col min="3" max="3" width="9.375" style="20" bestFit="1" customWidth="1"/>
    <col min="4" max="4" width="9" style="20" bestFit="1" customWidth="1"/>
    <col min="5" max="5" width="9.5" style="20" customWidth="1"/>
    <col min="6" max="6" width="14" style="20" customWidth="1"/>
    <col min="7" max="7" width="6.5" style="20" hidden="1" customWidth="1"/>
    <col min="8" max="8" width="8.75" style="20" hidden="1" customWidth="1"/>
    <col min="9" max="9" width="8.625" style="20" hidden="1" customWidth="1"/>
    <col min="10" max="10" width="9.125" style="20" hidden="1" customWidth="1"/>
    <col min="11" max="11" width="9" style="20" hidden="1" customWidth="1"/>
    <col min="12" max="12" width="9.5" style="20" hidden="1" customWidth="1"/>
    <col min="13" max="15" width="9.125" style="20" customWidth="1"/>
    <col min="16" max="16" width="10.375" style="20" customWidth="1"/>
    <col min="17" max="17" width="12" style="20" customWidth="1"/>
    <col min="18" max="18" width="11.375" style="20" customWidth="1"/>
    <col min="19" max="19" width="13.25" style="91" customWidth="1"/>
    <col min="20" max="20" width="13.25" style="13" customWidth="1"/>
    <col min="21" max="21" width="12.5" style="20" customWidth="1"/>
    <col min="22" max="22" width="10.5" style="91" customWidth="1"/>
    <col min="23" max="23" width="10.25" style="91" customWidth="1"/>
    <col min="24" max="26" width="10.75" style="20" customWidth="1"/>
    <col min="27" max="27" width="12.5" style="20" customWidth="1"/>
    <col min="28" max="28" width="12.5" style="92" customWidth="1"/>
    <col min="29" max="31" width="10.625" style="20" customWidth="1"/>
    <col min="32" max="33" width="12.125" style="93" customWidth="1"/>
    <col min="34" max="34" width="11.75" style="94" customWidth="1"/>
    <col min="35" max="35" width="11.625" style="20" customWidth="1"/>
    <col min="36" max="36" width="12.25" style="20" customWidth="1"/>
    <col min="37" max="37" width="18.125" style="20" customWidth="1"/>
    <col min="38" max="38" width="10.375" style="13" customWidth="1"/>
    <col min="39" max="39" width="11.375" style="20" customWidth="1"/>
    <col min="40" max="40" width="10.375" style="91" customWidth="1"/>
    <col min="41" max="41" width="10.25" style="91" customWidth="1"/>
    <col min="42" max="43" width="9.125" style="20" customWidth="1"/>
    <col min="44" max="44" width="14.25" style="95" customWidth="1"/>
    <col min="45" max="45" width="12.375" style="20" customWidth="1"/>
    <col min="46" max="46" width="12.375" style="96" customWidth="1"/>
    <col min="47" max="47" width="11.375" style="97" customWidth="1"/>
    <col min="48" max="48" width="11.375" style="20" customWidth="1"/>
    <col min="49" max="49" width="9.375" style="20" customWidth="1"/>
    <col min="50" max="50" width="11.25" style="20" customWidth="1"/>
    <col min="51" max="51" width="8.5" style="20" customWidth="1"/>
    <col min="52" max="52" width="12.375" style="19" customWidth="1"/>
    <col min="53" max="53" width="13.875" style="19" customWidth="1"/>
    <col min="54" max="56" width="10.25" style="19" customWidth="1"/>
    <col min="57" max="57" width="12.875" style="19" customWidth="1"/>
    <col min="58" max="59" width="9.625" style="19" hidden="1" customWidth="1"/>
    <col min="60" max="62" width="9.25" style="19" hidden="1" customWidth="1"/>
    <col min="63" max="64" width="9.5" style="19" hidden="1" customWidth="1"/>
    <col min="65" max="65" width="10.5" style="19" hidden="1" customWidth="1"/>
    <col min="66" max="66" width="10.5" style="98" hidden="1" customWidth="1"/>
    <col min="67" max="68" width="10.25" style="19" customWidth="1"/>
    <col min="69" max="69" width="10.25" style="19" hidden="1" customWidth="1"/>
    <col min="70" max="70" width="10.25" style="193" customWidth="1"/>
    <col min="71" max="282" width="9" style="20"/>
    <col min="283" max="284" width="10.75" style="20" customWidth="1"/>
    <col min="285" max="285" width="11.5" style="20" customWidth="1"/>
    <col min="286" max="286" width="13.125" style="20" customWidth="1"/>
    <col min="287" max="287" width="14" style="20" customWidth="1"/>
    <col min="288" max="288" width="15.25" style="20" customWidth="1"/>
    <col min="289" max="538" width="9" style="20"/>
    <col min="539" max="540" width="10.75" style="20" customWidth="1"/>
    <col min="541" max="541" width="11.5" style="20" customWidth="1"/>
    <col min="542" max="542" width="13.125" style="20" customWidth="1"/>
    <col min="543" max="543" width="14" style="20" customWidth="1"/>
    <col min="544" max="544" width="15.25" style="20" customWidth="1"/>
    <col min="545" max="794" width="9" style="20"/>
    <col min="795" max="796" width="10.75" style="20" customWidth="1"/>
    <col min="797" max="797" width="11.5" style="20" customWidth="1"/>
    <col min="798" max="798" width="13.125" style="20" customWidth="1"/>
    <col min="799" max="799" width="14" style="20" customWidth="1"/>
    <col min="800" max="800" width="15.25" style="20" customWidth="1"/>
    <col min="801" max="1050" width="9" style="20"/>
    <col min="1051" max="1052" width="10.75" style="20" customWidth="1"/>
    <col min="1053" max="1053" width="11.5" style="20" customWidth="1"/>
    <col min="1054" max="1054" width="13.125" style="20" customWidth="1"/>
    <col min="1055" max="1055" width="14" style="20" customWidth="1"/>
    <col min="1056" max="1056" width="15.25" style="20" customWidth="1"/>
    <col min="1057" max="1306" width="9" style="20"/>
    <col min="1307" max="1308" width="10.75" style="20" customWidth="1"/>
    <col min="1309" max="1309" width="11.5" style="20" customWidth="1"/>
    <col min="1310" max="1310" width="13.125" style="20" customWidth="1"/>
    <col min="1311" max="1311" width="14" style="20" customWidth="1"/>
    <col min="1312" max="1312" width="15.25" style="20" customWidth="1"/>
    <col min="1313" max="1562" width="9" style="20"/>
    <col min="1563" max="1564" width="10.75" style="20" customWidth="1"/>
    <col min="1565" max="1565" width="11.5" style="20" customWidth="1"/>
    <col min="1566" max="1566" width="13.125" style="20" customWidth="1"/>
    <col min="1567" max="1567" width="14" style="20" customWidth="1"/>
    <col min="1568" max="1568" width="15.25" style="20" customWidth="1"/>
    <col min="1569" max="1818" width="9" style="20"/>
    <col min="1819" max="1820" width="10.75" style="20" customWidth="1"/>
    <col min="1821" max="1821" width="11.5" style="20" customWidth="1"/>
    <col min="1822" max="1822" width="13.125" style="20" customWidth="1"/>
    <col min="1823" max="1823" width="14" style="20" customWidth="1"/>
    <col min="1824" max="1824" width="15.25" style="20" customWidth="1"/>
    <col min="1825" max="2074" width="9" style="20"/>
    <col min="2075" max="2076" width="10.75" style="20" customWidth="1"/>
    <col min="2077" max="2077" width="11.5" style="20" customWidth="1"/>
    <col min="2078" max="2078" width="13.125" style="20" customWidth="1"/>
    <col min="2079" max="2079" width="14" style="20" customWidth="1"/>
    <col min="2080" max="2080" width="15.25" style="20" customWidth="1"/>
    <col min="2081" max="2330" width="9" style="20"/>
    <col min="2331" max="2332" width="10.75" style="20" customWidth="1"/>
    <col min="2333" max="2333" width="11.5" style="20" customWidth="1"/>
    <col min="2334" max="2334" width="13.125" style="20" customWidth="1"/>
    <col min="2335" max="2335" width="14" style="20" customWidth="1"/>
    <col min="2336" max="2336" width="15.25" style="20" customWidth="1"/>
    <col min="2337" max="2586" width="9" style="20"/>
    <col min="2587" max="2588" width="10.75" style="20" customWidth="1"/>
    <col min="2589" max="2589" width="11.5" style="20" customWidth="1"/>
    <col min="2590" max="2590" width="13.125" style="20" customWidth="1"/>
    <col min="2591" max="2591" width="14" style="20" customWidth="1"/>
    <col min="2592" max="2592" width="15.25" style="20" customWidth="1"/>
    <col min="2593" max="2842" width="9" style="20"/>
    <col min="2843" max="2844" width="10.75" style="20" customWidth="1"/>
    <col min="2845" max="2845" width="11.5" style="20" customWidth="1"/>
    <col min="2846" max="2846" width="13.125" style="20" customWidth="1"/>
    <col min="2847" max="2847" width="14" style="20" customWidth="1"/>
    <col min="2848" max="2848" width="15.25" style="20" customWidth="1"/>
    <col min="2849" max="3098" width="9" style="20"/>
    <col min="3099" max="3100" width="10.75" style="20" customWidth="1"/>
    <col min="3101" max="3101" width="11.5" style="20" customWidth="1"/>
    <col min="3102" max="3102" width="13.125" style="20" customWidth="1"/>
    <col min="3103" max="3103" width="14" style="20" customWidth="1"/>
    <col min="3104" max="3104" width="15.25" style="20" customWidth="1"/>
    <col min="3105" max="3354" width="9" style="20"/>
    <col min="3355" max="3356" width="10.75" style="20" customWidth="1"/>
    <col min="3357" max="3357" width="11.5" style="20" customWidth="1"/>
    <col min="3358" max="3358" width="13.125" style="20" customWidth="1"/>
    <col min="3359" max="3359" width="14" style="20" customWidth="1"/>
    <col min="3360" max="3360" width="15.25" style="20" customWidth="1"/>
    <col min="3361" max="3610" width="9" style="20"/>
    <col min="3611" max="3612" width="10.75" style="20" customWidth="1"/>
    <col min="3613" max="3613" width="11.5" style="20" customWidth="1"/>
    <col min="3614" max="3614" width="13.125" style="20" customWidth="1"/>
    <col min="3615" max="3615" width="14" style="20" customWidth="1"/>
    <col min="3616" max="3616" width="15.25" style="20" customWidth="1"/>
    <col min="3617" max="3866" width="9" style="20"/>
    <col min="3867" max="3868" width="10.75" style="20" customWidth="1"/>
    <col min="3869" max="3869" width="11.5" style="20" customWidth="1"/>
    <col min="3870" max="3870" width="13.125" style="20" customWidth="1"/>
    <col min="3871" max="3871" width="14" style="20" customWidth="1"/>
    <col min="3872" max="3872" width="15.25" style="20" customWidth="1"/>
    <col min="3873" max="4122" width="9" style="20"/>
    <col min="4123" max="4124" width="10.75" style="20" customWidth="1"/>
    <col min="4125" max="4125" width="11.5" style="20" customWidth="1"/>
    <col min="4126" max="4126" width="13.125" style="20" customWidth="1"/>
    <col min="4127" max="4127" width="14" style="20" customWidth="1"/>
    <col min="4128" max="4128" width="15.25" style="20" customWidth="1"/>
    <col min="4129" max="4378" width="9" style="20"/>
    <col min="4379" max="4380" width="10.75" style="20" customWidth="1"/>
    <col min="4381" max="4381" width="11.5" style="20" customWidth="1"/>
    <col min="4382" max="4382" width="13.125" style="20" customWidth="1"/>
    <col min="4383" max="4383" width="14" style="20" customWidth="1"/>
    <col min="4384" max="4384" width="15.25" style="20" customWidth="1"/>
    <col min="4385" max="4634" width="9" style="20"/>
    <col min="4635" max="4636" width="10.75" style="20" customWidth="1"/>
    <col min="4637" max="4637" width="11.5" style="20" customWidth="1"/>
    <col min="4638" max="4638" width="13.125" style="20" customWidth="1"/>
    <col min="4639" max="4639" width="14" style="20" customWidth="1"/>
    <col min="4640" max="4640" width="15.25" style="20" customWidth="1"/>
    <col min="4641" max="4890" width="9" style="20"/>
    <col min="4891" max="4892" width="10.75" style="20" customWidth="1"/>
    <col min="4893" max="4893" width="11.5" style="20" customWidth="1"/>
    <col min="4894" max="4894" width="13.125" style="20" customWidth="1"/>
    <col min="4895" max="4895" width="14" style="20" customWidth="1"/>
    <col min="4896" max="4896" width="15.25" style="20" customWidth="1"/>
    <col min="4897" max="5146" width="9" style="20"/>
    <col min="5147" max="5148" width="10.75" style="20" customWidth="1"/>
    <col min="5149" max="5149" width="11.5" style="20" customWidth="1"/>
    <col min="5150" max="5150" width="13.125" style="20" customWidth="1"/>
    <col min="5151" max="5151" width="14" style="20" customWidth="1"/>
    <col min="5152" max="5152" width="15.25" style="20" customWidth="1"/>
    <col min="5153" max="5402" width="9" style="20"/>
    <col min="5403" max="5404" width="10.75" style="20" customWidth="1"/>
    <col min="5405" max="5405" width="11.5" style="20" customWidth="1"/>
    <col min="5406" max="5406" width="13.125" style="20" customWidth="1"/>
    <col min="5407" max="5407" width="14" style="20" customWidth="1"/>
    <col min="5408" max="5408" width="15.25" style="20" customWidth="1"/>
    <col min="5409" max="5658" width="9" style="20"/>
    <col min="5659" max="5660" width="10.75" style="20" customWidth="1"/>
    <col min="5661" max="5661" width="11.5" style="20" customWidth="1"/>
    <col min="5662" max="5662" width="13.125" style="20" customWidth="1"/>
    <col min="5663" max="5663" width="14" style="20" customWidth="1"/>
    <col min="5664" max="5664" width="15.25" style="20" customWidth="1"/>
    <col min="5665" max="5914" width="9" style="20"/>
    <col min="5915" max="5916" width="10.75" style="20" customWidth="1"/>
    <col min="5917" max="5917" width="11.5" style="20" customWidth="1"/>
    <col min="5918" max="5918" width="13.125" style="20" customWidth="1"/>
    <col min="5919" max="5919" width="14" style="20" customWidth="1"/>
    <col min="5920" max="5920" width="15.25" style="20" customWidth="1"/>
    <col min="5921" max="6170" width="9" style="20"/>
    <col min="6171" max="6172" width="10.75" style="20" customWidth="1"/>
    <col min="6173" max="6173" width="11.5" style="20" customWidth="1"/>
    <col min="6174" max="6174" width="13.125" style="20" customWidth="1"/>
    <col min="6175" max="6175" width="14" style="20" customWidth="1"/>
    <col min="6176" max="6176" width="15.25" style="20" customWidth="1"/>
    <col min="6177" max="6426" width="9" style="20"/>
    <col min="6427" max="6428" width="10.75" style="20" customWidth="1"/>
    <col min="6429" max="6429" width="11.5" style="20" customWidth="1"/>
    <col min="6430" max="6430" width="13.125" style="20" customWidth="1"/>
    <col min="6431" max="6431" width="14" style="20" customWidth="1"/>
    <col min="6432" max="6432" width="15.25" style="20" customWidth="1"/>
    <col min="6433" max="6682" width="9" style="20"/>
    <col min="6683" max="6684" width="10.75" style="20" customWidth="1"/>
    <col min="6685" max="6685" width="11.5" style="20" customWidth="1"/>
    <col min="6686" max="6686" width="13.125" style="20" customWidth="1"/>
    <col min="6687" max="6687" width="14" style="20" customWidth="1"/>
    <col min="6688" max="6688" width="15.25" style="20" customWidth="1"/>
    <col min="6689" max="6938" width="9" style="20"/>
    <col min="6939" max="6940" width="10.75" style="20" customWidth="1"/>
    <col min="6941" max="6941" width="11.5" style="20" customWidth="1"/>
    <col min="6942" max="6942" width="13.125" style="20" customWidth="1"/>
    <col min="6943" max="6943" width="14" style="20" customWidth="1"/>
    <col min="6944" max="6944" width="15.25" style="20" customWidth="1"/>
    <col min="6945" max="7194" width="9" style="20"/>
    <col min="7195" max="7196" width="10.75" style="20" customWidth="1"/>
    <col min="7197" max="7197" width="11.5" style="20" customWidth="1"/>
    <col min="7198" max="7198" width="13.125" style="20" customWidth="1"/>
    <col min="7199" max="7199" width="14" style="20" customWidth="1"/>
    <col min="7200" max="7200" width="15.25" style="20" customWidth="1"/>
    <col min="7201" max="7450" width="9" style="20"/>
    <col min="7451" max="7452" width="10.75" style="20" customWidth="1"/>
    <col min="7453" max="7453" width="11.5" style="20" customWidth="1"/>
    <col min="7454" max="7454" width="13.125" style="20" customWidth="1"/>
    <col min="7455" max="7455" width="14" style="20" customWidth="1"/>
    <col min="7456" max="7456" width="15.25" style="20" customWidth="1"/>
    <col min="7457" max="7706" width="9" style="20"/>
    <col min="7707" max="7708" width="10.75" style="20" customWidth="1"/>
    <col min="7709" max="7709" width="11.5" style="20" customWidth="1"/>
    <col min="7710" max="7710" width="13.125" style="20" customWidth="1"/>
    <col min="7711" max="7711" width="14" style="20" customWidth="1"/>
    <col min="7712" max="7712" width="15.25" style="20" customWidth="1"/>
    <col min="7713" max="7962" width="9" style="20"/>
    <col min="7963" max="7964" width="10.75" style="20" customWidth="1"/>
    <col min="7965" max="7965" width="11.5" style="20" customWidth="1"/>
    <col min="7966" max="7966" width="13.125" style="20" customWidth="1"/>
    <col min="7967" max="7967" width="14" style="20" customWidth="1"/>
    <col min="7968" max="7968" width="15.25" style="20" customWidth="1"/>
    <col min="7969" max="8218" width="9" style="20"/>
    <col min="8219" max="8220" width="10.75" style="20" customWidth="1"/>
    <col min="8221" max="8221" width="11.5" style="20" customWidth="1"/>
    <col min="8222" max="8222" width="13.125" style="20" customWidth="1"/>
    <col min="8223" max="8223" width="14" style="20" customWidth="1"/>
    <col min="8224" max="8224" width="15.25" style="20" customWidth="1"/>
    <col min="8225" max="8474" width="9" style="20"/>
    <col min="8475" max="8476" width="10.75" style="20" customWidth="1"/>
    <col min="8477" max="8477" width="11.5" style="20" customWidth="1"/>
    <col min="8478" max="8478" width="13.125" style="20" customWidth="1"/>
    <col min="8479" max="8479" width="14" style="20" customWidth="1"/>
    <col min="8480" max="8480" width="15.25" style="20" customWidth="1"/>
    <col min="8481" max="8730" width="9" style="20"/>
    <col min="8731" max="8732" width="10.75" style="20" customWidth="1"/>
    <col min="8733" max="8733" width="11.5" style="20" customWidth="1"/>
    <col min="8734" max="8734" width="13.125" style="20" customWidth="1"/>
    <col min="8735" max="8735" width="14" style="20" customWidth="1"/>
    <col min="8736" max="8736" width="15.25" style="20" customWidth="1"/>
    <col min="8737" max="8986" width="9" style="20"/>
    <col min="8987" max="8988" width="10.75" style="20" customWidth="1"/>
    <col min="8989" max="8989" width="11.5" style="20" customWidth="1"/>
    <col min="8990" max="8990" width="13.125" style="20" customWidth="1"/>
    <col min="8991" max="8991" width="14" style="20" customWidth="1"/>
    <col min="8992" max="8992" width="15.25" style="20" customWidth="1"/>
    <col min="8993" max="9242" width="9" style="20"/>
    <col min="9243" max="9244" width="10.75" style="20" customWidth="1"/>
    <col min="9245" max="9245" width="11.5" style="20" customWidth="1"/>
    <col min="9246" max="9246" width="13.125" style="20" customWidth="1"/>
    <col min="9247" max="9247" width="14" style="20" customWidth="1"/>
    <col min="9248" max="9248" width="15.25" style="20" customWidth="1"/>
    <col min="9249" max="9498" width="9" style="20"/>
    <col min="9499" max="9500" width="10.75" style="20" customWidth="1"/>
    <col min="9501" max="9501" width="11.5" style="20" customWidth="1"/>
    <col min="9502" max="9502" width="13.125" style="20" customWidth="1"/>
    <col min="9503" max="9503" width="14" style="20" customWidth="1"/>
    <col min="9504" max="9504" width="15.25" style="20" customWidth="1"/>
    <col min="9505" max="9754" width="9" style="20"/>
    <col min="9755" max="9756" width="10.75" style="20" customWidth="1"/>
    <col min="9757" max="9757" width="11.5" style="20" customWidth="1"/>
    <col min="9758" max="9758" width="13.125" style="20" customWidth="1"/>
    <col min="9759" max="9759" width="14" style="20" customWidth="1"/>
    <col min="9760" max="9760" width="15.25" style="20" customWidth="1"/>
    <col min="9761" max="10010" width="9" style="20"/>
    <col min="10011" max="10012" width="10.75" style="20" customWidth="1"/>
    <col min="10013" max="10013" width="11.5" style="20" customWidth="1"/>
    <col min="10014" max="10014" width="13.125" style="20" customWidth="1"/>
    <col min="10015" max="10015" width="14" style="20" customWidth="1"/>
    <col min="10016" max="10016" width="15.25" style="20" customWidth="1"/>
    <col min="10017" max="10266" width="9" style="20"/>
    <col min="10267" max="10268" width="10.75" style="20" customWidth="1"/>
    <col min="10269" max="10269" width="11.5" style="20" customWidth="1"/>
    <col min="10270" max="10270" width="13.125" style="20" customWidth="1"/>
    <col min="10271" max="10271" width="14" style="20" customWidth="1"/>
    <col min="10272" max="10272" width="15.25" style="20" customWidth="1"/>
    <col min="10273" max="10522" width="9" style="20"/>
    <col min="10523" max="10524" width="10.75" style="20" customWidth="1"/>
    <col min="10525" max="10525" width="11.5" style="20" customWidth="1"/>
    <col min="10526" max="10526" width="13.125" style="20" customWidth="1"/>
    <col min="10527" max="10527" width="14" style="20" customWidth="1"/>
    <col min="10528" max="10528" width="15.25" style="20" customWidth="1"/>
    <col min="10529" max="10778" width="9" style="20"/>
    <col min="10779" max="10780" width="10.75" style="20" customWidth="1"/>
    <col min="10781" max="10781" width="11.5" style="20" customWidth="1"/>
    <col min="10782" max="10782" width="13.125" style="20" customWidth="1"/>
    <col min="10783" max="10783" width="14" style="20" customWidth="1"/>
    <col min="10784" max="10784" width="15.25" style="20" customWidth="1"/>
    <col min="10785" max="11034" width="9" style="20"/>
    <col min="11035" max="11036" width="10.75" style="20" customWidth="1"/>
    <col min="11037" max="11037" width="11.5" style="20" customWidth="1"/>
    <col min="11038" max="11038" width="13.125" style="20" customWidth="1"/>
    <col min="11039" max="11039" width="14" style="20" customWidth="1"/>
    <col min="11040" max="11040" width="15.25" style="20" customWidth="1"/>
    <col min="11041" max="11290" width="9" style="20"/>
    <col min="11291" max="11292" width="10.75" style="20" customWidth="1"/>
    <col min="11293" max="11293" width="11.5" style="20" customWidth="1"/>
    <col min="11294" max="11294" width="13.125" style="20" customWidth="1"/>
    <col min="11295" max="11295" width="14" style="20" customWidth="1"/>
    <col min="11296" max="11296" width="15.25" style="20" customWidth="1"/>
    <col min="11297" max="11546" width="9" style="20"/>
    <col min="11547" max="11548" width="10.75" style="20" customWidth="1"/>
    <col min="11549" max="11549" width="11.5" style="20" customWidth="1"/>
    <col min="11550" max="11550" width="13.125" style="20" customWidth="1"/>
    <col min="11551" max="11551" width="14" style="20" customWidth="1"/>
    <col min="11552" max="11552" width="15.25" style="20" customWidth="1"/>
    <col min="11553" max="11802" width="9" style="20"/>
    <col min="11803" max="11804" width="10.75" style="20" customWidth="1"/>
    <col min="11805" max="11805" width="11.5" style="20" customWidth="1"/>
    <col min="11806" max="11806" width="13.125" style="20" customWidth="1"/>
    <col min="11807" max="11807" width="14" style="20" customWidth="1"/>
    <col min="11808" max="11808" width="15.25" style="20" customWidth="1"/>
    <col min="11809" max="12058" width="9" style="20"/>
    <col min="12059" max="12060" width="10.75" style="20" customWidth="1"/>
    <col min="12061" max="12061" width="11.5" style="20" customWidth="1"/>
    <col min="12062" max="12062" width="13.125" style="20" customWidth="1"/>
    <col min="12063" max="12063" width="14" style="20" customWidth="1"/>
    <col min="12064" max="12064" width="15.25" style="20" customWidth="1"/>
    <col min="12065" max="12314" width="9" style="20"/>
    <col min="12315" max="12316" width="10.75" style="20" customWidth="1"/>
    <col min="12317" max="12317" width="11.5" style="20" customWidth="1"/>
    <col min="12318" max="12318" width="13.125" style="20" customWidth="1"/>
    <col min="12319" max="12319" width="14" style="20" customWidth="1"/>
    <col min="12320" max="12320" width="15.25" style="20" customWidth="1"/>
    <col min="12321" max="12570" width="9" style="20"/>
    <col min="12571" max="12572" width="10.75" style="20" customWidth="1"/>
    <col min="12573" max="12573" width="11.5" style="20" customWidth="1"/>
    <col min="12574" max="12574" width="13.125" style="20" customWidth="1"/>
    <col min="12575" max="12575" width="14" style="20" customWidth="1"/>
    <col min="12576" max="12576" width="15.25" style="20" customWidth="1"/>
    <col min="12577" max="12826" width="9" style="20"/>
    <col min="12827" max="12828" width="10.75" style="20" customWidth="1"/>
    <col min="12829" max="12829" width="11.5" style="20" customWidth="1"/>
    <col min="12830" max="12830" width="13.125" style="20" customWidth="1"/>
    <col min="12831" max="12831" width="14" style="20" customWidth="1"/>
    <col min="12832" max="12832" width="15.25" style="20" customWidth="1"/>
    <col min="12833" max="13082" width="9" style="20"/>
    <col min="13083" max="13084" width="10.75" style="20" customWidth="1"/>
    <col min="13085" max="13085" width="11.5" style="20" customWidth="1"/>
    <col min="13086" max="13086" width="13.125" style="20" customWidth="1"/>
    <col min="13087" max="13087" width="14" style="20" customWidth="1"/>
    <col min="13088" max="13088" width="15.25" style="20" customWidth="1"/>
    <col min="13089" max="13338" width="9" style="20"/>
    <col min="13339" max="13340" width="10.75" style="20" customWidth="1"/>
    <col min="13341" max="13341" width="11.5" style="20" customWidth="1"/>
    <col min="13342" max="13342" width="13.125" style="20" customWidth="1"/>
    <col min="13343" max="13343" width="14" style="20" customWidth="1"/>
    <col min="13344" max="13344" width="15.25" style="20" customWidth="1"/>
    <col min="13345" max="13594" width="9" style="20"/>
    <col min="13595" max="13596" width="10.75" style="20" customWidth="1"/>
    <col min="13597" max="13597" width="11.5" style="20" customWidth="1"/>
    <col min="13598" max="13598" width="13.125" style="20" customWidth="1"/>
    <col min="13599" max="13599" width="14" style="20" customWidth="1"/>
    <col min="13600" max="13600" width="15.25" style="20" customWidth="1"/>
    <col min="13601" max="13850" width="9" style="20"/>
    <col min="13851" max="13852" width="10.75" style="20" customWidth="1"/>
    <col min="13853" max="13853" width="11.5" style="20" customWidth="1"/>
    <col min="13854" max="13854" width="13.125" style="20" customWidth="1"/>
    <col min="13855" max="13855" width="14" style="20" customWidth="1"/>
    <col min="13856" max="13856" width="15.25" style="20" customWidth="1"/>
    <col min="13857" max="14106" width="9" style="20"/>
    <col min="14107" max="14108" width="10.75" style="20" customWidth="1"/>
    <col min="14109" max="14109" width="11.5" style="20" customWidth="1"/>
    <col min="14110" max="14110" width="13.125" style="20" customWidth="1"/>
    <col min="14111" max="14111" width="14" style="20" customWidth="1"/>
    <col min="14112" max="14112" width="15.25" style="20" customWidth="1"/>
    <col min="14113" max="14362" width="9" style="20"/>
    <col min="14363" max="14364" width="10.75" style="20" customWidth="1"/>
    <col min="14365" max="14365" width="11.5" style="20" customWidth="1"/>
    <col min="14366" max="14366" width="13.125" style="20" customWidth="1"/>
    <col min="14367" max="14367" width="14" style="20" customWidth="1"/>
    <col min="14368" max="14368" width="15.25" style="20" customWidth="1"/>
    <col min="14369" max="14618" width="9" style="20"/>
    <col min="14619" max="14620" width="10.75" style="20" customWidth="1"/>
    <col min="14621" max="14621" width="11.5" style="20" customWidth="1"/>
    <col min="14622" max="14622" width="13.125" style="20" customWidth="1"/>
    <col min="14623" max="14623" width="14" style="20" customWidth="1"/>
    <col min="14624" max="14624" width="15.25" style="20" customWidth="1"/>
    <col min="14625" max="14874" width="9" style="20"/>
    <col min="14875" max="14876" width="10.75" style="20" customWidth="1"/>
    <col min="14877" max="14877" width="11.5" style="20" customWidth="1"/>
    <col min="14878" max="14878" width="13.125" style="20" customWidth="1"/>
    <col min="14879" max="14879" width="14" style="20" customWidth="1"/>
    <col min="14880" max="14880" width="15.25" style="20" customWidth="1"/>
    <col min="14881" max="15130" width="9" style="20"/>
    <col min="15131" max="15132" width="10.75" style="20" customWidth="1"/>
    <col min="15133" max="15133" width="11.5" style="20" customWidth="1"/>
    <col min="15134" max="15134" width="13.125" style="20" customWidth="1"/>
    <col min="15135" max="15135" width="14" style="20" customWidth="1"/>
    <col min="15136" max="15136" width="15.25" style="20" customWidth="1"/>
    <col min="15137" max="15386" width="9" style="20"/>
    <col min="15387" max="15388" width="10.75" style="20" customWidth="1"/>
    <col min="15389" max="15389" width="11.5" style="20" customWidth="1"/>
    <col min="15390" max="15390" width="13.125" style="20" customWidth="1"/>
    <col min="15391" max="15391" width="14" style="20" customWidth="1"/>
    <col min="15392" max="15392" width="15.25" style="20" customWidth="1"/>
    <col min="15393" max="15642" width="9" style="20"/>
    <col min="15643" max="15644" width="10.75" style="20" customWidth="1"/>
    <col min="15645" max="15645" width="11.5" style="20" customWidth="1"/>
    <col min="15646" max="15646" width="13.125" style="20" customWidth="1"/>
    <col min="15647" max="15647" width="14" style="20" customWidth="1"/>
    <col min="15648" max="15648" width="15.25" style="20" customWidth="1"/>
    <col min="15649" max="15898" width="9" style="20"/>
    <col min="15899" max="15900" width="10.75" style="20" customWidth="1"/>
    <col min="15901" max="15901" width="11.5" style="20" customWidth="1"/>
    <col min="15902" max="15902" width="13.125" style="20" customWidth="1"/>
    <col min="15903" max="15903" width="14" style="20" customWidth="1"/>
    <col min="15904" max="15904" width="15.25" style="20" customWidth="1"/>
    <col min="15905" max="16154" width="9" style="20"/>
    <col min="16155" max="16156" width="10.75" style="20" customWidth="1"/>
    <col min="16157" max="16157" width="11.5" style="20" customWidth="1"/>
    <col min="16158" max="16158" width="13.125" style="20" customWidth="1"/>
    <col min="16159" max="16159" width="14" style="20" customWidth="1"/>
    <col min="16160" max="16160" width="15.25" style="20" customWidth="1"/>
    <col min="16161" max="16384" width="9" style="20"/>
  </cols>
  <sheetData>
    <row r="1" spans="1:71" ht="38.25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7"/>
      <c r="T1" s="8"/>
      <c r="U1" s="9"/>
      <c r="V1" s="9"/>
      <c r="W1" s="9"/>
      <c r="X1" s="9"/>
      <c r="Y1" s="9"/>
      <c r="Z1" s="9"/>
      <c r="AA1" s="9"/>
      <c r="AB1" s="10"/>
      <c r="AC1" s="9"/>
      <c r="AD1" s="9"/>
      <c r="AE1" s="9"/>
      <c r="AF1" s="11"/>
      <c r="AG1" s="9"/>
      <c r="AH1" s="12"/>
      <c r="AI1" s="6"/>
      <c r="AJ1" s="9"/>
      <c r="AK1" s="9"/>
      <c r="AM1" s="9"/>
      <c r="AN1" s="9"/>
      <c r="AO1" s="9"/>
      <c r="AP1" s="9"/>
      <c r="AQ1" s="9"/>
      <c r="AR1" s="14"/>
      <c r="AS1" s="9"/>
      <c r="AT1" s="15"/>
      <c r="AU1" s="16"/>
      <c r="AV1" s="6"/>
      <c r="AW1" s="6"/>
      <c r="AX1" s="6"/>
      <c r="AY1" s="6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8"/>
      <c r="BO1" s="17"/>
    </row>
    <row r="2" spans="1:71" x14ac:dyDescent="0.2">
      <c r="A2" s="21">
        <v>5.35</v>
      </c>
      <c r="B2" s="5">
        <f>ROUND('[1]成本法-办公'!C49*10000/'[1]数据-汇总表'!E20,2)</f>
        <v>11331.57</v>
      </c>
      <c r="C2" s="22">
        <v>1.4999999999999999E-2</v>
      </c>
      <c r="D2" s="22">
        <v>1E-3</v>
      </c>
      <c r="E2" s="22">
        <v>5.0000000000000001E-3</v>
      </c>
      <c r="F2" s="23" t="s">
        <v>18</v>
      </c>
      <c r="G2" s="4">
        <v>1.4999999999999999E-2</v>
      </c>
      <c r="H2" s="4">
        <v>0.03</v>
      </c>
      <c r="I2" s="4">
        <v>0.1</v>
      </c>
      <c r="J2" s="4">
        <v>5.5E-2</v>
      </c>
      <c r="K2" s="24">
        <f>[1]典型户型修正!R25</f>
        <v>8.43</v>
      </c>
      <c r="L2" s="25">
        <f>[1]典型户型修正!R24</f>
        <v>8.6</v>
      </c>
      <c r="M2" s="25">
        <f>[1]典型户型修正!R26</f>
        <v>8.77</v>
      </c>
      <c r="N2" s="5">
        <f>ROUND('[1]成本法-车库'!C49*10000/'[1]数据-汇总表'!E21,2)</f>
        <v>6567.53</v>
      </c>
      <c r="O2" s="5">
        <f>ROUND('[1]成本法-商业'!C49*10000/'[1]数据-汇总表'!E19,2)</f>
        <v>11810.62</v>
      </c>
      <c r="P2" s="6">
        <f>ROUND(N2*40%/(1+'[1]数据-取费表'!J8)^'[1]数据-取费表'!AE8,0)</f>
        <v>392</v>
      </c>
      <c r="Q2" s="6">
        <f>ROUND(B2*40%/(1+'[1]数据-取费表'!J7)^'[1]数据-取费表'!AE7,0)</f>
        <v>677</v>
      </c>
      <c r="R2" s="6">
        <f>ROUND(O2*41.4%/(1+'[1]数据-取费表'!J6)^'[1]数据-取费表'!AE6,0)</f>
        <v>1372</v>
      </c>
      <c r="S2" s="26"/>
      <c r="T2" s="27" t="s">
        <v>19</v>
      </c>
      <c r="U2" s="28"/>
      <c r="V2" s="28"/>
      <c r="W2" s="28"/>
      <c r="X2" s="28"/>
      <c r="Y2" s="28"/>
      <c r="Z2" s="28"/>
      <c r="AA2" s="28"/>
      <c r="AB2" s="29"/>
      <c r="AC2" s="28"/>
      <c r="AD2" s="28"/>
      <c r="AE2" s="28"/>
      <c r="AF2" s="30"/>
      <c r="AG2" s="28"/>
      <c r="AH2" s="31"/>
      <c r="AI2" s="32"/>
      <c r="AJ2" s="28"/>
      <c r="AK2" s="33"/>
      <c r="AL2" s="34" t="s">
        <v>20</v>
      </c>
      <c r="AM2" s="35"/>
      <c r="AN2" s="35"/>
      <c r="AO2" s="35"/>
      <c r="AP2" s="35"/>
      <c r="AQ2" s="35"/>
      <c r="AR2" s="36"/>
      <c r="AS2" s="35"/>
      <c r="AT2" s="37"/>
      <c r="AU2" s="38"/>
      <c r="AV2" s="39"/>
      <c r="AW2" s="39"/>
      <c r="AX2" s="39"/>
      <c r="AY2" s="39"/>
      <c r="AZ2" s="40"/>
      <c r="BA2" s="40"/>
      <c r="BB2" s="41"/>
      <c r="BC2" s="42"/>
      <c r="BD2" s="41"/>
      <c r="BE2" s="40" t="s">
        <v>21</v>
      </c>
      <c r="BF2" s="40"/>
      <c r="BG2" s="40"/>
      <c r="BH2" s="40"/>
      <c r="BI2" s="40"/>
      <c r="BJ2" s="40"/>
      <c r="BK2" s="40"/>
      <c r="BL2" s="40"/>
      <c r="BM2" s="40"/>
      <c r="BN2" s="43"/>
      <c r="BO2" s="41"/>
      <c r="BP2" s="119"/>
      <c r="BQ2" s="119"/>
      <c r="BR2" s="73"/>
    </row>
    <row r="3" spans="1:71" s="74" customFormat="1" ht="72" customHeight="1" x14ac:dyDescent="0.2">
      <c r="A3" s="44" t="s">
        <v>22</v>
      </c>
      <c r="B3" s="44" t="s">
        <v>23</v>
      </c>
      <c r="C3" s="44" t="s">
        <v>24</v>
      </c>
      <c r="D3" s="44" t="s">
        <v>25</v>
      </c>
      <c r="E3" s="44" t="s">
        <v>26</v>
      </c>
      <c r="F3" s="44" t="s">
        <v>27</v>
      </c>
      <c r="G3" s="44" t="s">
        <v>28</v>
      </c>
      <c r="H3" s="45" t="s">
        <v>29</v>
      </c>
      <c r="I3" s="45" t="s">
        <v>30</v>
      </c>
      <c r="J3" s="45" t="s">
        <v>31</v>
      </c>
      <c r="K3" s="45" t="s">
        <v>32</v>
      </c>
      <c r="L3" s="45" t="s">
        <v>33</v>
      </c>
      <c r="M3" s="45" t="s">
        <v>34</v>
      </c>
      <c r="N3" s="45" t="s">
        <v>35</v>
      </c>
      <c r="O3" s="45" t="s">
        <v>36</v>
      </c>
      <c r="P3" s="46" t="s">
        <v>37</v>
      </c>
      <c r="Q3" s="47" t="s">
        <v>38</v>
      </c>
      <c r="R3" s="48" t="s">
        <v>39</v>
      </c>
      <c r="S3" s="49" t="s">
        <v>40</v>
      </c>
      <c r="T3" s="50" t="s">
        <v>41</v>
      </c>
      <c r="U3" s="51" t="s">
        <v>42</v>
      </c>
      <c r="V3" s="52" t="s">
        <v>43</v>
      </c>
      <c r="W3" s="52" t="s">
        <v>44</v>
      </c>
      <c r="X3" s="53" t="s">
        <v>45</v>
      </c>
      <c r="Y3" s="53" t="s">
        <v>46</v>
      </c>
      <c r="Z3" s="54" t="s">
        <v>47</v>
      </c>
      <c r="AA3" s="55" t="s">
        <v>48</v>
      </c>
      <c r="AB3" s="56" t="s">
        <v>49</v>
      </c>
      <c r="AC3" s="51" t="s">
        <v>50</v>
      </c>
      <c r="AD3" s="51" t="s">
        <v>51</v>
      </c>
      <c r="AE3" s="51" t="s">
        <v>52</v>
      </c>
      <c r="AF3" s="57" t="s">
        <v>53</v>
      </c>
      <c r="AG3" s="57" t="s">
        <v>8</v>
      </c>
      <c r="AH3" s="58" t="s">
        <v>54</v>
      </c>
      <c r="AI3" s="51" t="s">
        <v>55</v>
      </c>
      <c r="AJ3" s="53" t="s">
        <v>56</v>
      </c>
      <c r="AK3" s="59" t="s">
        <v>57</v>
      </c>
      <c r="AL3" s="60" t="s">
        <v>58</v>
      </c>
      <c r="AM3" s="61" t="s">
        <v>59</v>
      </c>
      <c r="AN3" s="62" t="s">
        <v>43</v>
      </c>
      <c r="AO3" s="62" t="s">
        <v>44</v>
      </c>
      <c r="AP3" s="63" t="s">
        <v>45</v>
      </c>
      <c r="AQ3" s="63" t="s">
        <v>46</v>
      </c>
      <c r="AR3" s="64" t="s">
        <v>47</v>
      </c>
      <c r="AS3" s="65" t="s">
        <v>48</v>
      </c>
      <c r="AT3" s="66" t="s">
        <v>60</v>
      </c>
      <c r="AU3" s="67" t="s">
        <v>61</v>
      </c>
      <c r="AV3" s="61" t="s">
        <v>62</v>
      </c>
      <c r="AW3" s="61" t="s">
        <v>51</v>
      </c>
      <c r="AX3" s="61" t="s">
        <v>63</v>
      </c>
      <c r="AY3" s="61" t="s">
        <v>64</v>
      </c>
      <c r="AZ3" s="68" t="s">
        <v>56</v>
      </c>
      <c r="BA3" s="68" t="s">
        <v>57</v>
      </c>
      <c r="BB3" s="69" t="s">
        <v>65</v>
      </c>
      <c r="BC3" s="70" t="s">
        <v>66</v>
      </c>
      <c r="BD3" s="69" t="s">
        <v>67</v>
      </c>
      <c r="BE3" s="68" t="s">
        <v>68</v>
      </c>
      <c r="BF3" s="68" t="s">
        <v>51</v>
      </c>
      <c r="BG3" s="68" t="s">
        <v>69</v>
      </c>
      <c r="BH3" s="68" t="s">
        <v>70</v>
      </c>
      <c r="BI3" s="71" t="s">
        <v>46</v>
      </c>
      <c r="BJ3" s="71" t="s">
        <v>71</v>
      </c>
      <c r="BK3" s="71" t="s">
        <v>48</v>
      </c>
      <c r="BL3" s="71" t="s">
        <v>56</v>
      </c>
      <c r="BM3" s="68" t="s">
        <v>57</v>
      </c>
      <c r="BN3" s="72" t="s">
        <v>21</v>
      </c>
      <c r="BO3" s="69" t="s">
        <v>72</v>
      </c>
      <c r="BP3" s="86" t="s">
        <v>119</v>
      </c>
      <c r="BQ3" s="86" t="s">
        <v>120</v>
      </c>
      <c r="BR3" s="73" t="s">
        <v>121</v>
      </c>
      <c r="BS3" s="74">
        <f>'[1]3种方法结果汇总'!G6</f>
        <v>236141</v>
      </c>
    </row>
    <row r="4" spans="1:71" s="76" customFormat="1" hidden="1" x14ac:dyDescent="0.2">
      <c r="A4" s="155"/>
      <c r="B4" s="155" t="s">
        <v>73</v>
      </c>
      <c r="C4" s="155"/>
      <c r="D4" s="155"/>
      <c r="E4" s="155">
        <v>0</v>
      </c>
      <c r="F4" s="155" t="s">
        <v>74</v>
      </c>
      <c r="G4" s="155" t="s">
        <v>75</v>
      </c>
      <c r="H4" s="156">
        <v>56009</v>
      </c>
      <c r="I4" s="156">
        <v>44987</v>
      </c>
      <c r="J4" s="157">
        <f>IF(F4="商业",[1]项目基本情况!D$15,[1]项目基本情况!E$15)</f>
        <v>30.19</v>
      </c>
      <c r="K4" s="155"/>
      <c r="L4" s="155">
        <v>0</v>
      </c>
      <c r="M4" s="155"/>
      <c r="N4" s="155" t="s">
        <v>12</v>
      </c>
      <c r="O4" s="155">
        <v>2008</v>
      </c>
      <c r="P4" s="155">
        <f>ROUND(L4/A$2,2)</f>
        <v>0</v>
      </c>
      <c r="Q4" s="155">
        <f>ROUND(P4*'[1]数据-取费表'!B$52,0)</f>
        <v>0</v>
      </c>
      <c r="R4" s="155">
        <f>ROUND(L4*B$2,0)</f>
        <v>0</v>
      </c>
      <c r="S4" s="158">
        <f>ROUND(R4*C$2,0)</f>
        <v>0</v>
      </c>
      <c r="T4" s="159">
        <v>0.8</v>
      </c>
      <c r="U4" s="155">
        <f>ROUND(R4*T4,0)</f>
        <v>0</v>
      </c>
      <c r="V4" s="158">
        <f>ROUND(U4*D$2,0)</f>
        <v>0</v>
      </c>
      <c r="W4" s="158">
        <f>ROUND(AE4*E$2,0)</f>
        <v>0</v>
      </c>
      <c r="X4" s="155">
        <f>ROUND(AC4*'[1]数据-取费表'!$B$41/(1+'[1]数据-取费表'!$C$42),0)</f>
        <v>0</v>
      </c>
      <c r="Y4" s="155">
        <f>ROUND(AC4*'[1]数据-取费表'!$B$51/(1+'[1]数据-取费表'!$C$42),0)</f>
        <v>0</v>
      </c>
      <c r="Z4" s="155">
        <f>ROUND(X4+Y4+Q4,0)</f>
        <v>0</v>
      </c>
      <c r="AA4" s="158">
        <f>ROUND(Z4+S4+V4+W4,0)</f>
        <v>0</v>
      </c>
      <c r="AB4" s="160">
        <f>IF(N4="低区",K$2,IF(N4="中区",L$2,M$2))</f>
        <v>8.77</v>
      </c>
      <c r="AC4" s="155">
        <f>ROUND(AB4*365*L4*(1-I$2),0)</f>
        <v>0</v>
      </c>
      <c r="AD4" s="155">
        <f>ROUND(IF(F$2="押一",AC4/12*G$2,IF(F$2="押二",AC4/12*2*G$2,IF(F$2="押三",AC4/12*3*G$2,0*G$2))),0)</f>
        <v>0</v>
      </c>
      <c r="AE4" s="155">
        <f>ROUND(AC4+AD4,0)</f>
        <v>0</v>
      </c>
      <c r="AF4" s="161">
        <f>H$2</f>
        <v>0.03</v>
      </c>
      <c r="AG4" s="161"/>
      <c r="AH4" s="156">
        <f>H4</f>
        <v>56009</v>
      </c>
      <c r="AI4" s="155">
        <f>ROUNDDOWN((AH4-I4)/365,2)</f>
        <v>30.19</v>
      </c>
      <c r="AJ4" s="158">
        <f>ROUND(AE4-AA4,0)</f>
        <v>0</v>
      </c>
      <c r="AK4" s="158">
        <f>ROUND(AJ4*(1-((1+AF4)/(1+J$2))^AI4)/(J$2-AF4),0)</f>
        <v>0</v>
      </c>
      <c r="AL4" s="159">
        <f>ROUND(1-(YEAR(AH4)-O4)/60,2)</f>
        <v>0.25</v>
      </c>
      <c r="AM4" s="155">
        <f>ROUND(IF(AY4=0,0,R4*AL4),0)</f>
        <v>0</v>
      </c>
      <c r="AN4" s="158">
        <f>ROUND(AM4*D$2,0)</f>
        <v>0</v>
      </c>
      <c r="AO4" s="158">
        <f>ROUND(AX4*E$2,0)</f>
        <v>0</v>
      </c>
      <c r="AP4" s="155">
        <f>ROUND(AV4*'[1]数据-取费表'!$B$41/(1+'[1]数据-取费表'!$B$42),0)</f>
        <v>0</v>
      </c>
      <c r="AQ4" s="155">
        <f>ROUND(AV4*'[1]数据-取费表'!B$51/(1+'[1]数据-取费表'!C$42),0)</f>
        <v>0</v>
      </c>
      <c r="AR4" s="160">
        <f>IF(AY4=0,0,ROUND(AP4+AQ4+Q4,0))</f>
        <v>0</v>
      </c>
      <c r="AS4" s="158">
        <f>IF(AY4=0,0,ROUND(AR4+S4+AN4+AO4,0))</f>
        <v>0</v>
      </c>
      <c r="AT4" s="162">
        <f>IF(N4="低区",K$2,IF(N4="中区",L$2,M$2))</f>
        <v>8.77</v>
      </c>
      <c r="AU4" s="155">
        <f>ROUND(AT4*(1+H$2)^AI4,2)</f>
        <v>21.41</v>
      </c>
      <c r="AV4" s="155">
        <f>ROUND(IF(AY4=0,0,AU4*365*L4*(1-I$2)),0)</f>
        <v>0</v>
      </c>
      <c r="AW4" s="155">
        <f>ROUND(IF(F$2="押一",AV4/12*G$2,IF(F$2="押二",AV4/12*2*G$2,IF(F$2="押三",AV4/12*3*G$2,0*G$2))),0)</f>
        <v>0</v>
      </c>
      <c r="AX4" s="155">
        <f>AV4+AW4</f>
        <v>0</v>
      </c>
      <c r="AY4" s="155">
        <f>J4-AI4</f>
        <v>0</v>
      </c>
      <c r="AZ4" s="153">
        <f>AX4-AS4</f>
        <v>0</v>
      </c>
      <c r="BA4" s="153">
        <f>ROUND(AZ4*(1-((1+H$2)/(1+J$2))^AY4)/(J$2-H$2),0)</f>
        <v>0</v>
      </c>
      <c r="BB4" s="153">
        <f>ROUND(BA4/(1+J$2)^AI4,0)</f>
        <v>0</v>
      </c>
      <c r="BC4" s="153"/>
      <c r="BD4" s="153">
        <f>ROUND((AK4+BB4)/10000,2)</f>
        <v>0</v>
      </c>
      <c r="BE4" s="153">
        <f>IF(AY4=0,0,ROUND(AT4*365*L4*(1-I$2),0))</f>
        <v>0</v>
      </c>
      <c r="BF4" s="153">
        <f>ROUND(IF(F$2="押一",BE4/12*G$2,IF(F$2="押二",BE4/12*2*G$2,IF(F$2="押三",BE4/12*3*G$2,0*G$2))),0)</f>
        <v>0</v>
      </c>
      <c r="BG4" s="153">
        <f>ROUND(BE4+BF4,0)</f>
        <v>0</v>
      </c>
      <c r="BH4" s="153">
        <f>ROUND(BG4*E$2,0)</f>
        <v>0</v>
      </c>
      <c r="BI4" s="153">
        <f>ROUND(BE4*'[1]数据-取费表'!$B$51/(1+'[1]数据-取费表'!$C$42),0)</f>
        <v>0</v>
      </c>
      <c r="BJ4" s="153">
        <f>ROUND(BG4*'[1]数据-取费表'!B$41/(1+'[1]数据-取费表'!C$42),0)</f>
        <v>0</v>
      </c>
      <c r="BK4" s="153">
        <f>IF(AY4=0,0,ROUND(BJ4+BI4+BH4+Q4+S4+V4,0))</f>
        <v>0</v>
      </c>
      <c r="BL4" s="153">
        <f>BG4-BK4</f>
        <v>0</v>
      </c>
      <c r="BM4" s="153">
        <f>ROUND(BL4*(1-((1+H$2)/(1+J$2))^AI4)/(J$2-H$2),0)</f>
        <v>0</v>
      </c>
      <c r="BN4" s="163">
        <f>IF(AY4=0,0,ROUND(BM4-AK4,0))</f>
        <v>0</v>
      </c>
      <c r="BO4" s="153"/>
      <c r="BP4" s="153"/>
      <c r="BQ4" s="153"/>
      <c r="BR4" s="75"/>
    </row>
    <row r="5" spans="1:71" s="76" customFormat="1" ht="25.5" x14ac:dyDescent="0.2">
      <c r="A5" s="138">
        <v>1</v>
      </c>
      <c r="B5" s="138" t="s">
        <v>76</v>
      </c>
      <c r="C5" s="138" t="s">
        <v>77</v>
      </c>
      <c r="D5" s="138">
        <v>-101</v>
      </c>
      <c r="E5" s="138">
        <v>4764.29</v>
      </c>
      <c r="F5" s="138" t="s">
        <v>78</v>
      </c>
      <c r="G5" s="138" t="s">
        <v>79</v>
      </c>
      <c r="H5" s="167">
        <v>56009</v>
      </c>
      <c r="I5" s="167">
        <v>44987</v>
      </c>
      <c r="J5" s="149">
        <f>IF(F5="商业",[1]项目基本情况!D$15,[1]项目基本情况!E$15)</f>
        <v>30.19</v>
      </c>
      <c r="K5" s="138" t="s">
        <v>80</v>
      </c>
      <c r="L5" s="197">
        <f>SUM(E5:E7)</f>
        <v>14169.72</v>
      </c>
      <c r="M5" s="138">
        <v>-1</v>
      </c>
      <c r="N5" s="138" t="s">
        <v>79</v>
      </c>
      <c r="O5" s="138">
        <v>2008</v>
      </c>
      <c r="P5" s="197">
        <f t="shared" ref="P5:P69" si="0">ROUND(L5/A$2,2)</f>
        <v>2648.55</v>
      </c>
      <c r="Q5" s="197">
        <f>ROUND(P5*'[1]数据-取费表'!B$52,0)</f>
        <v>79457</v>
      </c>
      <c r="R5" s="197">
        <f>ROUND(L5*N$2,0)</f>
        <v>93060061</v>
      </c>
      <c r="S5" s="197">
        <f>'[1]收益法-车库'!C36*10000</f>
        <v>0</v>
      </c>
      <c r="T5" s="199">
        <v>0.8</v>
      </c>
      <c r="U5" s="197">
        <f t="shared" ref="U5" si="1">ROUND(R5*T5,0)</f>
        <v>74448049</v>
      </c>
      <c r="V5" s="197">
        <f t="shared" ref="V5:V69" si="2">ROUND(U5*D$2,0)</f>
        <v>74448</v>
      </c>
      <c r="W5" s="197">
        <f>'[1]收益法-车库'!C38</f>
        <v>0</v>
      </c>
      <c r="X5" s="197">
        <f>ROUND(AC5*'[1]数据-取费表'!$B$41/(1+'[1]数据-取费表'!$C$42),0)</f>
        <v>43947</v>
      </c>
      <c r="Y5" s="197">
        <f>ROUND(AC5*'[1]数据-取费表'!$B$51/(1+'[1]数据-取费表'!$C$42),0)</f>
        <v>94171</v>
      </c>
      <c r="Z5" s="197">
        <f t="shared" ref="Z5:Z69" si="3">ROUND(X5+Y5+Q5,0)</f>
        <v>217575</v>
      </c>
      <c r="AA5" s="197">
        <f t="shared" ref="AA5:AA69" si="4">ROUND(Z5+S5+V5+W5,0)</f>
        <v>292023</v>
      </c>
      <c r="AB5" s="197">
        <f>ROUND(AC5/L5/365,2)</f>
        <v>0.16</v>
      </c>
      <c r="AC5" s="197">
        <v>824000</v>
      </c>
      <c r="AD5" s="197">
        <f>'[1]收益法-车库'!C10*10000</f>
        <v>0</v>
      </c>
      <c r="AE5" s="197">
        <f>AC5</f>
        <v>824000</v>
      </c>
      <c r="AF5" s="198">
        <v>7.1300000000000002E-2</v>
      </c>
      <c r="AG5" s="168"/>
      <c r="AH5" s="202">
        <v>48579</v>
      </c>
      <c r="AI5" s="197">
        <f t="shared" ref="AI5" si="5">ROUNDDOWN((AH5-I5)/365,2)</f>
        <v>9.84</v>
      </c>
      <c r="AJ5" s="197">
        <f t="shared" ref="AJ5:AJ69" si="6">ROUND(AE5-AA5,0)</f>
        <v>531977</v>
      </c>
      <c r="AK5" s="197">
        <f t="shared" ref="AK5:AK69" si="7">ROUND(AJ5*(1-((1+AF5)/(1+J$2))^AI5)/(J$2-AF5),0)</f>
        <v>5314645</v>
      </c>
      <c r="AL5" s="199">
        <f t="shared" ref="AL5:AL69" si="8">ROUND(1-(YEAR(AH5)-O5)/60,2)</f>
        <v>0.6</v>
      </c>
      <c r="AM5" s="197">
        <f t="shared" ref="AM5:AM69" si="9">ROUND(IF(AY5=0,0,R5*AL5),0)</f>
        <v>55836037</v>
      </c>
      <c r="AN5" s="197">
        <f t="shared" ref="AN5:AN69" si="10">ROUND(AM5*D$2,0)</f>
        <v>55836</v>
      </c>
      <c r="AO5" s="197">
        <f t="shared" ref="AO5:AO69" si="11">ROUND(AX5*E$2,0)</f>
        <v>21556</v>
      </c>
      <c r="AP5" s="197">
        <f>ROUND(AV5*'[1]数据-取费表'!$B$41/(1+'[1]数据-取费表'!$B$42),0)</f>
        <v>229931</v>
      </c>
      <c r="AQ5" s="197">
        <f>ROUND(AV5*'[1]数据-取费表'!B$51/(1+'[1]数据-取费表'!C$42),0)</f>
        <v>492709</v>
      </c>
      <c r="AR5" s="197">
        <f t="shared" ref="AR5:AR69" si="12">IF(AY5=0,0,ROUND(AP5+AQ5+Q5,0))</f>
        <v>802097</v>
      </c>
      <c r="AS5" s="197">
        <f>IF(AY5=0,0,ROUND(AR5+S5+AN5+AO5+R5*'[1]数据-取费表'!AK8,0))</f>
        <v>1810090</v>
      </c>
      <c r="AT5" s="200" t="s">
        <v>81</v>
      </c>
      <c r="AU5" s="197" t="s">
        <v>81</v>
      </c>
      <c r="AV5" s="197">
        <f>ROUND('[1]收益法-车库'!M6*'[1]收益法-车库'!M7*'[1]收益法-车库'!M8*(1-'[1]收益法-车库'!M9),0)</f>
        <v>4311206</v>
      </c>
      <c r="AW5" s="201">
        <f>'[1]收益法-车库'!J10</f>
        <v>0</v>
      </c>
      <c r="AX5" s="197">
        <f t="shared" ref="AX5:AX69" si="13">AV5+AW5</f>
        <v>4311206</v>
      </c>
      <c r="AY5" s="197">
        <f t="shared" ref="AY5" si="14">J5-AI5</f>
        <v>20.350000000000001</v>
      </c>
      <c r="AZ5" s="194">
        <f t="shared" ref="AZ5" si="15">AX5-AS5</f>
        <v>2501116</v>
      </c>
      <c r="BA5" s="194">
        <f>'[1]收益法-车库'!J26*10000</f>
        <v>34040000</v>
      </c>
      <c r="BB5" s="194">
        <f t="shared" ref="BB5:BB69" si="16">ROUND(BA5/(1+J$2)^AI5,0)</f>
        <v>20099504</v>
      </c>
      <c r="BC5" s="194">
        <f>ROUND(P$2*L5,0)</f>
        <v>5554530</v>
      </c>
      <c r="BD5" s="194">
        <f>ROUND((AK5+BB5+BC5)/10000,2)</f>
        <v>3096.87</v>
      </c>
      <c r="BE5" s="194">
        <f>'[1]收益法-车库'!C49*10000</f>
        <v>3190000</v>
      </c>
      <c r="BF5" s="194">
        <f>'[1]收益法-车库'!C53*10000</f>
        <v>0</v>
      </c>
      <c r="BG5" s="194">
        <f t="shared" ref="BG5:BG69" si="17">ROUND(BE5+BF5,0)</f>
        <v>3190000</v>
      </c>
      <c r="BH5" s="194">
        <f t="shared" ref="BH5:BH69" si="18">ROUND(BG5*E$2,0)</f>
        <v>15950</v>
      </c>
      <c r="BI5" s="194">
        <f>ROUND(BE5*'[1]数据-取费表'!$B$51/(1+'[1]数据-取费表'!$C$42),0)</f>
        <v>364571</v>
      </c>
      <c r="BJ5" s="194">
        <f>ROUND(BG5*'[1]数据-取费表'!B$41/(1+'[1]数据-取费表'!C$42),0)</f>
        <v>170133</v>
      </c>
      <c r="BK5" s="194">
        <f t="shared" ref="BK5:BK69" si="19">IF(AY5=0,0,ROUND(BJ5+BI5+BH5+Q5+S5+V5,0))</f>
        <v>704559</v>
      </c>
      <c r="BL5" s="194">
        <f t="shared" ref="BL5:BL69" si="20">BG5-BK5</f>
        <v>2485441</v>
      </c>
      <c r="BM5" s="194">
        <f>'[1]收益法-车库'!C68*10000</f>
        <v>12340000</v>
      </c>
      <c r="BN5" s="203">
        <f t="shared" ref="BN5:BN69" si="21">IF(AY5=0,0,ROUND(BM5-AK5,0))</f>
        <v>7025355</v>
      </c>
      <c r="BO5" s="194">
        <f>BD5/$BD$234*$BS$3</f>
        <v>4301.9426072914966</v>
      </c>
      <c r="BP5" s="169">
        <f>BO5/(BR5+BR6+BR7)*BR5</f>
        <v>1327.9308369774394</v>
      </c>
      <c r="BQ5" s="170">
        <f>ROUND(BP5/BR5,1)</f>
        <v>13.8</v>
      </c>
      <c r="BR5" s="124">
        <v>96</v>
      </c>
    </row>
    <row r="6" spans="1:71" s="76" customFormat="1" ht="25.5" x14ac:dyDescent="0.2">
      <c r="A6" s="138">
        <v>2</v>
      </c>
      <c r="B6" s="138" t="s">
        <v>76</v>
      </c>
      <c r="C6" s="138" t="s">
        <v>77</v>
      </c>
      <c r="D6" s="138">
        <v>-201</v>
      </c>
      <c r="E6" s="138">
        <v>4671.58</v>
      </c>
      <c r="F6" s="138" t="s">
        <v>78</v>
      </c>
      <c r="G6" s="138" t="s">
        <v>79</v>
      </c>
      <c r="H6" s="167">
        <v>56009</v>
      </c>
      <c r="I6" s="167">
        <v>44987</v>
      </c>
      <c r="J6" s="149">
        <f>IF(F6="商业",[1]项目基本情况!D$15,[1]项目基本情况!E$15)</f>
        <v>30.19</v>
      </c>
      <c r="K6" s="138" t="s">
        <v>80</v>
      </c>
      <c r="L6" s="197"/>
      <c r="M6" s="138">
        <v>-2</v>
      </c>
      <c r="N6" s="138" t="s">
        <v>79</v>
      </c>
      <c r="O6" s="138">
        <v>2008</v>
      </c>
      <c r="P6" s="197">
        <f t="shared" si="0"/>
        <v>0</v>
      </c>
      <c r="Q6" s="197">
        <f>ROUND(P6*'[1]数据-取费表'!B$52,0)</f>
        <v>0</v>
      </c>
      <c r="R6" s="197">
        <f>ROUND(L6*N$2,0)</f>
        <v>0</v>
      </c>
      <c r="S6" s="197">
        <f t="shared" ref="S6:S70" si="22">ROUND(R6*C$2,0)</f>
        <v>0</v>
      </c>
      <c r="T6" s="199"/>
      <c r="U6" s="197"/>
      <c r="V6" s="197">
        <f t="shared" si="2"/>
        <v>0</v>
      </c>
      <c r="W6" s="197">
        <f t="shared" ref="W6:W70" si="23">ROUND(AE6*E$2,0)</f>
        <v>0</v>
      </c>
      <c r="X6" s="197">
        <f>ROUND(AC6*'[1]数据-取费表'!$B$41/(1+'[1]数据-取费表'!$C$42),0)</f>
        <v>0</v>
      </c>
      <c r="Y6" s="197">
        <f>ROUND(AC6*'[1]数据-取费表'!$B$51/(1+'[1]数据-取费表'!$C$42),0)</f>
        <v>0</v>
      </c>
      <c r="Z6" s="197">
        <f t="shared" si="3"/>
        <v>0</v>
      </c>
      <c r="AA6" s="197">
        <f t="shared" si="4"/>
        <v>0</v>
      </c>
      <c r="AB6" s="197">
        <f t="shared" ref="AB6:AB70" si="24">IF(N6="低区",K$2,IF(N6="中区",L$2,M$2))</f>
        <v>8.77</v>
      </c>
      <c r="AC6" s="197"/>
      <c r="AD6" s="197">
        <f t="shared" ref="AD6:AD70" si="25">ROUND(IF(F$2="押一",AC6/12*G$2,IF(F$2="押二",AC6/12*2*G$2,IF(F$2="押三",AC6/12*3*G$2,0*G$2))),0)</f>
        <v>0</v>
      </c>
      <c r="AE6" s="197">
        <f t="shared" ref="AE6:AE70" si="26">ROUND(AC6+AD6,0)</f>
        <v>0</v>
      </c>
      <c r="AF6" s="198"/>
      <c r="AG6" s="168"/>
      <c r="AH6" s="202"/>
      <c r="AI6" s="197"/>
      <c r="AJ6" s="197">
        <f t="shared" si="6"/>
        <v>0</v>
      </c>
      <c r="AK6" s="197">
        <f t="shared" si="7"/>
        <v>0</v>
      </c>
      <c r="AL6" s="199">
        <f t="shared" si="8"/>
        <v>2.8</v>
      </c>
      <c r="AM6" s="197">
        <f t="shared" si="9"/>
        <v>0</v>
      </c>
      <c r="AN6" s="197">
        <f t="shared" si="10"/>
        <v>0</v>
      </c>
      <c r="AO6" s="197">
        <f t="shared" si="11"/>
        <v>0</v>
      </c>
      <c r="AP6" s="197">
        <f>ROUND(AV6*'[1]数据-取费表'!$B$41/(1+'[1]数据-取费表'!$B$42),0)</f>
        <v>0</v>
      </c>
      <c r="AQ6" s="197">
        <f>ROUND(AV6*'[1]数据-取费表'!B$51/(1+'[1]数据-取费表'!C$42),0)</f>
        <v>0</v>
      </c>
      <c r="AR6" s="197">
        <f t="shared" si="12"/>
        <v>0</v>
      </c>
      <c r="AS6" s="197">
        <f t="shared" ref="AS6:AS70" si="27">IF(AY6=0,0,ROUND(AR6+S6+AN6+AO6,0))</f>
        <v>0</v>
      </c>
      <c r="AT6" s="200" t="s">
        <v>81</v>
      </c>
      <c r="AU6" s="197" t="e">
        <f t="shared" ref="AU6:AU70" si="28">ROUND(AT6*(1+H$2)^AI6,2)</f>
        <v>#VALUE!</v>
      </c>
      <c r="AV6" s="197">
        <f t="shared" ref="AV6:AV70" si="29">ROUND(IF(AY6=0,0,AU6*365*L6*(1-I$2)),0)</f>
        <v>0</v>
      </c>
      <c r="AW6" s="197">
        <f t="shared" ref="AW6:AW70" si="30">ROUND(IF(F$2="押一",AV6/12*G$2,IF(F$2="押二",AV6/12*2*G$2,IF(F$2="押三",AV6/12*3*G$2,0*G$2))),0)</f>
        <v>0</v>
      </c>
      <c r="AX6" s="197">
        <f t="shared" si="13"/>
        <v>0</v>
      </c>
      <c r="AY6" s="197"/>
      <c r="AZ6" s="194"/>
      <c r="BA6" s="194">
        <f t="shared" ref="BA6:BA70" si="31">ROUND(AZ6*(1-((1+H$2)/(1+J$2))^AY6)/(J$2-H$2),0)</f>
        <v>0</v>
      </c>
      <c r="BB6" s="194">
        <f t="shared" si="16"/>
        <v>0</v>
      </c>
      <c r="BC6" s="194">
        <f t="shared" ref="BC6:BC7" si="32">ROUND(P$2*L6,0)</f>
        <v>0</v>
      </c>
      <c r="BD6" s="194">
        <f t="shared" ref="BD6:BD70" si="33">ROUND((AK6+BB6+BC6)/10000,2)</f>
        <v>0</v>
      </c>
      <c r="BE6" s="194">
        <f t="shared" ref="BE6:BE70" si="34">IF(AY6=0,0,ROUND(AT6*365*L6*(1-I$2),0))</f>
        <v>0</v>
      </c>
      <c r="BF6" s="194">
        <f t="shared" ref="BF6:BF70" si="35">ROUND(IF(F$2="押一",BE6/12*G$2,IF(F$2="押二",BE6/12*2*G$2,IF(F$2="押三",BE6/12*3*G$2,0*G$2))),0)</f>
        <v>0</v>
      </c>
      <c r="BG6" s="194">
        <f t="shared" si="17"/>
        <v>0</v>
      </c>
      <c r="BH6" s="194">
        <f t="shared" si="18"/>
        <v>0</v>
      </c>
      <c r="BI6" s="194">
        <f>ROUND(BE6*'[1]数据-取费表'!$B$51/(1+'[1]数据-取费表'!$C$42),0)</f>
        <v>0</v>
      </c>
      <c r="BJ6" s="194">
        <f>ROUND(BG6*'[1]数据-取费表'!B$41/(1+'[1]数据-取费表'!C$42),0)</f>
        <v>0</v>
      </c>
      <c r="BK6" s="194">
        <f t="shared" si="19"/>
        <v>0</v>
      </c>
      <c r="BL6" s="194">
        <f t="shared" si="20"/>
        <v>0</v>
      </c>
      <c r="BM6" s="194">
        <f t="shared" ref="BM6:BM70" si="36">ROUND(BL6*(1-((1+H$2)/(1+J$2))^AI6)/(J$2-H$2),0)</f>
        <v>0</v>
      </c>
      <c r="BN6" s="203">
        <f t="shared" si="21"/>
        <v>0</v>
      </c>
      <c r="BO6" s="194"/>
      <c r="BP6" s="169">
        <f>BO5/(BR5+BR6+BR7)*BR6</f>
        <v>1480.0895787144377</v>
      </c>
      <c r="BQ6" s="170">
        <f t="shared" ref="BQ6:BQ7" si="37">ROUND(BP6/BR6,1)</f>
        <v>13.8</v>
      </c>
      <c r="BR6" s="124">
        <v>107</v>
      </c>
    </row>
    <row r="7" spans="1:71" s="76" customFormat="1" ht="25.5" x14ac:dyDescent="0.2">
      <c r="A7" s="138">
        <v>3</v>
      </c>
      <c r="B7" s="138" t="s">
        <v>76</v>
      </c>
      <c r="C7" s="138" t="s">
        <v>77</v>
      </c>
      <c r="D7" s="138">
        <v>-301</v>
      </c>
      <c r="E7" s="138">
        <v>4733.8500000000004</v>
      </c>
      <c r="F7" s="138" t="s">
        <v>78</v>
      </c>
      <c r="G7" s="138" t="s">
        <v>79</v>
      </c>
      <c r="H7" s="167">
        <v>56009</v>
      </c>
      <c r="I7" s="167">
        <v>44987</v>
      </c>
      <c r="J7" s="149">
        <f>IF(F7="商业",[1]项目基本情况!D$15,[1]项目基本情况!E$15)</f>
        <v>30.19</v>
      </c>
      <c r="K7" s="138" t="s">
        <v>80</v>
      </c>
      <c r="L7" s="197"/>
      <c r="M7" s="138">
        <v>-3</v>
      </c>
      <c r="N7" s="138" t="s">
        <v>79</v>
      </c>
      <c r="O7" s="138">
        <v>2008</v>
      </c>
      <c r="P7" s="197">
        <f t="shared" si="0"/>
        <v>0</v>
      </c>
      <c r="Q7" s="197">
        <f>ROUND(P7*'[1]数据-取费表'!B$52,0)</f>
        <v>0</v>
      </c>
      <c r="R7" s="197">
        <f>ROUND(L7*N$2,0)</f>
        <v>0</v>
      </c>
      <c r="S7" s="197">
        <f t="shared" si="22"/>
        <v>0</v>
      </c>
      <c r="T7" s="199"/>
      <c r="U7" s="197"/>
      <c r="V7" s="197">
        <f t="shared" si="2"/>
        <v>0</v>
      </c>
      <c r="W7" s="197">
        <f t="shared" si="23"/>
        <v>0</v>
      </c>
      <c r="X7" s="197">
        <f>ROUND(AC7*'[1]数据-取费表'!$B$41/(1+'[1]数据-取费表'!$C$42),0)</f>
        <v>0</v>
      </c>
      <c r="Y7" s="197">
        <f>ROUND(AC7*'[1]数据-取费表'!$B$51/(1+'[1]数据-取费表'!$C$42),0)</f>
        <v>0</v>
      </c>
      <c r="Z7" s="197">
        <f t="shared" si="3"/>
        <v>0</v>
      </c>
      <c r="AA7" s="197">
        <f t="shared" si="4"/>
        <v>0</v>
      </c>
      <c r="AB7" s="197">
        <f t="shared" si="24"/>
        <v>8.77</v>
      </c>
      <c r="AC7" s="197"/>
      <c r="AD7" s="197">
        <f t="shared" si="25"/>
        <v>0</v>
      </c>
      <c r="AE7" s="197">
        <f t="shared" si="26"/>
        <v>0</v>
      </c>
      <c r="AF7" s="198"/>
      <c r="AG7" s="168"/>
      <c r="AH7" s="202"/>
      <c r="AI7" s="197"/>
      <c r="AJ7" s="197">
        <f t="shared" si="6"/>
        <v>0</v>
      </c>
      <c r="AK7" s="197">
        <f t="shared" si="7"/>
        <v>0</v>
      </c>
      <c r="AL7" s="199">
        <f t="shared" si="8"/>
        <v>2.8</v>
      </c>
      <c r="AM7" s="197">
        <f t="shared" si="9"/>
        <v>0</v>
      </c>
      <c r="AN7" s="197">
        <f t="shared" si="10"/>
        <v>0</v>
      </c>
      <c r="AO7" s="197">
        <f t="shared" si="11"/>
        <v>0</v>
      </c>
      <c r="AP7" s="197">
        <f>ROUND(AV7*'[1]数据-取费表'!$B$41/(1+'[1]数据-取费表'!$B$42),0)</f>
        <v>0</v>
      </c>
      <c r="AQ7" s="197">
        <f>ROUND(AV7*'[1]数据-取费表'!B$51/(1+'[1]数据-取费表'!C$42),0)</f>
        <v>0</v>
      </c>
      <c r="AR7" s="197">
        <f t="shared" si="12"/>
        <v>0</v>
      </c>
      <c r="AS7" s="197">
        <f t="shared" si="27"/>
        <v>0</v>
      </c>
      <c r="AT7" s="200" t="s">
        <v>81</v>
      </c>
      <c r="AU7" s="197" t="e">
        <f t="shared" si="28"/>
        <v>#VALUE!</v>
      </c>
      <c r="AV7" s="197">
        <f t="shared" si="29"/>
        <v>0</v>
      </c>
      <c r="AW7" s="197">
        <f t="shared" si="30"/>
        <v>0</v>
      </c>
      <c r="AX7" s="197">
        <f t="shared" si="13"/>
        <v>0</v>
      </c>
      <c r="AY7" s="197"/>
      <c r="AZ7" s="194"/>
      <c r="BA7" s="194">
        <f t="shared" si="31"/>
        <v>0</v>
      </c>
      <c r="BB7" s="194">
        <f t="shared" si="16"/>
        <v>0</v>
      </c>
      <c r="BC7" s="194">
        <f t="shared" si="32"/>
        <v>0</v>
      </c>
      <c r="BD7" s="194">
        <f t="shared" si="33"/>
        <v>0</v>
      </c>
      <c r="BE7" s="194">
        <f t="shared" si="34"/>
        <v>0</v>
      </c>
      <c r="BF7" s="194">
        <f t="shared" si="35"/>
        <v>0</v>
      </c>
      <c r="BG7" s="194">
        <f t="shared" si="17"/>
        <v>0</v>
      </c>
      <c r="BH7" s="194">
        <f t="shared" si="18"/>
        <v>0</v>
      </c>
      <c r="BI7" s="194">
        <f>ROUND(BE7*'[1]数据-取费表'!$B$51/(1+'[1]数据-取费表'!$C$42),0)</f>
        <v>0</v>
      </c>
      <c r="BJ7" s="194">
        <f>ROUND(BG7*'[1]数据-取费表'!B$41/(1+'[1]数据-取费表'!C$42),0)</f>
        <v>0</v>
      </c>
      <c r="BK7" s="194">
        <f t="shared" si="19"/>
        <v>0</v>
      </c>
      <c r="BL7" s="194">
        <f t="shared" si="20"/>
        <v>0</v>
      </c>
      <c r="BM7" s="194">
        <f t="shared" si="36"/>
        <v>0</v>
      </c>
      <c r="BN7" s="203">
        <f t="shared" si="21"/>
        <v>0</v>
      </c>
      <c r="BO7" s="194"/>
      <c r="BP7" s="169">
        <f>BO5/(BR5+BR6+BR7)*BR7</f>
        <v>1493.9221915996193</v>
      </c>
      <c r="BQ7" s="170">
        <f t="shared" si="37"/>
        <v>13.8</v>
      </c>
      <c r="BR7" s="124">
        <v>108</v>
      </c>
    </row>
    <row r="8" spans="1:71" x14ac:dyDescent="0.2">
      <c r="A8" s="120">
        <v>4</v>
      </c>
      <c r="B8" s="77" t="s">
        <v>82</v>
      </c>
      <c r="C8" s="78" t="s">
        <v>77</v>
      </c>
      <c r="D8" s="120">
        <v>301</v>
      </c>
      <c r="E8" s="120">
        <v>343.47</v>
      </c>
      <c r="F8" s="120" t="s">
        <v>83</v>
      </c>
      <c r="G8" s="120" t="s">
        <v>75</v>
      </c>
      <c r="H8" s="121">
        <v>56009</v>
      </c>
      <c r="I8" s="121">
        <v>44987</v>
      </c>
      <c r="J8" s="120">
        <f>IF(F8="商业",[1]项目基本情况!D$15,[1]项目基本情况!E$15)</f>
        <v>30.19</v>
      </c>
      <c r="K8" s="120"/>
      <c r="L8" s="120">
        <v>343.47</v>
      </c>
      <c r="M8" s="120">
        <v>3</v>
      </c>
      <c r="N8" s="120" t="s">
        <v>10</v>
      </c>
      <c r="O8" s="120">
        <v>2008</v>
      </c>
      <c r="P8" s="78">
        <f t="shared" si="0"/>
        <v>64.2</v>
      </c>
      <c r="Q8" s="78">
        <f>ROUND(P8*'[1]数据-取费表'!B$52,0)</f>
        <v>1926</v>
      </c>
      <c r="R8" s="78">
        <f t="shared" ref="R8:R72" si="38">ROUND(L8*B$2,0)</f>
        <v>3892054</v>
      </c>
      <c r="S8" s="79">
        <f t="shared" si="22"/>
        <v>58381</v>
      </c>
      <c r="T8" s="8">
        <v>0.8</v>
      </c>
      <c r="U8" s="78">
        <f t="shared" ref="U8:U72" si="39">ROUND(R8*T8,0)</f>
        <v>3113643</v>
      </c>
      <c r="V8" s="79">
        <f t="shared" si="2"/>
        <v>3114</v>
      </c>
      <c r="W8" s="79">
        <f t="shared" si="23"/>
        <v>4774</v>
      </c>
      <c r="X8" s="78">
        <f>ROUND(AC8*'[1]数据-取费表'!$B$41/(1+'[1]数据-取费表'!$C$42),0)</f>
        <v>50728</v>
      </c>
      <c r="Y8" s="78">
        <f>ROUND(AC8*'[1]数据-取费表'!$B$51/(1+'[1]数据-取费表'!$C$42),0)</f>
        <v>108704</v>
      </c>
      <c r="Z8" s="78">
        <f t="shared" si="3"/>
        <v>161358</v>
      </c>
      <c r="AA8" s="79">
        <f t="shared" si="4"/>
        <v>227627</v>
      </c>
      <c r="AB8" s="80">
        <f t="shared" si="24"/>
        <v>8.43</v>
      </c>
      <c r="AC8" s="78">
        <f t="shared" ref="AC8:AC11" si="40">ROUND(AB8*365*L8*(1-I$2),0)</f>
        <v>951156</v>
      </c>
      <c r="AD8" s="78">
        <f t="shared" si="25"/>
        <v>3567</v>
      </c>
      <c r="AE8" s="78">
        <f t="shared" si="26"/>
        <v>954723</v>
      </c>
      <c r="AF8" s="81">
        <f t="shared" ref="AF8:AF11" si="41">H$2</f>
        <v>0.03</v>
      </c>
      <c r="AG8" s="81"/>
      <c r="AH8" s="121">
        <f t="shared" ref="AH8:AH11" si="42">H8</f>
        <v>56009</v>
      </c>
      <c r="AI8" s="120">
        <f t="shared" ref="AI8:AI72" si="43">ROUNDDOWN((AH8-I8)/365,2)</f>
        <v>30.19</v>
      </c>
      <c r="AJ8" s="79">
        <f t="shared" si="6"/>
        <v>727096</v>
      </c>
      <c r="AK8" s="82">
        <f t="shared" si="7"/>
        <v>14983947</v>
      </c>
      <c r="AL8" s="8">
        <f t="shared" si="8"/>
        <v>0.25</v>
      </c>
      <c r="AM8" s="78">
        <f t="shared" si="9"/>
        <v>0</v>
      </c>
      <c r="AN8" s="79">
        <f t="shared" si="10"/>
        <v>0</v>
      </c>
      <c r="AO8" s="79">
        <f t="shared" si="11"/>
        <v>0</v>
      </c>
      <c r="AP8" s="78">
        <f>ROUND(AV8*'[1]数据-取费表'!$B$41/(1+'[1]数据-取费表'!$B$42),0)</f>
        <v>0</v>
      </c>
      <c r="AQ8" s="78">
        <f>ROUND(AV8*'[1]数据-取费表'!B$51/(1+'[1]数据-取费表'!C$42),0)</f>
        <v>0</v>
      </c>
      <c r="AR8" s="83">
        <f t="shared" si="12"/>
        <v>0</v>
      </c>
      <c r="AS8" s="79">
        <f t="shared" si="27"/>
        <v>0</v>
      </c>
      <c r="AT8" s="84">
        <f>IF(N8="低区",K$2,IF(N8="中区",L$2,M$2))</f>
        <v>8.43</v>
      </c>
      <c r="AU8" s="85">
        <f t="shared" si="28"/>
        <v>20.58</v>
      </c>
      <c r="AV8" s="78">
        <f t="shared" si="29"/>
        <v>0</v>
      </c>
      <c r="AW8" s="78">
        <f t="shared" si="30"/>
        <v>0</v>
      </c>
      <c r="AX8" s="78">
        <f t="shared" si="13"/>
        <v>0</v>
      </c>
      <c r="AY8" s="120">
        <f t="shared" ref="AY8:AY72" si="44">J8-AI8</f>
        <v>0</v>
      </c>
      <c r="AZ8" s="7">
        <f t="shared" ref="AZ8:AZ72" si="45">AX8-AS8</f>
        <v>0</v>
      </c>
      <c r="BA8" s="7">
        <f t="shared" si="31"/>
        <v>0</v>
      </c>
      <c r="BB8" s="86">
        <f t="shared" si="16"/>
        <v>0</v>
      </c>
      <c r="BC8" s="86">
        <f>ROUND(Q$2*L8,0)</f>
        <v>232529</v>
      </c>
      <c r="BD8" s="86">
        <f>ROUND((AK8+BB8+BC8)/10000,2)</f>
        <v>1521.65</v>
      </c>
      <c r="BE8" s="7">
        <f t="shared" si="34"/>
        <v>0</v>
      </c>
      <c r="BF8" s="7">
        <f t="shared" si="35"/>
        <v>0</v>
      </c>
      <c r="BG8" s="7">
        <f t="shared" si="17"/>
        <v>0</v>
      </c>
      <c r="BH8" s="7">
        <f t="shared" si="18"/>
        <v>0</v>
      </c>
      <c r="BI8" s="7">
        <f>ROUND(BE8*'[1]数据-取费表'!$B$51/(1+'[1]数据-取费表'!$C$42),0)</f>
        <v>0</v>
      </c>
      <c r="BJ8" s="7">
        <f>ROUND(BG8*'[1]数据-取费表'!B$41/(1+'[1]数据-取费表'!C$42),0)</f>
        <v>0</v>
      </c>
      <c r="BK8" s="7">
        <f t="shared" si="19"/>
        <v>0</v>
      </c>
      <c r="BL8" s="7">
        <f t="shared" si="20"/>
        <v>0</v>
      </c>
      <c r="BM8" s="7">
        <f t="shared" si="36"/>
        <v>0</v>
      </c>
      <c r="BN8" s="164">
        <f t="shared" si="21"/>
        <v>0</v>
      </c>
      <c r="BO8" s="86">
        <f>BD8/$BD$234*$BS$3</f>
        <v>2113.7635639807636</v>
      </c>
      <c r="BP8" s="196">
        <f>SUM(BO8:BO14)</f>
        <v>8988.6592227892397</v>
      </c>
      <c r="BQ8" s="196">
        <f>ROUND(BP8*10000/BS8,0)</f>
        <v>57702</v>
      </c>
      <c r="BR8" s="124"/>
      <c r="BS8" s="20">
        <f>SUM(L8:L14)</f>
        <v>1557.78</v>
      </c>
    </row>
    <row r="9" spans="1:71" x14ac:dyDescent="0.2">
      <c r="A9" s="120">
        <v>5</v>
      </c>
      <c r="B9" s="77" t="s">
        <v>82</v>
      </c>
      <c r="C9" s="78" t="s">
        <v>77</v>
      </c>
      <c r="D9" s="120">
        <v>302</v>
      </c>
      <c r="E9" s="120">
        <v>207.99</v>
      </c>
      <c r="F9" s="120" t="s">
        <v>83</v>
      </c>
      <c r="G9" s="120" t="s">
        <v>75</v>
      </c>
      <c r="H9" s="121">
        <v>56009</v>
      </c>
      <c r="I9" s="121">
        <v>44987</v>
      </c>
      <c r="J9" s="120">
        <f>IF(F9="商业",[1]项目基本情况!D$15,[1]项目基本情况!E$15)</f>
        <v>30.19</v>
      </c>
      <c r="K9" s="120"/>
      <c r="L9" s="120">
        <v>207.99</v>
      </c>
      <c r="M9" s="120">
        <v>3</v>
      </c>
      <c r="N9" s="120" t="s">
        <v>10</v>
      </c>
      <c r="O9" s="120">
        <v>2008</v>
      </c>
      <c r="P9" s="78">
        <f t="shared" si="0"/>
        <v>38.880000000000003</v>
      </c>
      <c r="Q9" s="78">
        <f>ROUND(P9*'[1]数据-取费表'!B$52,0)</f>
        <v>1166</v>
      </c>
      <c r="R9" s="78">
        <f t="shared" si="38"/>
        <v>2356853</v>
      </c>
      <c r="S9" s="79">
        <f t="shared" si="22"/>
        <v>35353</v>
      </c>
      <c r="T9" s="8">
        <v>0.8</v>
      </c>
      <c r="U9" s="78">
        <f t="shared" si="39"/>
        <v>1885482</v>
      </c>
      <c r="V9" s="79">
        <f t="shared" si="2"/>
        <v>1885</v>
      </c>
      <c r="W9" s="79">
        <f t="shared" si="23"/>
        <v>2891</v>
      </c>
      <c r="X9" s="78">
        <f>ROUND(AC9*'[1]数据-取费表'!$B$41/(1+'[1]数据-取费表'!$C$42),0)</f>
        <v>30719</v>
      </c>
      <c r="Y9" s="78">
        <f>ROUND(AC9*'[1]数据-取费表'!$B$51/(1+'[1]数据-取费表'!$C$42),0)</f>
        <v>65826</v>
      </c>
      <c r="Z9" s="78">
        <f t="shared" si="3"/>
        <v>97711</v>
      </c>
      <c r="AA9" s="79">
        <f t="shared" si="4"/>
        <v>137840</v>
      </c>
      <c r="AB9" s="80">
        <f t="shared" si="24"/>
        <v>8.43</v>
      </c>
      <c r="AC9" s="78">
        <f t="shared" si="40"/>
        <v>575977</v>
      </c>
      <c r="AD9" s="78">
        <f t="shared" si="25"/>
        <v>2160</v>
      </c>
      <c r="AE9" s="78">
        <f t="shared" si="26"/>
        <v>578137</v>
      </c>
      <c r="AF9" s="81">
        <f t="shared" si="41"/>
        <v>0.03</v>
      </c>
      <c r="AG9" s="81"/>
      <c r="AH9" s="121">
        <f t="shared" si="42"/>
        <v>56009</v>
      </c>
      <c r="AI9" s="120">
        <f t="shared" si="43"/>
        <v>30.19</v>
      </c>
      <c r="AJ9" s="79">
        <f t="shared" si="6"/>
        <v>440297</v>
      </c>
      <c r="AK9" s="82">
        <f t="shared" si="7"/>
        <v>9073612</v>
      </c>
      <c r="AL9" s="8">
        <f t="shared" si="8"/>
        <v>0.25</v>
      </c>
      <c r="AM9" s="78">
        <f t="shared" si="9"/>
        <v>0</v>
      </c>
      <c r="AN9" s="79">
        <f t="shared" si="10"/>
        <v>0</v>
      </c>
      <c r="AO9" s="79">
        <f t="shared" si="11"/>
        <v>0</v>
      </c>
      <c r="AP9" s="78">
        <f>ROUND(AV9*'[1]数据-取费表'!$B$41/(1+'[1]数据-取费表'!$B$42),0)</f>
        <v>0</v>
      </c>
      <c r="AQ9" s="78">
        <f>ROUND(AV9*'[1]数据-取费表'!B$51/(1+'[1]数据-取费表'!C$42),0)</f>
        <v>0</v>
      </c>
      <c r="AR9" s="83">
        <f t="shared" si="12"/>
        <v>0</v>
      </c>
      <c r="AS9" s="79">
        <f t="shared" si="27"/>
        <v>0</v>
      </c>
      <c r="AT9" s="84">
        <f>IF(N9="低区",K$2,IF(N9="中区",L$2,M$2))</f>
        <v>8.43</v>
      </c>
      <c r="AU9" s="85">
        <f t="shared" si="28"/>
        <v>20.58</v>
      </c>
      <c r="AV9" s="78">
        <f t="shared" si="29"/>
        <v>0</v>
      </c>
      <c r="AW9" s="78">
        <f t="shared" si="30"/>
        <v>0</v>
      </c>
      <c r="AX9" s="78">
        <f t="shared" si="13"/>
        <v>0</v>
      </c>
      <c r="AY9" s="120">
        <f t="shared" si="44"/>
        <v>0</v>
      </c>
      <c r="AZ9" s="7">
        <f t="shared" si="45"/>
        <v>0</v>
      </c>
      <c r="BA9" s="7">
        <f t="shared" si="31"/>
        <v>0</v>
      </c>
      <c r="BB9" s="86">
        <f t="shared" si="16"/>
        <v>0</v>
      </c>
      <c r="BC9" s="86">
        <f t="shared" ref="BC9:BC73" si="46">ROUND(Q$2*L9,0)</f>
        <v>140809</v>
      </c>
      <c r="BD9" s="86">
        <f t="shared" si="33"/>
        <v>921.44</v>
      </c>
      <c r="BE9" s="7">
        <f t="shared" si="34"/>
        <v>0</v>
      </c>
      <c r="BF9" s="7">
        <f t="shared" si="35"/>
        <v>0</v>
      </c>
      <c r="BG9" s="7">
        <f t="shared" si="17"/>
        <v>0</v>
      </c>
      <c r="BH9" s="7">
        <f t="shared" si="18"/>
        <v>0</v>
      </c>
      <c r="BI9" s="7">
        <f>ROUND(BE9*'[1]数据-取费表'!$B$51/(1+'[1]数据-取费表'!$C$42),0)</f>
        <v>0</v>
      </c>
      <c r="BJ9" s="7">
        <f>ROUND(BG9*'[1]数据-取费表'!B$41/(1+'[1]数据-取费表'!C$42),0)</f>
        <v>0</v>
      </c>
      <c r="BK9" s="7">
        <f t="shared" si="19"/>
        <v>0</v>
      </c>
      <c r="BL9" s="7">
        <f t="shared" si="20"/>
        <v>0</v>
      </c>
      <c r="BM9" s="7">
        <f t="shared" si="36"/>
        <v>0</v>
      </c>
      <c r="BN9" s="164">
        <f t="shared" si="21"/>
        <v>0</v>
      </c>
      <c r="BO9" s="86">
        <f>BD9/$BD$234*$BS$3</f>
        <v>1279.9962530111623</v>
      </c>
      <c r="BP9" s="196"/>
      <c r="BQ9" s="196"/>
      <c r="BR9" s="124"/>
    </row>
    <row r="10" spans="1:71" x14ac:dyDescent="0.2">
      <c r="A10" s="120">
        <v>6</v>
      </c>
      <c r="B10" s="77" t="s">
        <v>82</v>
      </c>
      <c r="C10" s="78" t="s">
        <v>77</v>
      </c>
      <c r="D10" s="120">
        <v>303</v>
      </c>
      <c r="E10" s="120">
        <v>272.14999999999998</v>
      </c>
      <c r="F10" s="120" t="s">
        <v>83</v>
      </c>
      <c r="G10" s="120" t="s">
        <v>75</v>
      </c>
      <c r="H10" s="121">
        <v>56009</v>
      </c>
      <c r="I10" s="121">
        <v>44987</v>
      </c>
      <c r="J10" s="120">
        <f>IF(F10="商业",[1]项目基本情况!D$15,[1]项目基本情况!E$15)</f>
        <v>30.19</v>
      </c>
      <c r="K10" s="120"/>
      <c r="L10" s="120">
        <v>272.14999999999998</v>
      </c>
      <c r="M10" s="120">
        <v>3</v>
      </c>
      <c r="N10" s="120" t="s">
        <v>10</v>
      </c>
      <c r="O10" s="120">
        <v>2008</v>
      </c>
      <c r="P10" s="78">
        <f t="shared" si="0"/>
        <v>50.87</v>
      </c>
      <c r="Q10" s="78">
        <f>ROUND(P10*'[1]数据-取费表'!B$52,0)</f>
        <v>1526</v>
      </c>
      <c r="R10" s="78">
        <f t="shared" si="38"/>
        <v>3083887</v>
      </c>
      <c r="S10" s="79">
        <f t="shared" si="22"/>
        <v>46258</v>
      </c>
      <c r="T10" s="8">
        <v>0.8</v>
      </c>
      <c r="U10" s="78">
        <f t="shared" si="39"/>
        <v>2467110</v>
      </c>
      <c r="V10" s="79">
        <f t="shared" si="2"/>
        <v>2467</v>
      </c>
      <c r="W10" s="79">
        <f t="shared" si="23"/>
        <v>3782</v>
      </c>
      <c r="X10" s="78">
        <f>ROUND(AC10*'[1]数据-取费表'!$B$41/(1+'[1]数据-取费表'!$C$42),0)</f>
        <v>40195</v>
      </c>
      <c r="Y10" s="78">
        <f>ROUND(AC10*'[1]数据-取费表'!$B$51/(1+'[1]数据-取费表'!$C$42),0)</f>
        <v>86132</v>
      </c>
      <c r="Z10" s="78">
        <f t="shared" si="3"/>
        <v>127853</v>
      </c>
      <c r="AA10" s="79">
        <f t="shared" si="4"/>
        <v>180360</v>
      </c>
      <c r="AB10" s="80">
        <f t="shared" si="24"/>
        <v>8.43</v>
      </c>
      <c r="AC10" s="78">
        <f t="shared" si="40"/>
        <v>753653</v>
      </c>
      <c r="AD10" s="78">
        <f t="shared" si="25"/>
        <v>2826</v>
      </c>
      <c r="AE10" s="78">
        <f t="shared" si="26"/>
        <v>756479</v>
      </c>
      <c r="AF10" s="81">
        <f t="shared" si="41"/>
        <v>0.03</v>
      </c>
      <c r="AG10" s="81"/>
      <c r="AH10" s="121">
        <f t="shared" si="42"/>
        <v>56009</v>
      </c>
      <c r="AI10" s="120">
        <f t="shared" si="43"/>
        <v>30.19</v>
      </c>
      <c r="AJ10" s="79">
        <f t="shared" si="6"/>
        <v>576119</v>
      </c>
      <c r="AK10" s="82">
        <f t="shared" si="7"/>
        <v>11872623</v>
      </c>
      <c r="AL10" s="8">
        <f t="shared" si="8"/>
        <v>0.25</v>
      </c>
      <c r="AM10" s="78">
        <f t="shared" si="9"/>
        <v>0</v>
      </c>
      <c r="AN10" s="79">
        <f t="shared" si="10"/>
        <v>0</v>
      </c>
      <c r="AO10" s="79">
        <f t="shared" si="11"/>
        <v>0</v>
      </c>
      <c r="AP10" s="78">
        <f>ROUND(AV10*'[1]数据-取费表'!$B$41/(1+'[1]数据-取费表'!$B$42),0)</f>
        <v>0</v>
      </c>
      <c r="AQ10" s="78">
        <f>ROUND(AV10*'[1]数据-取费表'!B$51/(1+'[1]数据-取费表'!C$42),0)</f>
        <v>0</v>
      </c>
      <c r="AR10" s="83">
        <f t="shared" si="12"/>
        <v>0</v>
      </c>
      <c r="AS10" s="79">
        <f t="shared" si="27"/>
        <v>0</v>
      </c>
      <c r="AT10" s="84">
        <f t="shared" ref="AT10:AT74" si="47">IF(N10="低区",K$2,IF(N10="中区",L$2,M$2))</f>
        <v>8.43</v>
      </c>
      <c r="AU10" s="85">
        <f t="shared" si="28"/>
        <v>20.58</v>
      </c>
      <c r="AV10" s="78">
        <f t="shared" si="29"/>
        <v>0</v>
      </c>
      <c r="AW10" s="78">
        <f t="shared" si="30"/>
        <v>0</v>
      </c>
      <c r="AX10" s="78">
        <f t="shared" si="13"/>
        <v>0</v>
      </c>
      <c r="AY10" s="120">
        <f t="shared" si="44"/>
        <v>0</v>
      </c>
      <c r="AZ10" s="7">
        <f t="shared" si="45"/>
        <v>0</v>
      </c>
      <c r="BA10" s="7">
        <f t="shared" si="31"/>
        <v>0</v>
      </c>
      <c r="BB10" s="86">
        <f t="shared" si="16"/>
        <v>0</v>
      </c>
      <c r="BC10" s="86">
        <f t="shared" si="46"/>
        <v>184246</v>
      </c>
      <c r="BD10" s="86">
        <f t="shared" si="33"/>
        <v>1205.69</v>
      </c>
      <c r="BE10" s="7">
        <f t="shared" si="34"/>
        <v>0</v>
      </c>
      <c r="BF10" s="7">
        <f t="shared" si="35"/>
        <v>0</v>
      </c>
      <c r="BG10" s="7">
        <f t="shared" si="17"/>
        <v>0</v>
      </c>
      <c r="BH10" s="7">
        <f t="shared" si="18"/>
        <v>0</v>
      </c>
      <c r="BI10" s="7">
        <f>ROUND(BE10*'[1]数据-取费表'!$B$51/(1+'[1]数据-取费表'!$C$42),0)</f>
        <v>0</v>
      </c>
      <c r="BJ10" s="7">
        <f>ROUND(BG10*'[1]数据-取费表'!B$41/(1+'[1]数据-取费表'!C$42),0)</f>
        <v>0</v>
      </c>
      <c r="BK10" s="7">
        <f t="shared" si="19"/>
        <v>0</v>
      </c>
      <c r="BL10" s="7">
        <f t="shared" si="20"/>
        <v>0</v>
      </c>
      <c r="BM10" s="7">
        <f t="shared" si="36"/>
        <v>0</v>
      </c>
      <c r="BN10" s="164">
        <f t="shared" si="21"/>
        <v>0</v>
      </c>
      <c r="BO10" s="86">
        <f>BD10/$BD$234*$BS$3</f>
        <v>1674.8553159109958</v>
      </c>
      <c r="BP10" s="196"/>
      <c r="BQ10" s="196"/>
      <c r="BR10" s="124"/>
    </row>
    <row r="11" spans="1:71" x14ac:dyDescent="0.2">
      <c r="A11" s="120">
        <v>7</v>
      </c>
      <c r="B11" s="77" t="s">
        <v>82</v>
      </c>
      <c r="C11" s="78" t="s">
        <v>77</v>
      </c>
      <c r="D11" s="120">
        <v>306</v>
      </c>
      <c r="E11" s="120">
        <v>39.54</v>
      </c>
      <c r="F11" s="120" t="s">
        <v>83</v>
      </c>
      <c r="G11" s="120" t="s">
        <v>75</v>
      </c>
      <c r="H11" s="121">
        <v>56009</v>
      </c>
      <c r="I11" s="121">
        <v>44987</v>
      </c>
      <c r="J11" s="120">
        <f>IF(F11="商业",[1]项目基本情况!D$15,[1]项目基本情况!E$15)</f>
        <v>30.19</v>
      </c>
      <c r="K11" s="120"/>
      <c r="L11" s="120">
        <v>39.54</v>
      </c>
      <c r="M11" s="120">
        <v>3</v>
      </c>
      <c r="N11" s="120" t="s">
        <v>10</v>
      </c>
      <c r="O11" s="120">
        <v>2008</v>
      </c>
      <c r="P11" s="78">
        <f t="shared" si="0"/>
        <v>7.39</v>
      </c>
      <c r="Q11" s="78">
        <f>ROUND(P11*'[1]数据-取费表'!B$52,0)</f>
        <v>222</v>
      </c>
      <c r="R11" s="78">
        <f t="shared" si="38"/>
        <v>448050</v>
      </c>
      <c r="S11" s="79">
        <f t="shared" si="22"/>
        <v>6721</v>
      </c>
      <c r="T11" s="8">
        <v>0.8</v>
      </c>
      <c r="U11" s="78">
        <f t="shared" si="39"/>
        <v>358440</v>
      </c>
      <c r="V11" s="79">
        <f t="shared" si="2"/>
        <v>358</v>
      </c>
      <c r="W11" s="79">
        <f t="shared" si="23"/>
        <v>550</v>
      </c>
      <c r="X11" s="78">
        <f>ROUND(AC11*'[1]数据-取费表'!$B$41/(1+'[1]数据-取费表'!$C$42),0)</f>
        <v>5840</v>
      </c>
      <c r="Y11" s="78">
        <f>ROUND(AC11*'[1]数据-取费表'!$B$51/(1+'[1]数据-取费表'!$C$42),0)</f>
        <v>12514</v>
      </c>
      <c r="Z11" s="78">
        <f t="shared" si="3"/>
        <v>18576</v>
      </c>
      <c r="AA11" s="79">
        <f t="shared" si="4"/>
        <v>26205</v>
      </c>
      <c r="AB11" s="80">
        <f t="shared" si="24"/>
        <v>8.43</v>
      </c>
      <c r="AC11" s="78">
        <f t="shared" si="40"/>
        <v>109496</v>
      </c>
      <c r="AD11" s="78">
        <f t="shared" si="25"/>
        <v>411</v>
      </c>
      <c r="AE11" s="78">
        <f t="shared" si="26"/>
        <v>109907</v>
      </c>
      <c r="AF11" s="81">
        <f t="shared" si="41"/>
        <v>0.03</v>
      </c>
      <c r="AG11" s="81"/>
      <c r="AH11" s="121">
        <f t="shared" si="42"/>
        <v>56009</v>
      </c>
      <c r="AI11" s="120">
        <f t="shared" si="43"/>
        <v>30.19</v>
      </c>
      <c r="AJ11" s="79">
        <f t="shared" si="6"/>
        <v>83702</v>
      </c>
      <c r="AK11" s="82">
        <f t="shared" si="7"/>
        <v>1724925</v>
      </c>
      <c r="AL11" s="8">
        <f t="shared" si="8"/>
        <v>0.25</v>
      </c>
      <c r="AM11" s="78">
        <f t="shared" si="9"/>
        <v>0</v>
      </c>
      <c r="AN11" s="79">
        <f t="shared" si="10"/>
        <v>0</v>
      </c>
      <c r="AO11" s="79">
        <f t="shared" si="11"/>
        <v>0</v>
      </c>
      <c r="AP11" s="78">
        <f>ROUND(AV11*'[1]数据-取费表'!$B$41/(1+'[1]数据-取费表'!$B$42),0)</f>
        <v>0</v>
      </c>
      <c r="AQ11" s="78">
        <f>ROUND(AV11*'[1]数据-取费表'!B$51/(1+'[1]数据-取费表'!C$42),0)</f>
        <v>0</v>
      </c>
      <c r="AR11" s="83">
        <f t="shared" si="12"/>
        <v>0</v>
      </c>
      <c r="AS11" s="79">
        <f t="shared" si="27"/>
        <v>0</v>
      </c>
      <c r="AT11" s="84">
        <f t="shared" si="47"/>
        <v>8.43</v>
      </c>
      <c r="AU11" s="85">
        <f t="shared" si="28"/>
        <v>20.58</v>
      </c>
      <c r="AV11" s="78">
        <f t="shared" si="29"/>
        <v>0</v>
      </c>
      <c r="AW11" s="78">
        <f t="shared" si="30"/>
        <v>0</v>
      </c>
      <c r="AX11" s="78">
        <f t="shared" si="13"/>
        <v>0</v>
      </c>
      <c r="AY11" s="120">
        <f t="shared" si="44"/>
        <v>0</v>
      </c>
      <c r="AZ11" s="7">
        <f t="shared" si="45"/>
        <v>0</v>
      </c>
      <c r="BA11" s="7">
        <f t="shared" si="31"/>
        <v>0</v>
      </c>
      <c r="BB11" s="86">
        <f t="shared" si="16"/>
        <v>0</v>
      </c>
      <c r="BC11" s="86">
        <f t="shared" si="46"/>
        <v>26769</v>
      </c>
      <c r="BD11" s="86">
        <f t="shared" si="33"/>
        <v>175.17</v>
      </c>
      <c r="BE11" s="7">
        <f t="shared" si="34"/>
        <v>0</v>
      </c>
      <c r="BF11" s="7">
        <f t="shared" si="35"/>
        <v>0</v>
      </c>
      <c r="BG11" s="7">
        <f t="shared" si="17"/>
        <v>0</v>
      </c>
      <c r="BH11" s="7">
        <f t="shared" si="18"/>
        <v>0</v>
      </c>
      <c r="BI11" s="7">
        <f>ROUND(BE11*'[1]数据-取费表'!$B$51/(1+'[1]数据-取费表'!$C$42),0)</f>
        <v>0</v>
      </c>
      <c r="BJ11" s="7">
        <f>ROUND(BG11*'[1]数据-取费表'!B$41/(1+'[1]数据-取费表'!C$42),0)</f>
        <v>0</v>
      </c>
      <c r="BK11" s="7">
        <f t="shared" si="19"/>
        <v>0</v>
      </c>
      <c r="BL11" s="7">
        <f t="shared" si="20"/>
        <v>0</v>
      </c>
      <c r="BM11" s="7">
        <f t="shared" si="36"/>
        <v>0</v>
      </c>
      <c r="BN11" s="164">
        <f t="shared" si="21"/>
        <v>0</v>
      </c>
      <c r="BO11" s="86">
        <f>BD11/$BD$234*$BS$3</f>
        <v>243.33319981763896</v>
      </c>
      <c r="BP11" s="196"/>
      <c r="BQ11" s="196"/>
      <c r="BR11" s="124"/>
    </row>
    <row r="12" spans="1:71" x14ac:dyDescent="0.2">
      <c r="A12" s="120">
        <v>8</v>
      </c>
      <c r="B12" s="77" t="s">
        <v>82</v>
      </c>
      <c r="C12" s="78" t="s">
        <v>77</v>
      </c>
      <c r="D12" s="120">
        <v>307</v>
      </c>
      <c r="E12" s="120">
        <v>39.44</v>
      </c>
      <c r="F12" s="120" t="s">
        <v>83</v>
      </c>
      <c r="G12" s="120" t="s">
        <v>75</v>
      </c>
      <c r="H12" s="121">
        <v>56009</v>
      </c>
      <c r="I12" s="121">
        <v>44987</v>
      </c>
      <c r="J12" s="120">
        <f>IF(F12="商业",[1]项目基本情况!D$15,[1]项目基本情况!E$15)</f>
        <v>30.19</v>
      </c>
      <c r="K12" s="120" t="s">
        <v>84</v>
      </c>
      <c r="L12" s="210">
        <f>SUM(E12:E14)</f>
        <v>694.63</v>
      </c>
      <c r="M12" s="120">
        <v>3</v>
      </c>
      <c r="N12" s="120" t="s">
        <v>10</v>
      </c>
      <c r="O12" s="120">
        <v>2008</v>
      </c>
      <c r="P12" s="210">
        <f t="shared" si="0"/>
        <v>129.84</v>
      </c>
      <c r="Q12" s="210">
        <f>ROUND(P12*'[1]数据-取费表'!B$52,0)</f>
        <v>3895</v>
      </c>
      <c r="R12" s="210">
        <f t="shared" si="38"/>
        <v>7871248</v>
      </c>
      <c r="S12" s="210">
        <f t="shared" si="22"/>
        <v>118069</v>
      </c>
      <c r="T12" s="213">
        <v>0.8</v>
      </c>
      <c r="U12" s="210">
        <f t="shared" si="39"/>
        <v>6296998</v>
      </c>
      <c r="V12" s="210">
        <f t="shared" si="2"/>
        <v>6297</v>
      </c>
      <c r="W12" s="210">
        <f t="shared" si="23"/>
        <v>5872</v>
      </c>
      <c r="X12" s="210">
        <f>ROUND(AC12*'[1]数据-取费表'!$B$41/(1+'[1]数据-取费表'!$C$42),0)</f>
        <v>62403</v>
      </c>
      <c r="Y12" s="210">
        <f>ROUND(AC12*'[1]数据-取费表'!$B$51/(1+'[1]数据-取费表'!$C$42),0)</f>
        <v>133721</v>
      </c>
      <c r="Z12" s="210">
        <f t="shared" si="3"/>
        <v>200019</v>
      </c>
      <c r="AA12" s="210">
        <f t="shared" si="4"/>
        <v>330257</v>
      </c>
      <c r="AB12" s="211">
        <f>ROUND(AC12/365/L12,2)</f>
        <v>4.6100000000000003</v>
      </c>
      <c r="AC12" s="210">
        <v>1170060</v>
      </c>
      <c r="AD12" s="210">
        <f t="shared" si="25"/>
        <v>4388</v>
      </c>
      <c r="AE12" s="210">
        <f t="shared" si="26"/>
        <v>1174448</v>
      </c>
      <c r="AF12" s="212">
        <v>7.1000000000000004E-3</v>
      </c>
      <c r="AG12" s="122">
        <v>0</v>
      </c>
      <c r="AH12" s="217">
        <v>47848</v>
      </c>
      <c r="AI12" s="210">
        <f t="shared" si="43"/>
        <v>7.83</v>
      </c>
      <c r="AJ12" s="206">
        <f t="shared" si="6"/>
        <v>844191</v>
      </c>
      <c r="AK12" s="207">
        <f t="shared" si="7"/>
        <v>5375135</v>
      </c>
      <c r="AL12" s="208">
        <f t="shared" si="8"/>
        <v>0.63</v>
      </c>
      <c r="AM12" s="209">
        <f t="shared" si="9"/>
        <v>4958886</v>
      </c>
      <c r="AN12" s="206">
        <f t="shared" si="10"/>
        <v>4959</v>
      </c>
      <c r="AO12" s="206">
        <f t="shared" si="11"/>
        <v>12174</v>
      </c>
      <c r="AP12" s="209">
        <f>ROUND(AV12*'[1]数据-取费表'!$B$41/(1+'[1]数据-取费表'!$B$42),0)</f>
        <v>129366</v>
      </c>
      <c r="AQ12" s="209">
        <f>ROUND(AV12*'[1]数据-取费表'!B$51/(1+'[1]数据-取费表'!C$42),0)</f>
        <v>277213</v>
      </c>
      <c r="AR12" s="216">
        <f t="shared" si="12"/>
        <v>410474</v>
      </c>
      <c r="AS12" s="206">
        <f t="shared" si="27"/>
        <v>545676</v>
      </c>
      <c r="AT12" s="214">
        <f t="shared" si="47"/>
        <v>8.43</v>
      </c>
      <c r="AU12" s="215">
        <f t="shared" si="28"/>
        <v>10.63</v>
      </c>
      <c r="AV12" s="209">
        <f t="shared" si="29"/>
        <v>2425617</v>
      </c>
      <c r="AW12" s="209">
        <f t="shared" si="30"/>
        <v>9096</v>
      </c>
      <c r="AX12" s="209">
        <f t="shared" si="13"/>
        <v>2434713</v>
      </c>
      <c r="AY12" s="210">
        <f t="shared" si="44"/>
        <v>22.36</v>
      </c>
      <c r="AZ12" s="204">
        <f t="shared" si="45"/>
        <v>1889037</v>
      </c>
      <c r="BA12" s="204">
        <f t="shared" si="31"/>
        <v>31362138</v>
      </c>
      <c r="BB12" s="196">
        <f t="shared" si="16"/>
        <v>20622386</v>
      </c>
      <c r="BC12" s="196">
        <f t="shared" si="46"/>
        <v>470265</v>
      </c>
      <c r="BD12" s="196">
        <f t="shared" si="33"/>
        <v>2646.78</v>
      </c>
      <c r="BE12" s="204">
        <f t="shared" si="34"/>
        <v>1923608</v>
      </c>
      <c r="BF12" s="204">
        <f t="shared" si="35"/>
        <v>7214</v>
      </c>
      <c r="BG12" s="204">
        <f t="shared" si="17"/>
        <v>1930822</v>
      </c>
      <c r="BH12" s="204">
        <f t="shared" si="18"/>
        <v>9654</v>
      </c>
      <c r="BI12" s="204">
        <f>ROUND(BE12*'[1]数据-取费表'!$B$51/(1+'[1]数据-取费表'!$C$42),0)</f>
        <v>219841</v>
      </c>
      <c r="BJ12" s="204">
        <f>ROUND(BG12*'[1]数据-取费表'!B$41/(1+'[1]数据-取费表'!C$42),0)</f>
        <v>102977</v>
      </c>
      <c r="BK12" s="204">
        <f t="shared" si="19"/>
        <v>460733</v>
      </c>
      <c r="BL12" s="204">
        <f t="shared" si="20"/>
        <v>1470089</v>
      </c>
      <c r="BM12" s="204">
        <f t="shared" si="36"/>
        <v>10067285</v>
      </c>
      <c r="BN12" s="205">
        <f t="shared" si="21"/>
        <v>4692150</v>
      </c>
      <c r="BO12" s="196">
        <f>BD12/$BD$234*$BS$3</f>
        <v>3676.710890068679</v>
      </c>
      <c r="BP12" s="196"/>
      <c r="BQ12" s="196"/>
      <c r="BR12" s="124"/>
    </row>
    <row r="13" spans="1:71" x14ac:dyDescent="0.2">
      <c r="A13" s="120">
        <v>9</v>
      </c>
      <c r="B13" s="77" t="s">
        <v>82</v>
      </c>
      <c r="C13" s="78" t="s">
        <v>77</v>
      </c>
      <c r="D13" s="120">
        <v>309</v>
      </c>
      <c r="E13" s="120">
        <v>272.14</v>
      </c>
      <c r="F13" s="120" t="s">
        <v>83</v>
      </c>
      <c r="G13" s="120" t="s">
        <v>75</v>
      </c>
      <c r="H13" s="121">
        <v>56009</v>
      </c>
      <c r="I13" s="121">
        <v>44987</v>
      </c>
      <c r="J13" s="120">
        <f>IF(F13="商业",[1]项目基本情况!D$15,[1]项目基本情况!E$15)</f>
        <v>30.19</v>
      </c>
      <c r="K13" s="120" t="s">
        <v>84</v>
      </c>
      <c r="L13" s="210"/>
      <c r="M13" s="120">
        <v>3</v>
      </c>
      <c r="N13" s="120" t="s">
        <v>10</v>
      </c>
      <c r="O13" s="120">
        <v>2008</v>
      </c>
      <c r="P13" s="210">
        <f t="shared" si="0"/>
        <v>0</v>
      </c>
      <c r="Q13" s="210">
        <f>ROUND(P13*'[1]数据-取费表'!B$52,0)</f>
        <v>0</v>
      </c>
      <c r="R13" s="210">
        <f t="shared" si="38"/>
        <v>0</v>
      </c>
      <c r="S13" s="210">
        <f t="shared" si="22"/>
        <v>0</v>
      </c>
      <c r="T13" s="213">
        <v>0.8</v>
      </c>
      <c r="U13" s="210">
        <f t="shared" si="39"/>
        <v>0</v>
      </c>
      <c r="V13" s="210">
        <f t="shared" si="2"/>
        <v>0</v>
      </c>
      <c r="W13" s="210">
        <f t="shared" si="23"/>
        <v>0</v>
      </c>
      <c r="X13" s="210">
        <f>ROUND(AC13*'[1]数据-取费表'!$B$41/(1+'[1]数据-取费表'!$C$42),0)</f>
        <v>0</v>
      </c>
      <c r="Y13" s="210">
        <f>ROUND(AC13*'[1]数据-取费表'!$B$51/(1+'[1]数据-取费表'!$C$42),0)</f>
        <v>0</v>
      </c>
      <c r="Z13" s="210">
        <f t="shared" si="3"/>
        <v>0</v>
      </c>
      <c r="AA13" s="210">
        <f t="shared" si="4"/>
        <v>0</v>
      </c>
      <c r="AB13" s="211">
        <f t="shared" si="24"/>
        <v>8.43</v>
      </c>
      <c r="AC13" s="210"/>
      <c r="AD13" s="210">
        <f t="shared" si="25"/>
        <v>0</v>
      </c>
      <c r="AE13" s="210">
        <f t="shared" si="26"/>
        <v>0</v>
      </c>
      <c r="AF13" s="212">
        <f>H$2</f>
        <v>0.03</v>
      </c>
      <c r="AG13" s="81"/>
      <c r="AH13" s="217"/>
      <c r="AI13" s="210">
        <f t="shared" si="43"/>
        <v>-123.25</v>
      </c>
      <c r="AJ13" s="206"/>
      <c r="AK13" s="207"/>
      <c r="AL13" s="208"/>
      <c r="AM13" s="209"/>
      <c r="AN13" s="206"/>
      <c r="AO13" s="206"/>
      <c r="AP13" s="209"/>
      <c r="AQ13" s="209"/>
      <c r="AR13" s="216"/>
      <c r="AS13" s="206"/>
      <c r="AT13" s="214">
        <f t="shared" si="47"/>
        <v>8.43</v>
      </c>
      <c r="AU13" s="215"/>
      <c r="AV13" s="209"/>
      <c r="AW13" s="209"/>
      <c r="AX13" s="209"/>
      <c r="AY13" s="210">
        <f t="shared" si="44"/>
        <v>153.44</v>
      </c>
      <c r="AZ13" s="204"/>
      <c r="BA13" s="204"/>
      <c r="BB13" s="196"/>
      <c r="BC13" s="196">
        <f t="shared" si="46"/>
        <v>0</v>
      </c>
      <c r="BD13" s="196">
        <f t="shared" si="33"/>
        <v>0</v>
      </c>
      <c r="BE13" s="204">
        <f t="shared" si="34"/>
        <v>0</v>
      </c>
      <c r="BF13" s="204"/>
      <c r="BG13" s="204"/>
      <c r="BH13" s="204"/>
      <c r="BI13" s="204"/>
      <c r="BJ13" s="204">
        <f>ROUND(BG13*'[1]数据-取费表'!B$41/(1+'[1]数据-取费表'!C$42),0)</f>
        <v>0</v>
      </c>
      <c r="BK13" s="204">
        <f t="shared" si="19"/>
        <v>0</v>
      </c>
      <c r="BL13" s="204">
        <f t="shared" si="20"/>
        <v>0</v>
      </c>
      <c r="BM13" s="204"/>
      <c r="BN13" s="205">
        <f t="shared" si="21"/>
        <v>0</v>
      </c>
      <c r="BO13" s="196"/>
      <c r="BP13" s="196"/>
      <c r="BQ13" s="196"/>
      <c r="BR13" s="124"/>
    </row>
    <row r="14" spans="1:71" x14ac:dyDescent="0.2">
      <c r="A14" s="120">
        <v>10</v>
      </c>
      <c r="B14" s="77" t="s">
        <v>82</v>
      </c>
      <c r="C14" s="78" t="s">
        <v>77</v>
      </c>
      <c r="D14" s="120">
        <v>310</v>
      </c>
      <c r="E14" s="120">
        <v>383.05</v>
      </c>
      <c r="F14" s="120" t="s">
        <v>83</v>
      </c>
      <c r="G14" s="120" t="s">
        <v>75</v>
      </c>
      <c r="H14" s="121">
        <v>56009</v>
      </c>
      <c r="I14" s="121">
        <v>44987</v>
      </c>
      <c r="J14" s="120">
        <f>IF(F14="商业",[1]项目基本情况!D$15,[1]项目基本情况!E$15)</f>
        <v>30.19</v>
      </c>
      <c r="K14" s="120" t="s">
        <v>84</v>
      </c>
      <c r="L14" s="210"/>
      <c r="M14" s="120">
        <v>3</v>
      </c>
      <c r="N14" s="120" t="s">
        <v>10</v>
      </c>
      <c r="O14" s="120">
        <v>2008</v>
      </c>
      <c r="P14" s="210">
        <f t="shared" si="0"/>
        <v>0</v>
      </c>
      <c r="Q14" s="210">
        <f>ROUND(P14*'[1]数据-取费表'!B$52,0)</f>
        <v>0</v>
      </c>
      <c r="R14" s="210">
        <f t="shared" si="38"/>
        <v>0</v>
      </c>
      <c r="S14" s="210">
        <f t="shared" si="22"/>
        <v>0</v>
      </c>
      <c r="T14" s="213">
        <v>0.8</v>
      </c>
      <c r="U14" s="210">
        <f t="shared" si="39"/>
        <v>0</v>
      </c>
      <c r="V14" s="210">
        <f t="shared" si="2"/>
        <v>0</v>
      </c>
      <c r="W14" s="210">
        <f t="shared" si="23"/>
        <v>0</v>
      </c>
      <c r="X14" s="210">
        <f>ROUND(AC14*'[1]数据-取费表'!$B$41/(1+'[1]数据-取费表'!$C$42),0)</f>
        <v>0</v>
      </c>
      <c r="Y14" s="210">
        <f>ROUND(AC14*'[1]数据-取费表'!$B$51/(1+'[1]数据-取费表'!$C$42),0)</f>
        <v>0</v>
      </c>
      <c r="Z14" s="210">
        <f t="shared" si="3"/>
        <v>0</v>
      </c>
      <c r="AA14" s="210">
        <f t="shared" si="4"/>
        <v>0</v>
      </c>
      <c r="AB14" s="211">
        <f t="shared" si="24"/>
        <v>8.43</v>
      </c>
      <c r="AC14" s="210"/>
      <c r="AD14" s="210">
        <f t="shared" si="25"/>
        <v>0</v>
      </c>
      <c r="AE14" s="210">
        <f t="shared" si="26"/>
        <v>0</v>
      </c>
      <c r="AF14" s="212">
        <f>H$2</f>
        <v>0.03</v>
      </c>
      <c r="AG14" s="81"/>
      <c r="AH14" s="217"/>
      <c r="AI14" s="210">
        <f t="shared" si="43"/>
        <v>-123.25</v>
      </c>
      <c r="AJ14" s="206"/>
      <c r="AK14" s="207"/>
      <c r="AL14" s="208"/>
      <c r="AM14" s="209"/>
      <c r="AN14" s="206"/>
      <c r="AO14" s="206"/>
      <c r="AP14" s="209"/>
      <c r="AQ14" s="209"/>
      <c r="AR14" s="216"/>
      <c r="AS14" s="206"/>
      <c r="AT14" s="214">
        <f t="shared" si="47"/>
        <v>8.43</v>
      </c>
      <c r="AU14" s="215"/>
      <c r="AV14" s="209"/>
      <c r="AW14" s="209"/>
      <c r="AX14" s="209"/>
      <c r="AY14" s="210">
        <f t="shared" si="44"/>
        <v>153.44</v>
      </c>
      <c r="AZ14" s="204"/>
      <c r="BA14" s="204"/>
      <c r="BB14" s="196"/>
      <c r="BC14" s="196">
        <f t="shared" si="46"/>
        <v>0</v>
      </c>
      <c r="BD14" s="196">
        <f t="shared" si="33"/>
        <v>0</v>
      </c>
      <c r="BE14" s="204">
        <f t="shared" si="34"/>
        <v>0</v>
      </c>
      <c r="BF14" s="204"/>
      <c r="BG14" s="204"/>
      <c r="BH14" s="204"/>
      <c r="BI14" s="204"/>
      <c r="BJ14" s="204">
        <f>ROUND(BG14*'[1]数据-取费表'!B$41/(1+'[1]数据-取费表'!C$42),0)</f>
        <v>0</v>
      </c>
      <c r="BK14" s="204">
        <f t="shared" si="19"/>
        <v>0</v>
      </c>
      <c r="BL14" s="204">
        <f t="shared" si="20"/>
        <v>0</v>
      </c>
      <c r="BM14" s="204"/>
      <c r="BN14" s="205">
        <f t="shared" si="21"/>
        <v>0</v>
      </c>
      <c r="BO14" s="196"/>
      <c r="BP14" s="196"/>
      <c r="BQ14" s="196"/>
      <c r="BR14" s="124"/>
    </row>
    <row r="15" spans="1:71" x14ac:dyDescent="0.2">
      <c r="A15" s="127">
        <v>11</v>
      </c>
      <c r="B15" s="125" t="s">
        <v>82</v>
      </c>
      <c r="C15" s="129" t="s">
        <v>77</v>
      </c>
      <c r="D15" s="127">
        <v>501</v>
      </c>
      <c r="E15" s="127">
        <v>1211.45</v>
      </c>
      <c r="F15" s="127" t="s">
        <v>83</v>
      </c>
      <c r="G15" s="120" t="s">
        <v>75</v>
      </c>
      <c r="H15" s="121">
        <v>56009</v>
      </c>
      <c r="I15" s="121">
        <v>44987</v>
      </c>
      <c r="J15" s="120">
        <f>IF(F15="商业",[1]项目基本情况!D$15,[1]项目基本情况!E$15)</f>
        <v>30.19</v>
      </c>
      <c r="K15" s="120" t="s">
        <v>84</v>
      </c>
      <c r="L15" s="210">
        <f>SUM(E15:E16)</f>
        <v>1800.23</v>
      </c>
      <c r="M15" s="127">
        <v>4</v>
      </c>
      <c r="N15" s="127" t="s">
        <v>10</v>
      </c>
      <c r="O15" s="120">
        <v>2008</v>
      </c>
      <c r="P15" s="209">
        <f t="shared" si="0"/>
        <v>336.49</v>
      </c>
      <c r="Q15" s="209">
        <f>ROUND(P15*'[1]数据-取费表'!B$52,0)</f>
        <v>10095</v>
      </c>
      <c r="R15" s="209">
        <f t="shared" si="38"/>
        <v>20399432</v>
      </c>
      <c r="S15" s="206">
        <f t="shared" si="22"/>
        <v>305991</v>
      </c>
      <c r="T15" s="208">
        <v>0.8</v>
      </c>
      <c r="U15" s="209">
        <f t="shared" si="39"/>
        <v>16319546</v>
      </c>
      <c r="V15" s="206">
        <f t="shared" si="2"/>
        <v>16320</v>
      </c>
      <c r="W15" s="206">
        <f t="shared" si="23"/>
        <v>24465</v>
      </c>
      <c r="X15" s="209">
        <f>ROUND(AC15*'[1]数据-取费表'!$B$41/(1+'[1]数据-取费表'!$C$42),0)</f>
        <v>259989</v>
      </c>
      <c r="Y15" s="209">
        <f>ROUND(AC15*'[1]数据-取费表'!$B$51/(1+'[1]数据-取费表'!$C$42),0)</f>
        <v>557119</v>
      </c>
      <c r="Z15" s="209">
        <f t="shared" si="3"/>
        <v>827203</v>
      </c>
      <c r="AA15" s="209">
        <f t="shared" si="4"/>
        <v>1173979</v>
      </c>
      <c r="AB15" s="221">
        <f>ROUND(AC15/365/L15,2)</f>
        <v>7.42</v>
      </c>
      <c r="AC15" s="210">
        <v>4874793</v>
      </c>
      <c r="AD15" s="209">
        <f t="shared" si="25"/>
        <v>18280</v>
      </c>
      <c r="AE15" s="209">
        <f t="shared" si="26"/>
        <v>4893073</v>
      </c>
      <c r="AF15" s="222">
        <v>5.1700000000000003E-2</v>
      </c>
      <c r="AG15" s="122">
        <v>0</v>
      </c>
      <c r="AH15" s="217">
        <v>46630</v>
      </c>
      <c r="AI15" s="210">
        <f t="shared" si="43"/>
        <v>4.5</v>
      </c>
      <c r="AJ15" s="206">
        <f t="shared" si="6"/>
        <v>3719094</v>
      </c>
      <c r="AK15" s="207">
        <f t="shared" si="7"/>
        <v>15776825</v>
      </c>
      <c r="AL15" s="208">
        <f t="shared" si="8"/>
        <v>0.68</v>
      </c>
      <c r="AM15" s="209">
        <f t="shared" si="9"/>
        <v>13871614</v>
      </c>
      <c r="AN15" s="206">
        <f t="shared" si="10"/>
        <v>13872</v>
      </c>
      <c r="AO15" s="206">
        <f t="shared" si="11"/>
        <v>28582</v>
      </c>
      <c r="AP15" s="209">
        <f>ROUND(AV15*'[1]数据-取费表'!$B$41/(1+'[1]数据-取费表'!$B$42),0)</f>
        <v>303731</v>
      </c>
      <c r="AQ15" s="209">
        <f>ROUND(AV15*'[1]数据-取费表'!B$51/(1+'[1]数据-取费表'!C$42),0)</f>
        <v>650851</v>
      </c>
      <c r="AR15" s="216">
        <f t="shared" si="12"/>
        <v>964677</v>
      </c>
      <c r="AS15" s="206">
        <f t="shared" si="27"/>
        <v>1313122</v>
      </c>
      <c r="AT15" s="214">
        <f t="shared" si="47"/>
        <v>8.43</v>
      </c>
      <c r="AU15" s="215">
        <f t="shared" si="28"/>
        <v>9.6300000000000008</v>
      </c>
      <c r="AV15" s="209">
        <f t="shared" si="29"/>
        <v>5694947</v>
      </c>
      <c r="AW15" s="209">
        <f t="shared" si="30"/>
        <v>21356</v>
      </c>
      <c r="AX15" s="209">
        <f t="shared" si="13"/>
        <v>5716303</v>
      </c>
      <c r="AY15" s="210">
        <f t="shared" si="44"/>
        <v>25.69</v>
      </c>
      <c r="AZ15" s="204">
        <f t="shared" si="45"/>
        <v>4403181</v>
      </c>
      <c r="BA15" s="204">
        <f t="shared" si="31"/>
        <v>81010021</v>
      </c>
      <c r="BB15" s="196">
        <f t="shared" si="16"/>
        <v>63665283</v>
      </c>
      <c r="BC15" s="196">
        <f t="shared" si="46"/>
        <v>1218756</v>
      </c>
      <c r="BD15" s="196">
        <f t="shared" si="33"/>
        <v>8066.09</v>
      </c>
      <c r="BE15" s="204">
        <f t="shared" si="34"/>
        <v>4985296</v>
      </c>
      <c r="BF15" s="204">
        <f t="shared" si="35"/>
        <v>18695</v>
      </c>
      <c r="BG15" s="204">
        <f t="shared" si="17"/>
        <v>5003991</v>
      </c>
      <c r="BH15" s="204">
        <f t="shared" si="18"/>
        <v>25020</v>
      </c>
      <c r="BI15" s="204">
        <f>ROUND(BE15*'[1]数据-取费表'!$B$51/(1+'[1]数据-取费表'!$C$42),0)</f>
        <v>569748</v>
      </c>
      <c r="BJ15" s="204">
        <f>ROUND(BG15*'[1]数据-取费表'!B$41/(1+'[1]数据-取费表'!C$42),0)</f>
        <v>266880</v>
      </c>
      <c r="BK15" s="204">
        <f t="shared" si="19"/>
        <v>1194054</v>
      </c>
      <c r="BL15" s="204">
        <f t="shared" si="20"/>
        <v>3809937</v>
      </c>
      <c r="BM15" s="204">
        <f t="shared" si="36"/>
        <v>15590194</v>
      </c>
      <c r="BN15" s="205">
        <v>0</v>
      </c>
      <c r="BO15" s="196">
        <f>BD15/$BD$234*$BS$3</f>
        <v>11204.815263555744</v>
      </c>
      <c r="BP15" s="140">
        <f>BO15*E15/(E15+E16)</f>
        <v>7540.1884487174448</v>
      </c>
      <c r="BQ15" s="140">
        <f>ROUND(BP15*10000/E15,0)</f>
        <v>62241</v>
      </c>
      <c r="BR15" s="73"/>
    </row>
    <row r="16" spans="1:71" x14ac:dyDescent="0.2">
      <c r="A16" s="120">
        <v>12</v>
      </c>
      <c r="B16" s="77" t="s">
        <v>82</v>
      </c>
      <c r="C16" s="78" t="s">
        <v>77</v>
      </c>
      <c r="D16" s="120">
        <v>601</v>
      </c>
      <c r="E16" s="120">
        <v>588.78</v>
      </c>
      <c r="F16" s="120" t="s">
        <v>83</v>
      </c>
      <c r="G16" s="120" t="s">
        <v>75</v>
      </c>
      <c r="H16" s="121">
        <v>56009</v>
      </c>
      <c r="I16" s="121">
        <v>44987</v>
      </c>
      <c r="J16" s="120">
        <f>IF(F16="商业",[1]项目基本情况!D$15,[1]项目基本情况!E$15)</f>
        <v>30.19</v>
      </c>
      <c r="K16" s="120" t="s">
        <v>84</v>
      </c>
      <c r="L16" s="210"/>
      <c r="M16" s="120">
        <v>5</v>
      </c>
      <c r="N16" s="120" t="s">
        <v>10</v>
      </c>
      <c r="O16" s="120"/>
      <c r="P16" s="209"/>
      <c r="Q16" s="209"/>
      <c r="R16" s="209"/>
      <c r="S16" s="206"/>
      <c r="T16" s="208">
        <v>0.8</v>
      </c>
      <c r="U16" s="209"/>
      <c r="V16" s="206"/>
      <c r="W16" s="206"/>
      <c r="X16" s="209"/>
      <c r="Y16" s="209"/>
      <c r="Z16" s="209">
        <f t="shared" si="3"/>
        <v>0</v>
      </c>
      <c r="AA16" s="209">
        <f t="shared" si="4"/>
        <v>0</v>
      </c>
      <c r="AB16" s="221">
        <f t="shared" si="24"/>
        <v>8.43</v>
      </c>
      <c r="AC16" s="210"/>
      <c r="AD16" s="209"/>
      <c r="AE16" s="209"/>
      <c r="AF16" s="222"/>
      <c r="AG16" s="122"/>
      <c r="AH16" s="217"/>
      <c r="AI16" s="210">
        <f t="shared" si="43"/>
        <v>-123.25</v>
      </c>
      <c r="AJ16" s="206"/>
      <c r="AK16" s="207"/>
      <c r="AL16" s="208"/>
      <c r="AM16" s="209"/>
      <c r="AN16" s="206"/>
      <c r="AO16" s="206"/>
      <c r="AP16" s="209"/>
      <c r="AQ16" s="209"/>
      <c r="AR16" s="216"/>
      <c r="AS16" s="206"/>
      <c r="AT16" s="214">
        <f t="shared" si="47"/>
        <v>8.43</v>
      </c>
      <c r="AU16" s="215"/>
      <c r="AV16" s="209"/>
      <c r="AW16" s="209"/>
      <c r="AX16" s="209"/>
      <c r="AY16" s="210">
        <f t="shared" si="44"/>
        <v>153.44</v>
      </c>
      <c r="AZ16" s="204"/>
      <c r="BA16" s="204"/>
      <c r="BB16" s="196"/>
      <c r="BC16" s="196">
        <f t="shared" si="46"/>
        <v>0</v>
      </c>
      <c r="BD16" s="196">
        <f t="shared" si="33"/>
        <v>0</v>
      </c>
      <c r="BE16" s="204">
        <f t="shared" si="34"/>
        <v>0</v>
      </c>
      <c r="BF16" s="204"/>
      <c r="BG16" s="204"/>
      <c r="BH16" s="204"/>
      <c r="BI16" s="204">
        <f>ROUND(BE16*'[1]数据-取费表'!$B$51/(1+'[1]数据-取费表'!$C$42),0)</f>
        <v>0</v>
      </c>
      <c r="BJ16" s="204">
        <f>ROUND(BG16*'[1]数据-取费表'!B$41/(1+'[1]数据-取费表'!C$42),0)</f>
        <v>0</v>
      </c>
      <c r="BK16" s="204">
        <f t="shared" si="19"/>
        <v>0</v>
      </c>
      <c r="BL16" s="204">
        <f t="shared" si="20"/>
        <v>0</v>
      </c>
      <c r="BM16" s="204">
        <f t="shared" si="36"/>
        <v>0</v>
      </c>
      <c r="BN16" s="205">
        <f t="shared" si="21"/>
        <v>0</v>
      </c>
      <c r="BO16" s="196"/>
      <c r="BP16" s="86">
        <f>BO15*E16/(E15+E16)</f>
        <v>3664.6268148382987</v>
      </c>
      <c r="BQ16" s="86">
        <f>ROUND(BP16*10000/E16,0)</f>
        <v>62241</v>
      </c>
      <c r="BR16" s="73"/>
    </row>
    <row r="17" spans="1:85" ht="27" x14ac:dyDescent="0.2">
      <c r="A17" s="44" t="s">
        <v>22</v>
      </c>
      <c r="B17" s="44" t="s">
        <v>23</v>
      </c>
      <c r="C17" s="44" t="s">
        <v>24</v>
      </c>
      <c r="D17" s="44" t="s">
        <v>25</v>
      </c>
      <c r="E17" s="44" t="s">
        <v>26</v>
      </c>
      <c r="F17" s="44" t="s">
        <v>27</v>
      </c>
      <c r="G17" s="44" t="s">
        <v>28</v>
      </c>
      <c r="H17" s="45" t="s">
        <v>29</v>
      </c>
      <c r="I17" s="45" t="s">
        <v>30</v>
      </c>
      <c r="J17" s="45" t="s">
        <v>31</v>
      </c>
      <c r="K17" s="45" t="s">
        <v>32</v>
      </c>
      <c r="L17" s="45" t="s">
        <v>33</v>
      </c>
      <c r="M17" s="45" t="s">
        <v>34</v>
      </c>
      <c r="N17" s="45" t="s">
        <v>35</v>
      </c>
      <c r="O17" s="45" t="s">
        <v>36</v>
      </c>
      <c r="P17" s="46" t="s">
        <v>37</v>
      </c>
      <c r="Q17" s="47" t="s">
        <v>38</v>
      </c>
      <c r="R17" s="48" t="s">
        <v>39</v>
      </c>
      <c r="S17" s="49" t="s">
        <v>40</v>
      </c>
      <c r="T17" s="50" t="s">
        <v>41</v>
      </c>
      <c r="U17" s="51" t="s">
        <v>42</v>
      </c>
      <c r="V17" s="52" t="s">
        <v>43</v>
      </c>
      <c r="W17" s="52" t="s">
        <v>44</v>
      </c>
      <c r="X17" s="53" t="s">
        <v>45</v>
      </c>
      <c r="Y17" s="53" t="s">
        <v>46</v>
      </c>
      <c r="Z17" s="54" t="s">
        <v>47</v>
      </c>
      <c r="AA17" s="55" t="s">
        <v>48</v>
      </c>
      <c r="AB17" s="56" t="s">
        <v>49</v>
      </c>
      <c r="AC17" s="51" t="s">
        <v>50</v>
      </c>
      <c r="AD17" s="51" t="s">
        <v>51</v>
      </c>
      <c r="AE17" s="51" t="s">
        <v>52</v>
      </c>
      <c r="AF17" s="57" t="s">
        <v>53</v>
      </c>
      <c r="AG17" s="57" t="s">
        <v>8</v>
      </c>
      <c r="AH17" s="58" t="s">
        <v>54</v>
      </c>
      <c r="AI17" s="51" t="s">
        <v>55</v>
      </c>
      <c r="AJ17" s="53" t="s">
        <v>56</v>
      </c>
      <c r="AK17" s="59" t="s">
        <v>57</v>
      </c>
      <c r="AL17" s="60" t="s">
        <v>58</v>
      </c>
      <c r="AM17" s="61" t="s">
        <v>59</v>
      </c>
      <c r="AN17" s="62" t="s">
        <v>43</v>
      </c>
      <c r="AO17" s="62" t="s">
        <v>44</v>
      </c>
      <c r="AP17" s="63" t="s">
        <v>45</v>
      </c>
      <c r="AQ17" s="63" t="s">
        <v>46</v>
      </c>
      <c r="AR17" s="64" t="s">
        <v>47</v>
      </c>
      <c r="AS17" s="65" t="s">
        <v>48</v>
      </c>
      <c r="AT17" s="66" t="s">
        <v>60</v>
      </c>
      <c r="AU17" s="67" t="s">
        <v>61</v>
      </c>
      <c r="AV17" s="61" t="s">
        <v>62</v>
      </c>
      <c r="AW17" s="61" t="s">
        <v>51</v>
      </c>
      <c r="AX17" s="61" t="s">
        <v>63</v>
      </c>
      <c r="AY17" s="61" t="s">
        <v>64</v>
      </c>
      <c r="AZ17" s="68" t="s">
        <v>56</v>
      </c>
      <c r="BA17" s="68" t="s">
        <v>57</v>
      </c>
      <c r="BB17" s="69" t="s">
        <v>65</v>
      </c>
      <c r="BC17" s="70" t="s">
        <v>66</v>
      </c>
      <c r="BD17" s="69" t="s">
        <v>67</v>
      </c>
      <c r="BE17" s="68" t="s">
        <v>68</v>
      </c>
      <c r="BF17" s="68" t="s">
        <v>51</v>
      </c>
      <c r="BG17" s="68" t="s">
        <v>69</v>
      </c>
      <c r="BH17" s="68" t="s">
        <v>70</v>
      </c>
      <c r="BI17" s="71" t="s">
        <v>46</v>
      </c>
      <c r="BJ17" s="71" t="s">
        <v>71</v>
      </c>
      <c r="BK17" s="71" t="s">
        <v>48</v>
      </c>
      <c r="BL17" s="71" t="s">
        <v>56</v>
      </c>
      <c r="BM17" s="68" t="s">
        <v>57</v>
      </c>
      <c r="BN17" s="72" t="s">
        <v>21</v>
      </c>
      <c r="BO17" s="69" t="s">
        <v>72</v>
      </c>
      <c r="BP17" s="154" t="s">
        <v>119</v>
      </c>
      <c r="BQ17" s="154" t="s">
        <v>118</v>
      </c>
      <c r="BR17" s="154" t="s">
        <v>126</v>
      </c>
    </row>
    <row r="18" spans="1:85" s="87" customFormat="1" x14ac:dyDescent="0.2">
      <c r="A18" s="127">
        <v>1</v>
      </c>
      <c r="B18" s="125" t="s">
        <v>82</v>
      </c>
      <c r="C18" s="126" t="s">
        <v>85</v>
      </c>
      <c r="D18" s="127">
        <v>-105</v>
      </c>
      <c r="E18" s="127">
        <v>82.43</v>
      </c>
      <c r="F18" s="127" t="s">
        <v>86</v>
      </c>
      <c r="G18" s="127" t="s">
        <v>79</v>
      </c>
      <c r="H18" s="128">
        <v>56009</v>
      </c>
      <c r="I18" s="128">
        <v>44987</v>
      </c>
      <c r="J18" s="127">
        <f>IF(F18="商业",[1]项目基本情况!D$15,[1]项目基本情况!E$15)</f>
        <v>30.19</v>
      </c>
      <c r="K18" s="127" t="s">
        <v>84</v>
      </c>
      <c r="L18" s="127">
        <f>E18</f>
        <v>82.43</v>
      </c>
      <c r="M18" s="127">
        <v>-1</v>
      </c>
      <c r="N18" s="127" t="s">
        <v>122</v>
      </c>
      <c r="O18" s="127">
        <v>2008</v>
      </c>
      <c r="P18" s="129">
        <f t="shared" si="0"/>
        <v>15.41</v>
      </c>
      <c r="Q18" s="129">
        <f>ROUND(P18*'[1]数据-取费表'!B$52,0)</f>
        <v>462</v>
      </c>
      <c r="R18" s="129">
        <f t="shared" si="38"/>
        <v>934061</v>
      </c>
      <c r="S18" s="130">
        <f t="shared" si="22"/>
        <v>14011</v>
      </c>
      <c r="T18" s="131">
        <v>0.8</v>
      </c>
      <c r="U18" s="129">
        <f t="shared" si="39"/>
        <v>747249</v>
      </c>
      <c r="V18" s="130">
        <f t="shared" si="2"/>
        <v>747</v>
      </c>
      <c r="W18" s="130">
        <f t="shared" si="23"/>
        <v>30</v>
      </c>
      <c r="X18" s="129">
        <f>ROUND(AC18*'[1]数据-取费表'!$B$41/(1+'[1]数据-取费表'!$C$42),0)</f>
        <v>320</v>
      </c>
      <c r="Y18" s="129">
        <f>ROUND(AC18*'[1]数据-取费表'!$B$51/(1+'[1]数据-取费表'!$C$42),0)</f>
        <v>686</v>
      </c>
      <c r="Z18" s="129">
        <f t="shared" si="3"/>
        <v>1468</v>
      </c>
      <c r="AA18" s="130">
        <f t="shared" si="4"/>
        <v>16256</v>
      </c>
      <c r="AB18" s="171">
        <f>ROUND(AC18/365/L18,2)</f>
        <v>0.2</v>
      </c>
      <c r="AC18" s="127">
        <v>6000</v>
      </c>
      <c r="AD18" s="129">
        <f t="shared" si="25"/>
        <v>23</v>
      </c>
      <c r="AE18" s="129">
        <f t="shared" si="26"/>
        <v>6023</v>
      </c>
      <c r="AF18" s="134">
        <v>0</v>
      </c>
      <c r="AG18" s="134"/>
      <c r="AH18" s="145">
        <v>47817</v>
      </c>
      <c r="AI18" s="127">
        <f t="shared" si="43"/>
        <v>7.75</v>
      </c>
      <c r="AJ18" s="130">
        <f t="shared" si="6"/>
        <v>-10233</v>
      </c>
      <c r="AK18" s="135">
        <f t="shared" si="7"/>
        <v>-63188</v>
      </c>
      <c r="AL18" s="131">
        <f t="shared" si="8"/>
        <v>0.63</v>
      </c>
      <c r="AM18" s="129">
        <f t="shared" si="9"/>
        <v>588458</v>
      </c>
      <c r="AN18" s="130">
        <f t="shared" si="10"/>
        <v>588</v>
      </c>
      <c r="AO18" s="130">
        <f t="shared" si="11"/>
        <v>564</v>
      </c>
      <c r="AP18" s="129">
        <f>ROUND(AV18*'[1]数据-取费表'!$B$41/(1+'[1]数据-取费表'!$B$42),0)</f>
        <v>5993</v>
      </c>
      <c r="AQ18" s="129">
        <f>ROUND(AV18*'[1]数据-取费表'!B$51/(1+'[1]数据-取费表'!C$42),0)</f>
        <v>12843</v>
      </c>
      <c r="AR18" s="136">
        <f t="shared" si="12"/>
        <v>19298</v>
      </c>
      <c r="AS18" s="130">
        <f t="shared" si="27"/>
        <v>34461</v>
      </c>
      <c r="AT18" s="137">
        <f>'[1]比较法-办公地下'!C50</f>
        <v>3.3</v>
      </c>
      <c r="AU18" s="138">
        <f t="shared" si="28"/>
        <v>4.1500000000000004</v>
      </c>
      <c r="AV18" s="129">
        <f t="shared" si="29"/>
        <v>112375</v>
      </c>
      <c r="AW18" s="129">
        <f t="shared" si="30"/>
        <v>421</v>
      </c>
      <c r="AX18" s="129">
        <f t="shared" si="13"/>
        <v>112796</v>
      </c>
      <c r="AY18" s="127">
        <f t="shared" si="44"/>
        <v>22.44</v>
      </c>
      <c r="AZ18" s="139">
        <f t="shared" si="45"/>
        <v>78335</v>
      </c>
      <c r="BA18" s="139">
        <f t="shared" si="31"/>
        <v>1304045</v>
      </c>
      <c r="BB18" s="140">
        <f t="shared" si="16"/>
        <v>861164</v>
      </c>
      <c r="BC18" s="140">
        <f t="shared" si="46"/>
        <v>55805</v>
      </c>
      <c r="BD18" s="140">
        <f t="shared" si="33"/>
        <v>85.38</v>
      </c>
      <c r="BE18" s="139">
        <f t="shared" si="34"/>
        <v>89358</v>
      </c>
      <c r="BF18" s="139">
        <f t="shared" si="35"/>
        <v>335</v>
      </c>
      <c r="BG18" s="139">
        <f t="shared" si="17"/>
        <v>89693</v>
      </c>
      <c r="BH18" s="139">
        <f t="shared" si="18"/>
        <v>448</v>
      </c>
      <c r="BI18" s="139">
        <f>ROUND(BE18*'[1]数据-取费表'!$B$51/(1+'[1]数据-取费表'!$C$42),0)</f>
        <v>10212</v>
      </c>
      <c r="BJ18" s="139">
        <f>ROUND(BG18*'[1]数据-取费表'!B$41/(1+'[1]数据-取费表'!C$42),0)</f>
        <v>4784</v>
      </c>
      <c r="BK18" s="139">
        <f t="shared" si="19"/>
        <v>30664</v>
      </c>
      <c r="BL18" s="139">
        <f t="shared" si="20"/>
        <v>59029</v>
      </c>
      <c r="BM18" s="139">
        <f t="shared" si="36"/>
        <v>400477</v>
      </c>
      <c r="BN18" s="165">
        <f t="shared" si="21"/>
        <v>463665</v>
      </c>
      <c r="BO18" s="140">
        <f>ROUND(BD18/$BD$234*$BS$3,0)</f>
        <v>119</v>
      </c>
      <c r="BP18" s="194">
        <f>SUM(BO18:BO25)</f>
        <v>2684.1074115034485</v>
      </c>
      <c r="BQ18" s="194">
        <f>ROUND(BP18*10000/BS18,0)</f>
        <v>19327</v>
      </c>
      <c r="BR18" s="194"/>
      <c r="BS18" s="20">
        <f>SUM(L18:L25)</f>
        <v>1388.7899999999997</v>
      </c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</row>
    <row r="19" spans="1:85" s="87" customFormat="1" x14ac:dyDescent="0.2">
      <c r="A19" s="127">
        <v>2</v>
      </c>
      <c r="B19" s="125" t="s">
        <v>82</v>
      </c>
      <c r="C19" s="126" t="s">
        <v>85</v>
      </c>
      <c r="D19" s="127">
        <v>-106</v>
      </c>
      <c r="E19" s="127">
        <v>113.91</v>
      </c>
      <c r="F19" s="127" t="s">
        <v>86</v>
      </c>
      <c r="G19" s="127" t="s">
        <v>79</v>
      </c>
      <c r="H19" s="128">
        <v>56009</v>
      </c>
      <c r="I19" s="128">
        <v>44987</v>
      </c>
      <c r="J19" s="127">
        <f>IF(F19="商业",[1]项目基本情况!D$15,[1]项目基本情况!E$15)</f>
        <v>30.19</v>
      </c>
      <c r="K19" s="127" t="s">
        <v>84</v>
      </c>
      <c r="L19" s="127">
        <f>E19</f>
        <v>113.91</v>
      </c>
      <c r="M19" s="127">
        <v>-1</v>
      </c>
      <c r="N19" s="127" t="s">
        <v>122</v>
      </c>
      <c r="O19" s="127">
        <v>2008</v>
      </c>
      <c r="P19" s="129">
        <f t="shared" si="0"/>
        <v>21.29</v>
      </c>
      <c r="Q19" s="129">
        <f>ROUND(P19*'[1]数据-取费表'!B$52,0)</f>
        <v>639</v>
      </c>
      <c r="R19" s="129">
        <f t="shared" si="38"/>
        <v>1290779</v>
      </c>
      <c r="S19" s="130">
        <f t="shared" si="22"/>
        <v>19362</v>
      </c>
      <c r="T19" s="131">
        <v>0.8</v>
      </c>
      <c r="U19" s="129">
        <f t="shared" si="39"/>
        <v>1032623</v>
      </c>
      <c r="V19" s="130">
        <f t="shared" si="2"/>
        <v>1033</v>
      </c>
      <c r="W19" s="130">
        <f t="shared" si="23"/>
        <v>171</v>
      </c>
      <c r="X19" s="129">
        <f>ROUND(AC19*'[1]数据-取费表'!$B$41/(1+'[1]数据-取费表'!$C$42),0)</f>
        <v>1821</v>
      </c>
      <c r="Y19" s="129">
        <f>ROUND(AC19*'[1]数据-取费表'!$B$51/(1+'[1]数据-取费表'!$C$42),0)</f>
        <v>3902</v>
      </c>
      <c r="Z19" s="129">
        <f t="shared" si="3"/>
        <v>6362</v>
      </c>
      <c r="AA19" s="130">
        <f t="shared" si="4"/>
        <v>26928</v>
      </c>
      <c r="AB19" s="171">
        <f>ROUND(AC19/365/L19,2)</f>
        <v>0.82</v>
      </c>
      <c r="AC19" s="127">
        <v>34140</v>
      </c>
      <c r="AD19" s="129">
        <f t="shared" si="25"/>
        <v>128</v>
      </c>
      <c r="AE19" s="129">
        <f t="shared" si="26"/>
        <v>34268</v>
      </c>
      <c r="AF19" s="134">
        <v>0</v>
      </c>
      <c r="AG19" s="134"/>
      <c r="AH19" s="145">
        <v>45808</v>
      </c>
      <c r="AI19" s="127">
        <f t="shared" si="43"/>
        <v>2.2400000000000002</v>
      </c>
      <c r="AJ19" s="130">
        <f t="shared" si="6"/>
        <v>7340</v>
      </c>
      <c r="AK19" s="135">
        <f t="shared" si="7"/>
        <v>15083</v>
      </c>
      <c r="AL19" s="131">
        <f t="shared" si="8"/>
        <v>0.72</v>
      </c>
      <c r="AM19" s="129">
        <f t="shared" si="9"/>
        <v>929361</v>
      </c>
      <c r="AN19" s="130">
        <f t="shared" si="10"/>
        <v>929</v>
      </c>
      <c r="AO19" s="130">
        <f t="shared" si="11"/>
        <v>663</v>
      </c>
      <c r="AP19" s="129">
        <f>ROUND(AV19*'[1]数据-取费表'!$B$41/(1+'[1]数据-取费表'!$B$42),0)</f>
        <v>7045</v>
      </c>
      <c r="AQ19" s="129">
        <f>ROUND(AV19*'[1]数据-取费表'!B$51/(1+'[1]数据-取费表'!C$42),0)</f>
        <v>15096</v>
      </c>
      <c r="AR19" s="136">
        <f t="shared" si="12"/>
        <v>22780</v>
      </c>
      <c r="AS19" s="130">
        <f t="shared" si="27"/>
        <v>43734</v>
      </c>
      <c r="AT19" s="137">
        <f>'[1]比较法-办公地下'!C50</f>
        <v>3.3</v>
      </c>
      <c r="AU19" s="138">
        <f t="shared" si="28"/>
        <v>3.53</v>
      </c>
      <c r="AV19" s="129">
        <f t="shared" si="29"/>
        <v>132091</v>
      </c>
      <c r="AW19" s="129">
        <f t="shared" si="30"/>
        <v>495</v>
      </c>
      <c r="AX19" s="129">
        <f t="shared" si="13"/>
        <v>132586</v>
      </c>
      <c r="AY19" s="127">
        <f t="shared" si="44"/>
        <v>27.950000000000003</v>
      </c>
      <c r="AZ19" s="139">
        <f t="shared" si="45"/>
        <v>88852</v>
      </c>
      <c r="BA19" s="139">
        <f t="shared" si="31"/>
        <v>1735965</v>
      </c>
      <c r="BB19" s="140">
        <f t="shared" si="16"/>
        <v>1539769</v>
      </c>
      <c r="BC19" s="140">
        <f t="shared" si="46"/>
        <v>77117</v>
      </c>
      <c r="BD19" s="140">
        <f t="shared" si="33"/>
        <v>163.19999999999999</v>
      </c>
      <c r="BE19" s="139">
        <f t="shared" si="34"/>
        <v>123484</v>
      </c>
      <c r="BF19" s="139">
        <f t="shared" si="35"/>
        <v>463</v>
      </c>
      <c r="BG19" s="139">
        <f t="shared" si="17"/>
        <v>123947</v>
      </c>
      <c r="BH19" s="139">
        <f t="shared" si="18"/>
        <v>620</v>
      </c>
      <c r="BI19" s="139">
        <f>ROUND(BE19*'[1]数据-取费表'!$B$51/(1+'[1]数据-取费表'!$C$42),0)</f>
        <v>14112</v>
      </c>
      <c r="BJ19" s="139">
        <f>ROUND(BG19*'[1]数据-取费表'!B$41/(1+'[1]数据-取费表'!C$42),0)</f>
        <v>6611</v>
      </c>
      <c r="BK19" s="139">
        <f t="shared" si="19"/>
        <v>42377</v>
      </c>
      <c r="BL19" s="139">
        <f t="shared" si="20"/>
        <v>81570</v>
      </c>
      <c r="BM19" s="139">
        <f t="shared" si="36"/>
        <v>170652</v>
      </c>
      <c r="BN19" s="165">
        <f t="shared" si="21"/>
        <v>155569</v>
      </c>
      <c r="BO19" s="140">
        <f>ROUND(BD19/$BD$234*$BS$3,0)</f>
        <v>227</v>
      </c>
      <c r="BP19" s="194"/>
      <c r="BQ19" s="194"/>
      <c r="BR19" s="194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</row>
    <row r="20" spans="1:85" s="87" customFormat="1" ht="14.25" customHeight="1" x14ac:dyDescent="0.2">
      <c r="A20" s="146">
        <v>3</v>
      </c>
      <c r="B20" s="125" t="s">
        <v>82</v>
      </c>
      <c r="C20" s="126" t="s">
        <v>85</v>
      </c>
      <c r="D20" s="127">
        <v>-101</v>
      </c>
      <c r="E20" s="127">
        <v>164.93</v>
      </c>
      <c r="F20" s="127" t="s">
        <v>86</v>
      </c>
      <c r="G20" s="127" t="s">
        <v>79</v>
      </c>
      <c r="H20" s="128">
        <v>56009</v>
      </c>
      <c r="I20" s="128">
        <v>44987</v>
      </c>
      <c r="J20" s="127">
        <f>IF(F20="商业",[1]项目基本情况!D$15,[1]项目基本情况!E$15)</f>
        <v>30.19</v>
      </c>
      <c r="K20" s="127" t="s">
        <v>84</v>
      </c>
      <c r="L20" s="218">
        <f>SUM(E20:E25)</f>
        <v>1192.4499999999998</v>
      </c>
      <c r="M20" s="127">
        <v>-1</v>
      </c>
      <c r="N20" s="127" t="s">
        <v>79</v>
      </c>
      <c r="O20" s="127">
        <v>2008</v>
      </c>
      <c r="P20" s="218">
        <f t="shared" si="0"/>
        <v>222.89</v>
      </c>
      <c r="Q20" s="218">
        <f>ROUND(P20*'[1]数据-取费表'!B$52,0)</f>
        <v>6687</v>
      </c>
      <c r="R20" s="218">
        <f t="shared" si="38"/>
        <v>13512331</v>
      </c>
      <c r="S20" s="218">
        <f t="shared" si="22"/>
        <v>202685</v>
      </c>
      <c r="T20" s="220">
        <v>0.8</v>
      </c>
      <c r="U20" s="218">
        <f t="shared" si="39"/>
        <v>10809865</v>
      </c>
      <c r="V20" s="218">
        <f t="shared" si="2"/>
        <v>10810</v>
      </c>
      <c r="W20" s="218">
        <f t="shared" si="23"/>
        <v>5199</v>
      </c>
      <c r="X20" s="218">
        <f>ROUND(AC20*'[1]数据-取费表'!$B$41/(1+'[1]数据-取费表'!$C$42),0)</f>
        <v>55253</v>
      </c>
      <c r="Y20" s="218">
        <f>ROUND(AC20*'[1]数据-取费表'!$B$51/(1+'[1]数据-取费表'!$C$42),0)</f>
        <v>118400</v>
      </c>
      <c r="Z20" s="218">
        <f t="shared" si="3"/>
        <v>180340</v>
      </c>
      <c r="AA20" s="218">
        <f t="shared" si="4"/>
        <v>399034</v>
      </c>
      <c r="AB20" s="219">
        <f>AC20/L20/365</f>
        <v>2.3802772810898714</v>
      </c>
      <c r="AC20" s="218">
        <v>1036002</v>
      </c>
      <c r="AD20" s="218">
        <f t="shared" si="25"/>
        <v>3885</v>
      </c>
      <c r="AE20" s="218">
        <f t="shared" si="26"/>
        <v>1039887</v>
      </c>
      <c r="AF20" s="225">
        <v>1.18E-2</v>
      </c>
      <c r="AG20" s="218"/>
      <c r="AH20" s="226">
        <v>48760</v>
      </c>
      <c r="AI20" s="218">
        <f t="shared" si="43"/>
        <v>10.33</v>
      </c>
      <c r="AJ20" s="218">
        <f t="shared" si="6"/>
        <v>640853</v>
      </c>
      <c r="AK20" s="224">
        <f t="shared" si="7"/>
        <v>5202820</v>
      </c>
      <c r="AL20" s="220">
        <f t="shared" si="8"/>
        <v>0.57999999999999996</v>
      </c>
      <c r="AM20" s="218">
        <f t="shared" si="9"/>
        <v>7837152</v>
      </c>
      <c r="AN20" s="218">
        <f t="shared" si="10"/>
        <v>7837</v>
      </c>
      <c r="AO20" s="218">
        <f t="shared" si="11"/>
        <v>8807</v>
      </c>
      <c r="AP20" s="218">
        <f>ROUND(AV20*'[1]数据-取费表'!$B$41/(1+'[1]数据-取费表'!$B$42),0)</f>
        <v>93595</v>
      </c>
      <c r="AQ20" s="218">
        <f>ROUND(AV20*'[1]数据-取费表'!B$51/(1+'[1]数据-取费表'!C$42),0)</f>
        <v>200561</v>
      </c>
      <c r="AR20" s="218">
        <f t="shared" si="12"/>
        <v>300843</v>
      </c>
      <c r="AS20" s="218">
        <f t="shared" si="27"/>
        <v>520172</v>
      </c>
      <c r="AT20" s="223">
        <f>'[1]比较法-办公地下'!C50</f>
        <v>3.3</v>
      </c>
      <c r="AU20" s="224">
        <f t="shared" si="28"/>
        <v>4.4800000000000004</v>
      </c>
      <c r="AV20" s="218">
        <f t="shared" si="29"/>
        <v>1754905</v>
      </c>
      <c r="AW20" s="218">
        <f t="shared" si="30"/>
        <v>6581</v>
      </c>
      <c r="AX20" s="218">
        <f t="shared" si="13"/>
        <v>1761486</v>
      </c>
      <c r="AY20" s="218">
        <f t="shared" si="44"/>
        <v>19.86</v>
      </c>
      <c r="AZ20" s="227">
        <f t="shared" si="45"/>
        <v>1241314</v>
      </c>
      <c r="BA20" s="227">
        <f t="shared" si="31"/>
        <v>18813930</v>
      </c>
      <c r="BB20" s="229">
        <f t="shared" si="16"/>
        <v>10821354</v>
      </c>
      <c r="BC20" s="229">
        <f t="shared" si="46"/>
        <v>807289</v>
      </c>
      <c r="BD20" s="229">
        <f t="shared" si="33"/>
        <v>1683.15</v>
      </c>
      <c r="BE20" s="227">
        <f t="shared" si="34"/>
        <v>1292675</v>
      </c>
      <c r="BF20" s="227">
        <f t="shared" si="35"/>
        <v>4848</v>
      </c>
      <c r="BG20" s="227">
        <f t="shared" si="17"/>
        <v>1297523</v>
      </c>
      <c r="BH20" s="227">
        <f t="shared" si="18"/>
        <v>6488</v>
      </c>
      <c r="BI20" s="227">
        <f>ROUND(BE20*'[1]数据-取费表'!$B$51/(1+'[1]数据-取费表'!$C$42),0)</f>
        <v>147734</v>
      </c>
      <c r="BJ20" s="227">
        <f>ROUND(BG20*'[1]数据-取费表'!B$41/(1+'[1]数据-取费表'!C$42),0)</f>
        <v>69201</v>
      </c>
      <c r="BK20" s="227">
        <f t="shared" si="19"/>
        <v>443605</v>
      </c>
      <c r="BL20" s="227">
        <f t="shared" si="20"/>
        <v>853918</v>
      </c>
      <c r="BM20" s="227">
        <f t="shared" si="36"/>
        <v>7495085</v>
      </c>
      <c r="BN20" s="228">
        <f t="shared" si="21"/>
        <v>2292265</v>
      </c>
      <c r="BO20" s="229">
        <f>BD20/$BD$234*$BS$3</f>
        <v>2338.1074115034485</v>
      </c>
      <c r="BP20" s="194"/>
      <c r="BQ20" s="194"/>
      <c r="BR20" s="194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</row>
    <row r="21" spans="1:85" s="87" customFormat="1" x14ac:dyDescent="0.2">
      <c r="A21" s="146">
        <v>4</v>
      </c>
      <c r="B21" s="125" t="s">
        <v>82</v>
      </c>
      <c r="C21" s="126" t="s">
        <v>85</v>
      </c>
      <c r="D21" s="127">
        <v>-102</v>
      </c>
      <c r="E21" s="127">
        <v>151.38</v>
      </c>
      <c r="F21" s="127" t="s">
        <v>86</v>
      </c>
      <c r="G21" s="127" t="s">
        <v>79</v>
      </c>
      <c r="H21" s="128">
        <v>56009</v>
      </c>
      <c r="I21" s="128">
        <v>44987</v>
      </c>
      <c r="J21" s="127">
        <f>IF(F21="商业",[1]项目基本情况!D$15,[1]项目基本情况!E$15)</f>
        <v>30.19</v>
      </c>
      <c r="K21" s="127" t="s">
        <v>84</v>
      </c>
      <c r="L21" s="218"/>
      <c r="M21" s="127">
        <v>-1</v>
      </c>
      <c r="N21" s="127" t="s">
        <v>79</v>
      </c>
      <c r="O21" s="127">
        <v>2008</v>
      </c>
      <c r="P21" s="218">
        <f t="shared" si="0"/>
        <v>0</v>
      </c>
      <c r="Q21" s="218">
        <f>ROUND(P21*'[1]数据-取费表'!B$52,0)</f>
        <v>0</v>
      </c>
      <c r="R21" s="218">
        <f t="shared" si="38"/>
        <v>0</v>
      </c>
      <c r="S21" s="218">
        <f t="shared" si="22"/>
        <v>0</v>
      </c>
      <c r="T21" s="220">
        <v>0.8</v>
      </c>
      <c r="U21" s="218">
        <f t="shared" si="39"/>
        <v>0</v>
      </c>
      <c r="V21" s="218">
        <f t="shared" si="2"/>
        <v>0</v>
      </c>
      <c r="W21" s="218">
        <f t="shared" si="23"/>
        <v>0</v>
      </c>
      <c r="X21" s="218">
        <f>ROUND(AC21*'[1]数据-取费表'!$B$41/(1+'[1]数据-取费表'!$C$42),0)</f>
        <v>0</v>
      </c>
      <c r="Y21" s="218">
        <f>ROUND(AC21*'[1]数据-取费表'!$B$51/(1+'[1]数据-取费表'!$C$42),0)</f>
        <v>0</v>
      </c>
      <c r="Z21" s="218">
        <f t="shared" si="3"/>
        <v>0</v>
      </c>
      <c r="AA21" s="218">
        <f t="shared" si="4"/>
        <v>0</v>
      </c>
      <c r="AB21" s="219">
        <f t="shared" si="24"/>
        <v>8.77</v>
      </c>
      <c r="AC21" s="218"/>
      <c r="AD21" s="218">
        <f t="shared" si="25"/>
        <v>0</v>
      </c>
      <c r="AE21" s="218">
        <f t="shared" si="26"/>
        <v>0</v>
      </c>
      <c r="AF21" s="225"/>
      <c r="AG21" s="218"/>
      <c r="AH21" s="226"/>
      <c r="AI21" s="218">
        <f t="shared" si="43"/>
        <v>-123.25</v>
      </c>
      <c r="AJ21" s="218">
        <f t="shared" si="6"/>
        <v>0</v>
      </c>
      <c r="AK21" s="224">
        <f t="shared" si="7"/>
        <v>0</v>
      </c>
      <c r="AL21" s="220">
        <f t="shared" si="8"/>
        <v>2.8</v>
      </c>
      <c r="AM21" s="218">
        <f t="shared" si="9"/>
        <v>0</v>
      </c>
      <c r="AN21" s="218">
        <f t="shared" si="10"/>
        <v>0</v>
      </c>
      <c r="AO21" s="218">
        <f t="shared" si="11"/>
        <v>0</v>
      </c>
      <c r="AP21" s="218">
        <f>ROUND(AV21*'[1]数据-取费表'!$B$41/(1+'[1]数据-取费表'!$B$42),0)</f>
        <v>0</v>
      </c>
      <c r="AQ21" s="218">
        <f>ROUND(AV21*'[1]数据-取费表'!B$51/(1+'[1]数据-取费表'!C$42),0)</f>
        <v>0</v>
      </c>
      <c r="AR21" s="218">
        <f t="shared" si="12"/>
        <v>0</v>
      </c>
      <c r="AS21" s="218">
        <f t="shared" si="27"/>
        <v>0</v>
      </c>
      <c r="AT21" s="223">
        <f t="shared" si="47"/>
        <v>8.77</v>
      </c>
      <c r="AU21" s="224">
        <f t="shared" si="28"/>
        <v>0.23</v>
      </c>
      <c r="AV21" s="218">
        <f t="shared" si="29"/>
        <v>0</v>
      </c>
      <c r="AW21" s="218">
        <f t="shared" si="30"/>
        <v>0</v>
      </c>
      <c r="AX21" s="218">
        <f t="shared" si="13"/>
        <v>0</v>
      </c>
      <c r="AY21" s="218">
        <f t="shared" si="44"/>
        <v>153.44</v>
      </c>
      <c r="AZ21" s="227">
        <f t="shared" si="45"/>
        <v>0</v>
      </c>
      <c r="BA21" s="227">
        <f t="shared" si="31"/>
        <v>0</v>
      </c>
      <c r="BB21" s="229">
        <f t="shared" si="16"/>
        <v>0</v>
      </c>
      <c r="BC21" s="229">
        <f t="shared" si="46"/>
        <v>0</v>
      </c>
      <c r="BD21" s="229">
        <f t="shared" si="33"/>
        <v>0</v>
      </c>
      <c r="BE21" s="227">
        <f t="shared" si="34"/>
        <v>0</v>
      </c>
      <c r="BF21" s="227">
        <f t="shared" si="35"/>
        <v>0</v>
      </c>
      <c r="BG21" s="227">
        <f t="shared" si="17"/>
        <v>0</v>
      </c>
      <c r="BH21" s="227">
        <f t="shared" si="18"/>
        <v>0</v>
      </c>
      <c r="BI21" s="227">
        <f>ROUND(BE21*'[1]数据-取费表'!$B$51/(1+'[1]数据-取费表'!$C$42),0)</f>
        <v>0</v>
      </c>
      <c r="BJ21" s="227">
        <f>ROUND(BG21*'[1]数据-取费表'!B$41/(1+'[1]数据-取费表'!C$42),0)</f>
        <v>0</v>
      </c>
      <c r="BK21" s="227">
        <f t="shared" si="19"/>
        <v>0</v>
      </c>
      <c r="BL21" s="227">
        <f t="shared" si="20"/>
        <v>0</v>
      </c>
      <c r="BM21" s="227">
        <f t="shared" si="36"/>
        <v>0</v>
      </c>
      <c r="BN21" s="228">
        <f t="shared" si="21"/>
        <v>0</v>
      </c>
      <c r="BO21" s="229"/>
      <c r="BP21" s="194"/>
      <c r="BQ21" s="194"/>
      <c r="BR21" s="194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</row>
    <row r="22" spans="1:85" s="87" customFormat="1" x14ac:dyDescent="0.2">
      <c r="A22" s="146">
        <v>5</v>
      </c>
      <c r="B22" s="125" t="s">
        <v>82</v>
      </c>
      <c r="C22" s="126" t="s">
        <v>85</v>
      </c>
      <c r="D22" s="127">
        <v>-103</v>
      </c>
      <c r="E22" s="127">
        <v>177.18</v>
      </c>
      <c r="F22" s="127" t="s">
        <v>86</v>
      </c>
      <c r="G22" s="127" t="s">
        <v>79</v>
      </c>
      <c r="H22" s="128">
        <v>56009</v>
      </c>
      <c r="I22" s="128">
        <v>44987</v>
      </c>
      <c r="J22" s="127">
        <f>IF(F22="商业",[1]项目基本情况!D$15,[1]项目基本情况!E$15)</f>
        <v>30.19</v>
      </c>
      <c r="K22" s="127" t="s">
        <v>84</v>
      </c>
      <c r="L22" s="218"/>
      <c r="M22" s="127">
        <v>-1</v>
      </c>
      <c r="N22" s="127" t="s">
        <v>79</v>
      </c>
      <c r="O22" s="127">
        <v>2008</v>
      </c>
      <c r="P22" s="218">
        <f t="shared" si="0"/>
        <v>0</v>
      </c>
      <c r="Q22" s="218">
        <f>ROUND(P22*'[1]数据-取费表'!B$52,0)</f>
        <v>0</v>
      </c>
      <c r="R22" s="218">
        <f t="shared" si="38"/>
        <v>0</v>
      </c>
      <c r="S22" s="218">
        <f t="shared" si="22"/>
        <v>0</v>
      </c>
      <c r="T22" s="220">
        <v>0.8</v>
      </c>
      <c r="U22" s="218">
        <f t="shared" si="39"/>
        <v>0</v>
      </c>
      <c r="V22" s="218">
        <f t="shared" si="2"/>
        <v>0</v>
      </c>
      <c r="W22" s="218">
        <f t="shared" si="23"/>
        <v>0</v>
      </c>
      <c r="X22" s="218">
        <f>ROUND(AC22*'[1]数据-取费表'!$B$41/(1+'[1]数据-取费表'!$C$42),0)</f>
        <v>0</v>
      </c>
      <c r="Y22" s="218">
        <f>ROUND(AC22*'[1]数据-取费表'!$B$51/(1+'[1]数据-取费表'!$C$42),0)</f>
        <v>0</v>
      </c>
      <c r="Z22" s="218">
        <f t="shared" si="3"/>
        <v>0</v>
      </c>
      <c r="AA22" s="218">
        <f t="shared" si="4"/>
        <v>0</v>
      </c>
      <c r="AB22" s="219">
        <f t="shared" si="24"/>
        <v>8.77</v>
      </c>
      <c r="AC22" s="218"/>
      <c r="AD22" s="218">
        <f t="shared" si="25"/>
        <v>0</v>
      </c>
      <c r="AE22" s="218">
        <f t="shared" si="26"/>
        <v>0</v>
      </c>
      <c r="AF22" s="225"/>
      <c r="AG22" s="218"/>
      <c r="AH22" s="226"/>
      <c r="AI22" s="218">
        <f t="shared" si="43"/>
        <v>-123.25</v>
      </c>
      <c r="AJ22" s="218">
        <f t="shared" si="6"/>
        <v>0</v>
      </c>
      <c r="AK22" s="224">
        <f t="shared" si="7"/>
        <v>0</v>
      </c>
      <c r="AL22" s="220">
        <f t="shared" si="8"/>
        <v>2.8</v>
      </c>
      <c r="AM22" s="218">
        <f t="shared" si="9"/>
        <v>0</v>
      </c>
      <c r="AN22" s="218">
        <f t="shared" si="10"/>
        <v>0</v>
      </c>
      <c r="AO22" s="218">
        <f t="shared" si="11"/>
        <v>0</v>
      </c>
      <c r="AP22" s="218">
        <f>ROUND(AV22*'[1]数据-取费表'!$B$41/(1+'[1]数据-取费表'!$B$42),0)</f>
        <v>0</v>
      </c>
      <c r="AQ22" s="218">
        <f>ROUND(AV22*'[1]数据-取费表'!B$51/(1+'[1]数据-取费表'!C$42),0)</f>
        <v>0</v>
      </c>
      <c r="AR22" s="218">
        <f t="shared" si="12"/>
        <v>0</v>
      </c>
      <c r="AS22" s="218">
        <f t="shared" si="27"/>
        <v>0</v>
      </c>
      <c r="AT22" s="223">
        <f t="shared" si="47"/>
        <v>8.77</v>
      </c>
      <c r="AU22" s="224">
        <f t="shared" si="28"/>
        <v>0.23</v>
      </c>
      <c r="AV22" s="218">
        <f t="shared" si="29"/>
        <v>0</v>
      </c>
      <c r="AW22" s="218">
        <f t="shared" si="30"/>
        <v>0</v>
      </c>
      <c r="AX22" s="218">
        <f t="shared" si="13"/>
        <v>0</v>
      </c>
      <c r="AY22" s="218">
        <f t="shared" si="44"/>
        <v>153.44</v>
      </c>
      <c r="AZ22" s="227">
        <f t="shared" si="45"/>
        <v>0</v>
      </c>
      <c r="BA22" s="227">
        <f t="shared" si="31"/>
        <v>0</v>
      </c>
      <c r="BB22" s="229">
        <f t="shared" si="16"/>
        <v>0</v>
      </c>
      <c r="BC22" s="229">
        <f t="shared" si="46"/>
        <v>0</v>
      </c>
      <c r="BD22" s="229">
        <f t="shared" si="33"/>
        <v>0</v>
      </c>
      <c r="BE22" s="227">
        <f t="shared" si="34"/>
        <v>0</v>
      </c>
      <c r="BF22" s="227">
        <f t="shared" si="35"/>
        <v>0</v>
      </c>
      <c r="BG22" s="227">
        <f t="shared" si="17"/>
        <v>0</v>
      </c>
      <c r="BH22" s="227">
        <f t="shared" si="18"/>
        <v>0</v>
      </c>
      <c r="BI22" s="227">
        <f>ROUND(BE22*'[1]数据-取费表'!$B$51/(1+'[1]数据-取费表'!$C$42),0)</f>
        <v>0</v>
      </c>
      <c r="BJ22" s="227">
        <f>ROUND(BG22*'[1]数据-取费表'!B$41/(1+'[1]数据-取费表'!C$42),0)</f>
        <v>0</v>
      </c>
      <c r="BK22" s="227">
        <f t="shared" si="19"/>
        <v>0</v>
      </c>
      <c r="BL22" s="227">
        <f t="shared" si="20"/>
        <v>0</v>
      </c>
      <c r="BM22" s="227">
        <f t="shared" si="36"/>
        <v>0</v>
      </c>
      <c r="BN22" s="228">
        <f t="shared" si="21"/>
        <v>0</v>
      </c>
      <c r="BO22" s="229"/>
      <c r="BP22" s="194"/>
      <c r="BQ22" s="194"/>
      <c r="BR22" s="194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</row>
    <row r="23" spans="1:85" s="87" customFormat="1" x14ac:dyDescent="0.2">
      <c r="A23" s="146">
        <v>6</v>
      </c>
      <c r="B23" s="125" t="s">
        <v>82</v>
      </c>
      <c r="C23" s="126" t="s">
        <v>85</v>
      </c>
      <c r="D23" s="127">
        <v>-107</v>
      </c>
      <c r="E23" s="127">
        <v>221.06</v>
      </c>
      <c r="F23" s="127" t="s">
        <v>86</v>
      </c>
      <c r="G23" s="127" t="s">
        <v>79</v>
      </c>
      <c r="H23" s="128">
        <v>56009</v>
      </c>
      <c r="I23" s="128">
        <v>44987</v>
      </c>
      <c r="J23" s="127">
        <f>IF(F23="商业",[1]项目基本情况!D$15,[1]项目基本情况!E$15)</f>
        <v>30.19</v>
      </c>
      <c r="K23" s="127" t="s">
        <v>84</v>
      </c>
      <c r="L23" s="218"/>
      <c r="M23" s="127">
        <v>-1</v>
      </c>
      <c r="N23" s="127" t="s">
        <v>79</v>
      </c>
      <c r="O23" s="127">
        <v>2008</v>
      </c>
      <c r="P23" s="218">
        <f t="shared" si="0"/>
        <v>0</v>
      </c>
      <c r="Q23" s="218">
        <f>ROUND(P23*'[1]数据-取费表'!B$52,0)</f>
        <v>0</v>
      </c>
      <c r="R23" s="218">
        <f t="shared" si="38"/>
        <v>0</v>
      </c>
      <c r="S23" s="218">
        <f t="shared" si="22"/>
        <v>0</v>
      </c>
      <c r="T23" s="220">
        <v>0.8</v>
      </c>
      <c r="U23" s="218">
        <f t="shared" si="39"/>
        <v>0</v>
      </c>
      <c r="V23" s="218">
        <f t="shared" si="2"/>
        <v>0</v>
      </c>
      <c r="W23" s="218">
        <f t="shared" si="23"/>
        <v>0</v>
      </c>
      <c r="X23" s="218">
        <f>ROUND(AC23*'[1]数据-取费表'!$B$41/(1+'[1]数据-取费表'!$C$42),0)</f>
        <v>0</v>
      </c>
      <c r="Y23" s="218">
        <f>ROUND(AC23*'[1]数据-取费表'!$B$51/(1+'[1]数据-取费表'!$C$42),0)</f>
        <v>0</v>
      </c>
      <c r="Z23" s="218">
        <f t="shared" si="3"/>
        <v>0</v>
      </c>
      <c r="AA23" s="218">
        <f t="shared" si="4"/>
        <v>0</v>
      </c>
      <c r="AB23" s="219">
        <f t="shared" si="24"/>
        <v>8.77</v>
      </c>
      <c r="AC23" s="218"/>
      <c r="AD23" s="218">
        <f t="shared" si="25"/>
        <v>0</v>
      </c>
      <c r="AE23" s="218">
        <f t="shared" si="26"/>
        <v>0</v>
      </c>
      <c r="AF23" s="225"/>
      <c r="AG23" s="218"/>
      <c r="AH23" s="226"/>
      <c r="AI23" s="218">
        <f t="shared" si="43"/>
        <v>-123.25</v>
      </c>
      <c r="AJ23" s="218">
        <f t="shared" si="6"/>
        <v>0</v>
      </c>
      <c r="AK23" s="224">
        <f t="shared" si="7"/>
        <v>0</v>
      </c>
      <c r="AL23" s="220">
        <f t="shared" si="8"/>
        <v>2.8</v>
      </c>
      <c r="AM23" s="218">
        <f t="shared" si="9"/>
        <v>0</v>
      </c>
      <c r="AN23" s="218">
        <f t="shared" si="10"/>
        <v>0</v>
      </c>
      <c r="AO23" s="218">
        <f t="shared" si="11"/>
        <v>0</v>
      </c>
      <c r="AP23" s="218">
        <f>ROUND(AV23*'[1]数据-取费表'!$B$41/(1+'[1]数据-取费表'!$B$42),0)</f>
        <v>0</v>
      </c>
      <c r="AQ23" s="218">
        <f>ROUND(AV23*'[1]数据-取费表'!B$51/(1+'[1]数据-取费表'!C$42),0)</f>
        <v>0</v>
      </c>
      <c r="AR23" s="218">
        <f t="shared" si="12"/>
        <v>0</v>
      </c>
      <c r="AS23" s="218">
        <f t="shared" si="27"/>
        <v>0</v>
      </c>
      <c r="AT23" s="223">
        <f t="shared" si="47"/>
        <v>8.77</v>
      </c>
      <c r="AU23" s="224">
        <f t="shared" si="28"/>
        <v>0.23</v>
      </c>
      <c r="AV23" s="218">
        <f t="shared" si="29"/>
        <v>0</v>
      </c>
      <c r="AW23" s="218">
        <f t="shared" si="30"/>
        <v>0</v>
      </c>
      <c r="AX23" s="218">
        <f t="shared" si="13"/>
        <v>0</v>
      </c>
      <c r="AY23" s="218">
        <f t="shared" si="44"/>
        <v>153.44</v>
      </c>
      <c r="AZ23" s="227">
        <f t="shared" si="45"/>
        <v>0</v>
      </c>
      <c r="BA23" s="227">
        <f t="shared" si="31"/>
        <v>0</v>
      </c>
      <c r="BB23" s="229">
        <f t="shared" si="16"/>
        <v>0</v>
      </c>
      <c r="BC23" s="229">
        <f t="shared" si="46"/>
        <v>0</v>
      </c>
      <c r="BD23" s="229">
        <f t="shared" si="33"/>
        <v>0</v>
      </c>
      <c r="BE23" s="227">
        <f t="shared" si="34"/>
        <v>0</v>
      </c>
      <c r="BF23" s="227">
        <f t="shared" si="35"/>
        <v>0</v>
      </c>
      <c r="BG23" s="227">
        <f t="shared" si="17"/>
        <v>0</v>
      </c>
      <c r="BH23" s="227">
        <f t="shared" si="18"/>
        <v>0</v>
      </c>
      <c r="BI23" s="227">
        <f>ROUND(BE23*'[1]数据-取费表'!$B$51/(1+'[1]数据-取费表'!$C$42),0)</f>
        <v>0</v>
      </c>
      <c r="BJ23" s="227">
        <f>ROUND(BG23*'[1]数据-取费表'!B$41/(1+'[1]数据-取费表'!C$42),0)</f>
        <v>0</v>
      </c>
      <c r="BK23" s="227">
        <f t="shared" si="19"/>
        <v>0</v>
      </c>
      <c r="BL23" s="227">
        <f t="shared" si="20"/>
        <v>0</v>
      </c>
      <c r="BM23" s="227">
        <f t="shared" si="36"/>
        <v>0</v>
      </c>
      <c r="BN23" s="228">
        <f t="shared" si="21"/>
        <v>0</v>
      </c>
      <c r="BO23" s="229"/>
      <c r="BP23" s="194"/>
      <c r="BQ23" s="194"/>
      <c r="BR23" s="194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</row>
    <row r="24" spans="1:85" s="87" customFormat="1" x14ac:dyDescent="0.2">
      <c r="A24" s="146">
        <v>7</v>
      </c>
      <c r="B24" s="125" t="s">
        <v>82</v>
      </c>
      <c r="C24" s="126" t="s">
        <v>85</v>
      </c>
      <c r="D24" s="127">
        <v>-108</v>
      </c>
      <c r="E24" s="127">
        <v>190.76</v>
      </c>
      <c r="F24" s="127" t="s">
        <v>86</v>
      </c>
      <c r="G24" s="127" t="s">
        <v>79</v>
      </c>
      <c r="H24" s="128">
        <v>56009</v>
      </c>
      <c r="I24" s="128">
        <v>44987</v>
      </c>
      <c r="J24" s="127">
        <f>IF(F24="商业",[1]项目基本情况!D$15,[1]项目基本情况!E$15)</f>
        <v>30.19</v>
      </c>
      <c r="K24" s="127" t="s">
        <v>84</v>
      </c>
      <c r="L24" s="218"/>
      <c r="M24" s="127">
        <v>-1</v>
      </c>
      <c r="N24" s="127" t="s">
        <v>79</v>
      </c>
      <c r="O24" s="127">
        <v>2008</v>
      </c>
      <c r="P24" s="218">
        <f t="shared" si="0"/>
        <v>0</v>
      </c>
      <c r="Q24" s="218">
        <f>ROUND(P24*'[1]数据-取费表'!B$52,0)</f>
        <v>0</v>
      </c>
      <c r="R24" s="218">
        <f t="shared" si="38"/>
        <v>0</v>
      </c>
      <c r="S24" s="218">
        <f t="shared" si="22"/>
        <v>0</v>
      </c>
      <c r="T24" s="220">
        <v>0.8</v>
      </c>
      <c r="U24" s="218">
        <f t="shared" si="39"/>
        <v>0</v>
      </c>
      <c r="V24" s="218">
        <f t="shared" si="2"/>
        <v>0</v>
      </c>
      <c r="W24" s="218">
        <f t="shared" si="23"/>
        <v>0</v>
      </c>
      <c r="X24" s="218">
        <f>ROUND(AC24*'[1]数据-取费表'!$B$41/(1+'[1]数据-取费表'!$C$42),0)</f>
        <v>0</v>
      </c>
      <c r="Y24" s="218">
        <f>ROUND(AC24*'[1]数据-取费表'!$B$51/(1+'[1]数据-取费表'!$C$42),0)</f>
        <v>0</v>
      </c>
      <c r="Z24" s="218">
        <f t="shared" si="3"/>
        <v>0</v>
      </c>
      <c r="AA24" s="218">
        <f t="shared" si="4"/>
        <v>0</v>
      </c>
      <c r="AB24" s="219">
        <f t="shared" si="24"/>
        <v>8.77</v>
      </c>
      <c r="AC24" s="218"/>
      <c r="AD24" s="218">
        <f t="shared" si="25"/>
        <v>0</v>
      </c>
      <c r="AE24" s="218">
        <f t="shared" si="26"/>
        <v>0</v>
      </c>
      <c r="AF24" s="225"/>
      <c r="AG24" s="218"/>
      <c r="AH24" s="226"/>
      <c r="AI24" s="218">
        <f t="shared" si="43"/>
        <v>-123.25</v>
      </c>
      <c r="AJ24" s="218">
        <f t="shared" si="6"/>
        <v>0</v>
      </c>
      <c r="AK24" s="224">
        <f t="shared" si="7"/>
        <v>0</v>
      </c>
      <c r="AL24" s="220">
        <f t="shared" si="8"/>
        <v>2.8</v>
      </c>
      <c r="AM24" s="218">
        <f t="shared" si="9"/>
        <v>0</v>
      </c>
      <c r="AN24" s="218">
        <f t="shared" si="10"/>
        <v>0</v>
      </c>
      <c r="AO24" s="218">
        <f t="shared" si="11"/>
        <v>0</v>
      </c>
      <c r="AP24" s="218">
        <f>ROUND(AV24*'[1]数据-取费表'!$B$41/(1+'[1]数据-取费表'!$B$42),0)</f>
        <v>0</v>
      </c>
      <c r="AQ24" s="218">
        <f>ROUND(AV24*'[1]数据-取费表'!B$51/(1+'[1]数据-取费表'!C$42),0)</f>
        <v>0</v>
      </c>
      <c r="AR24" s="218">
        <f t="shared" si="12"/>
        <v>0</v>
      </c>
      <c r="AS24" s="218">
        <f t="shared" si="27"/>
        <v>0</v>
      </c>
      <c r="AT24" s="223">
        <f t="shared" si="47"/>
        <v>8.77</v>
      </c>
      <c r="AU24" s="224">
        <f t="shared" si="28"/>
        <v>0.23</v>
      </c>
      <c r="AV24" s="218">
        <f t="shared" si="29"/>
        <v>0</v>
      </c>
      <c r="AW24" s="218">
        <f t="shared" si="30"/>
        <v>0</v>
      </c>
      <c r="AX24" s="218">
        <f t="shared" si="13"/>
        <v>0</v>
      </c>
      <c r="AY24" s="218">
        <f t="shared" si="44"/>
        <v>153.44</v>
      </c>
      <c r="AZ24" s="227">
        <f t="shared" si="45"/>
        <v>0</v>
      </c>
      <c r="BA24" s="227">
        <f t="shared" si="31"/>
        <v>0</v>
      </c>
      <c r="BB24" s="229">
        <f t="shared" si="16"/>
        <v>0</v>
      </c>
      <c r="BC24" s="229">
        <f t="shared" si="46"/>
        <v>0</v>
      </c>
      <c r="BD24" s="229">
        <f t="shared" si="33"/>
        <v>0</v>
      </c>
      <c r="BE24" s="227">
        <f t="shared" si="34"/>
        <v>0</v>
      </c>
      <c r="BF24" s="227">
        <f t="shared" si="35"/>
        <v>0</v>
      </c>
      <c r="BG24" s="227">
        <f t="shared" si="17"/>
        <v>0</v>
      </c>
      <c r="BH24" s="227">
        <f t="shared" si="18"/>
        <v>0</v>
      </c>
      <c r="BI24" s="227">
        <f>ROUND(BE24*'[1]数据-取费表'!$B$51/(1+'[1]数据-取费表'!$C$42),0)</f>
        <v>0</v>
      </c>
      <c r="BJ24" s="227">
        <f>ROUND(BG24*'[1]数据-取费表'!B$41/(1+'[1]数据-取费表'!C$42),0)</f>
        <v>0</v>
      </c>
      <c r="BK24" s="227">
        <f t="shared" si="19"/>
        <v>0</v>
      </c>
      <c r="BL24" s="227">
        <f t="shared" si="20"/>
        <v>0</v>
      </c>
      <c r="BM24" s="227">
        <f t="shared" si="36"/>
        <v>0</v>
      </c>
      <c r="BN24" s="228">
        <f t="shared" si="21"/>
        <v>0</v>
      </c>
      <c r="BO24" s="229"/>
      <c r="BP24" s="194"/>
      <c r="BQ24" s="194"/>
      <c r="BR24" s="194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</row>
    <row r="25" spans="1:85" s="87" customFormat="1" x14ac:dyDescent="0.2">
      <c r="A25" s="146">
        <v>8</v>
      </c>
      <c r="B25" s="125" t="s">
        <v>82</v>
      </c>
      <c r="C25" s="126" t="s">
        <v>85</v>
      </c>
      <c r="D25" s="127">
        <v>-109</v>
      </c>
      <c r="E25" s="127">
        <v>287.14</v>
      </c>
      <c r="F25" s="127" t="s">
        <v>86</v>
      </c>
      <c r="G25" s="127" t="s">
        <v>79</v>
      </c>
      <c r="H25" s="128">
        <v>56009</v>
      </c>
      <c r="I25" s="128">
        <v>44987</v>
      </c>
      <c r="J25" s="127">
        <f>IF(F25="商业",[1]项目基本情况!D$15,[1]项目基本情况!E$15)</f>
        <v>30.19</v>
      </c>
      <c r="K25" s="127" t="s">
        <v>84</v>
      </c>
      <c r="L25" s="218"/>
      <c r="M25" s="127">
        <v>-1</v>
      </c>
      <c r="N25" s="127" t="s">
        <v>79</v>
      </c>
      <c r="O25" s="127">
        <v>2008</v>
      </c>
      <c r="P25" s="218">
        <f t="shared" si="0"/>
        <v>0</v>
      </c>
      <c r="Q25" s="218">
        <f>ROUND(P25*'[1]数据-取费表'!B$52,0)</f>
        <v>0</v>
      </c>
      <c r="R25" s="218">
        <f t="shared" si="38"/>
        <v>0</v>
      </c>
      <c r="S25" s="218">
        <f t="shared" si="22"/>
        <v>0</v>
      </c>
      <c r="T25" s="220">
        <v>0.8</v>
      </c>
      <c r="U25" s="218">
        <f t="shared" si="39"/>
        <v>0</v>
      </c>
      <c r="V25" s="218">
        <f t="shared" si="2"/>
        <v>0</v>
      </c>
      <c r="W25" s="218">
        <f t="shared" si="23"/>
        <v>0</v>
      </c>
      <c r="X25" s="218">
        <f>ROUND(AC25*'[1]数据-取费表'!$B$41/(1+'[1]数据-取费表'!$C$42),0)</f>
        <v>0</v>
      </c>
      <c r="Y25" s="218">
        <f>ROUND(AC25*'[1]数据-取费表'!$B$51/(1+'[1]数据-取费表'!$C$42),0)</f>
        <v>0</v>
      </c>
      <c r="Z25" s="218">
        <f t="shared" si="3"/>
        <v>0</v>
      </c>
      <c r="AA25" s="218">
        <f t="shared" si="4"/>
        <v>0</v>
      </c>
      <c r="AB25" s="219">
        <f t="shared" si="24"/>
        <v>8.77</v>
      </c>
      <c r="AC25" s="218"/>
      <c r="AD25" s="218">
        <f t="shared" si="25"/>
        <v>0</v>
      </c>
      <c r="AE25" s="218">
        <f t="shared" si="26"/>
        <v>0</v>
      </c>
      <c r="AF25" s="225"/>
      <c r="AG25" s="218"/>
      <c r="AH25" s="226"/>
      <c r="AI25" s="218">
        <f t="shared" si="43"/>
        <v>-123.25</v>
      </c>
      <c r="AJ25" s="218">
        <f t="shared" si="6"/>
        <v>0</v>
      </c>
      <c r="AK25" s="224">
        <f t="shared" si="7"/>
        <v>0</v>
      </c>
      <c r="AL25" s="220">
        <f t="shared" si="8"/>
        <v>2.8</v>
      </c>
      <c r="AM25" s="218">
        <f t="shared" si="9"/>
        <v>0</v>
      </c>
      <c r="AN25" s="218">
        <f t="shared" si="10"/>
        <v>0</v>
      </c>
      <c r="AO25" s="218">
        <f t="shared" si="11"/>
        <v>0</v>
      </c>
      <c r="AP25" s="218">
        <f>ROUND(AV25*'[1]数据-取费表'!$B$41/(1+'[1]数据-取费表'!$B$42),0)</f>
        <v>0</v>
      </c>
      <c r="AQ25" s="218">
        <f>ROUND(AV25*'[1]数据-取费表'!B$51/(1+'[1]数据-取费表'!C$42),0)</f>
        <v>0</v>
      </c>
      <c r="AR25" s="218">
        <f t="shared" si="12"/>
        <v>0</v>
      </c>
      <c r="AS25" s="218">
        <f t="shared" si="27"/>
        <v>0</v>
      </c>
      <c r="AT25" s="223">
        <f t="shared" si="47"/>
        <v>8.77</v>
      </c>
      <c r="AU25" s="224">
        <f t="shared" si="28"/>
        <v>0.23</v>
      </c>
      <c r="AV25" s="218">
        <f t="shared" si="29"/>
        <v>0</v>
      </c>
      <c r="AW25" s="218">
        <f t="shared" si="30"/>
        <v>0</v>
      </c>
      <c r="AX25" s="218">
        <f t="shared" si="13"/>
        <v>0</v>
      </c>
      <c r="AY25" s="218">
        <f t="shared" si="44"/>
        <v>153.44</v>
      </c>
      <c r="AZ25" s="227">
        <f t="shared" si="45"/>
        <v>0</v>
      </c>
      <c r="BA25" s="227">
        <f t="shared" si="31"/>
        <v>0</v>
      </c>
      <c r="BB25" s="229">
        <f t="shared" si="16"/>
        <v>0</v>
      </c>
      <c r="BC25" s="229">
        <f t="shared" si="46"/>
        <v>0</v>
      </c>
      <c r="BD25" s="229">
        <f t="shared" si="33"/>
        <v>0</v>
      </c>
      <c r="BE25" s="227">
        <f t="shared" si="34"/>
        <v>0</v>
      </c>
      <c r="BF25" s="227">
        <f t="shared" si="35"/>
        <v>0</v>
      </c>
      <c r="BG25" s="227">
        <f t="shared" si="17"/>
        <v>0</v>
      </c>
      <c r="BH25" s="227">
        <f t="shared" si="18"/>
        <v>0</v>
      </c>
      <c r="BI25" s="227">
        <f>ROUND(BE25*'[1]数据-取费表'!$B$51/(1+'[1]数据-取费表'!$C$42),0)</f>
        <v>0</v>
      </c>
      <c r="BJ25" s="227">
        <f>ROUND(BG25*'[1]数据-取费表'!B$41/(1+'[1]数据-取费表'!C$42),0)</f>
        <v>0</v>
      </c>
      <c r="BK25" s="227">
        <f t="shared" si="19"/>
        <v>0</v>
      </c>
      <c r="BL25" s="227">
        <f t="shared" si="20"/>
        <v>0</v>
      </c>
      <c r="BM25" s="227">
        <f t="shared" si="36"/>
        <v>0</v>
      </c>
      <c r="BN25" s="228">
        <f t="shared" si="21"/>
        <v>0</v>
      </c>
      <c r="BO25" s="229"/>
      <c r="BP25" s="194"/>
      <c r="BQ25" s="194"/>
      <c r="BR25" s="194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</row>
    <row r="26" spans="1:85" s="88" customFormat="1" ht="12.75" customHeight="1" x14ac:dyDescent="0.2">
      <c r="A26" s="146">
        <v>9</v>
      </c>
      <c r="B26" s="141" t="s">
        <v>82</v>
      </c>
      <c r="C26" s="142" t="s">
        <v>85</v>
      </c>
      <c r="D26" s="143">
        <v>102</v>
      </c>
      <c r="E26" s="143">
        <v>155.69</v>
      </c>
      <c r="F26" s="143" t="s">
        <v>87</v>
      </c>
      <c r="G26" s="143" t="s">
        <v>75</v>
      </c>
      <c r="H26" s="144">
        <v>52356</v>
      </c>
      <c r="I26" s="144">
        <v>44987</v>
      </c>
      <c r="J26" s="143">
        <f>IF(F26="商业",[1]项目基本情况!D$15,[1]项目基本情况!E$15)</f>
        <v>20.18</v>
      </c>
      <c r="K26" s="143" t="s">
        <v>84</v>
      </c>
      <c r="L26" s="230">
        <f>SUM(E26:E29)</f>
        <v>720.32</v>
      </c>
      <c r="M26" s="143">
        <v>1</v>
      </c>
      <c r="N26" s="143" t="s">
        <v>10</v>
      </c>
      <c r="O26" s="143">
        <v>2008</v>
      </c>
      <c r="P26" s="230">
        <f t="shared" si="0"/>
        <v>134.63999999999999</v>
      </c>
      <c r="Q26" s="230">
        <f>ROUND(P26*'[1]数据-取费表'!B$52,0)</f>
        <v>4039</v>
      </c>
      <c r="R26" s="230">
        <f>ROUND(L26*O$2,0)</f>
        <v>8507426</v>
      </c>
      <c r="S26" s="230">
        <f t="shared" si="22"/>
        <v>127611</v>
      </c>
      <c r="T26" s="233">
        <v>0.8</v>
      </c>
      <c r="U26" s="230">
        <f t="shared" si="39"/>
        <v>6805941</v>
      </c>
      <c r="V26" s="230">
        <f t="shared" si="2"/>
        <v>6806</v>
      </c>
      <c r="W26" s="230">
        <f t="shared" si="23"/>
        <v>23967</v>
      </c>
      <c r="X26" s="230">
        <f>ROUND(AC26*'[1]数据-取费表'!$B$41/(1+'[1]数据-取费表'!$C$42),0)</f>
        <v>254694</v>
      </c>
      <c r="Y26" s="230">
        <f>ROUND(AC26*'[1]数据-取费表'!$B$51/(1+'[1]数据-取费表'!$C$42),0)</f>
        <v>545772</v>
      </c>
      <c r="Z26" s="230">
        <f t="shared" si="3"/>
        <v>804505</v>
      </c>
      <c r="AA26" s="230">
        <f t="shared" si="4"/>
        <v>962889</v>
      </c>
      <c r="AB26" s="231">
        <f>AC26/365/L26</f>
        <v>18.163567333848579</v>
      </c>
      <c r="AC26" s="230">
        <v>4775507</v>
      </c>
      <c r="AD26" s="230">
        <f t="shared" si="25"/>
        <v>17908</v>
      </c>
      <c r="AE26" s="230">
        <f t="shared" si="26"/>
        <v>4793415</v>
      </c>
      <c r="AF26" s="232">
        <v>0</v>
      </c>
      <c r="AG26" s="230"/>
      <c r="AH26" s="236">
        <v>45322</v>
      </c>
      <c r="AI26" s="230">
        <f t="shared" si="43"/>
        <v>0.91</v>
      </c>
      <c r="AJ26" s="230">
        <f t="shared" si="6"/>
        <v>3830526</v>
      </c>
      <c r="AK26" s="235">
        <f t="shared" si="7"/>
        <v>3311958</v>
      </c>
      <c r="AL26" s="233">
        <f t="shared" si="8"/>
        <v>0.73</v>
      </c>
      <c r="AM26" s="230">
        <f t="shared" si="9"/>
        <v>6210421</v>
      </c>
      <c r="AN26" s="230">
        <f t="shared" si="10"/>
        <v>6210</v>
      </c>
      <c r="AO26" s="230">
        <f t="shared" si="11"/>
        <v>22564</v>
      </c>
      <c r="AP26" s="230">
        <f>ROUND(AV26*'[1]数据-取费表'!$B$41/(1+'[1]数据-取费表'!$B$42),0)</f>
        <v>239780</v>
      </c>
      <c r="AQ26" s="230">
        <f>ROUND(AV26*'[1]数据-取费表'!B$51/(1+'[1]数据-取费表'!C$42),0)</f>
        <v>513815</v>
      </c>
      <c r="AR26" s="230">
        <f t="shared" si="12"/>
        <v>757634</v>
      </c>
      <c r="AS26" s="230">
        <f t="shared" si="27"/>
        <v>914019</v>
      </c>
      <c r="AT26" s="234">
        <f>'[1]比较法-商业1层'!C49</f>
        <v>18.5</v>
      </c>
      <c r="AU26" s="235">
        <f t="shared" si="28"/>
        <v>19</v>
      </c>
      <c r="AV26" s="230">
        <f t="shared" si="29"/>
        <v>4495877</v>
      </c>
      <c r="AW26" s="230">
        <f t="shared" si="30"/>
        <v>16860</v>
      </c>
      <c r="AX26" s="230">
        <f t="shared" si="13"/>
        <v>4512737</v>
      </c>
      <c r="AY26" s="230">
        <f t="shared" si="44"/>
        <v>19.27</v>
      </c>
      <c r="AZ26" s="237">
        <f t="shared" si="45"/>
        <v>3598718</v>
      </c>
      <c r="BA26" s="237">
        <f t="shared" si="31"/>
        <v>53269823</v>
      </c>
      <c r="BB26" s="239">
        <f t="shared" si="16"/>
        <v>50736618</v>
      </c>
      <c r="BC26" s="239">
        <f>ROUND(R$2*L26,0)</f>
        <v>988279</v>
      </c>
      <c r="BD26" s="239">
        <f t="shared" si="33"/>
        <v>5503.69</v>
      </c>
      <c r="BE26" s="237">
        <f t="shared" si="34"/>
        <v>4377565</v>
      </c>
      <c r="BF26" s="237">
        <f t="shared" si="35"/>
        <v>16416</v>
      </c>
      <c r="BG26" s="237">
        <f t="shared" si="17"/>
        <v>4393981</v>
      </c>
      <c r="BH26" s="237">
        <f t="shared" si="18"/>
        <v>21970</v>
      </c>
      <c r="BI26" s="237">
        <f>ROUND(BE26*'[1]数据-取费表'!$B$51/(1+'[1]数据-取费表'!$C$42),0)</f>
        <v>500293</v>
      </c>
      <c r="BJ26" s="237">
        <f>ROUND(BG26*'[1]数据-取费表'!B$41/(1+'[1]数据-取费表'!C$42),0)</f>
        <v>234346</v>
      </c>
      <c r="BK26" s="237">
        <f t="shared" si="19"/>
        <v>895065</v>
      </c>
      <c r="BL26" s="237">
        <f t="shared" si="20"/>
        <v>3498916</v>
      </c>
      <c r="BM26" s="237">
        <f t="shared" si="36"/>
        <v>3021269</v>
      </c>
      <c r="BN26" s="238">
        <v>0</v>
      </c>
      <c r="BO26" s="239">
        <f>BD26/$BD$234*$BS$3</f>
        <v>7645.3188245952006</v>
      </c>
      <c r="BP26" s="239">
        <f>BO26</f>
        <v>7645.3188245952006</v>
      </c>
      <c r="BQ26" s="239">
        <f>ROUND(BP26*10000/L26,0)</f>
        <v>106138</v>
      </c>
      <c r="BR26" s="195" t="s">
        <v>123</v>
      </c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</row>
    <row r="27" spans="1:85" s="88" customFormat="1" x14ac:dyDescent="0.2">
      <c r="A27" s="146">
        <v>10</v>
      </c>
      <c r="B27" s="141" t="s">
        <v>82</v>
      </c>
      <c r="C27" s="142" t="s">
        <v>85</v>
      </c>
      <c r="D27" s="143">
        <v>103</v>
      </c>
      <c r="E27" s="143">
        <v>198.17</v>
      </c>
      <c r="F27" s="143" t="s">
        <v>87</v>
      </c>
      <c r="G27" s="143" t="s">
        <v>75</v>
      </c>
      <c r="H27" s="144">
        <v>52356</v>
      </c>
      <c r="I27" s="144">
        <v>44987</v>
      </c>
      <c r="J27" s="143">
        <f>IF(F27="商业",[1]项目基本情况!D$15,[1]项目基本情况!E$15)</f>
        <v>20.18</v>
      </c>
      <c r="K27" s="143" t="s">
        <v>84</v>
      </c>
      <c r="L27" s="230"/>
      <c r="M27" s="143" t="s">
        <v>88</v>
      </c>
      <c r="N27" s="143" t="s">
        <v>10</v>
      </c>
      <c r="O27" s="143">
        <v>2008</v>
      </c>
      <c r="P27" s="230">
        <f t="shared" si="0"/>
        <v>0</v>
      </c>
      <c r="Q27" s="230">
        <f>ROUND(P27*'[1]数据-取费表'!B$52,0)</f>
        <v>0</v>
      </c>
      <c r="R27" s="230">
        <f t="shared" si="38"/>
        <v>0</v>
      </c>
      <c r="S27" s="230">
        <f t="shared" si="22"/>
        <v>0</v>
      </c>
      <c r="T27" s="233">
        <v>0.8</v>
      </c>
      <c r="U27" s="230">
        <f t="shared" si="39"/>
        <v>0</v>
      </c>
      <c r="V27" s="230">
        <f t="shared" si="2"/>
        <v>0</v>
      </c>
      <c r="W27" s="230">
        <f t="shared" si="23"/>
        <v>0</v>
      </c>
      <c r="X27" s="230">
        <f>ROUND(AC27*'[1]数据-取费表'!$B$41/(1+'[1]数据-取费表'!$C$42),0)</f>
        <v>0</v>
      </c>
      <c r="Y27" s="230">
        <f>ROUND(AC27*'[1]数据-取费表'!$B$51/(1+'[1]数据-取费表'!$C$42),0)</f>
        <v>0</v>
      </c>
      <c r="Z27" s="230">
        <f t="shared" si="3"/>
        <v>0</v>
      </c>
      <c r="AA27" s="230">
        <f t="shared" si="4"/>
        <v>0</v>
      </c>
      <c r="AB27" s="231">
        <f t="shared" si="24"/>
        <v>8.43</v>
      </c>
      <c r="AC27" s="230"/>
      <c r="AD27" s="230">
        <f t="shared" si="25"/>
        <v>0</v>
      </c>
      <c r="AE27" s="230">
        <f t="shared" si="26"/>
        <v>0</v>
      </c>
      <c r="AF27" s="232"/>
      <c r="AG27" s="230"/>
      <c r="AH27" s="236"/>
      <c r="AI27" s="230">
        <f t="shared" si="43"/>
        <v>-123.25</v>
      </c>
      <c r="AJ27" s="230">
        <f t="shared" si="6"/>
        <v>0</v>
      </c>
      <c r="AK27" s="235">
        <f t="shared" si="7"/>
        <v>0</v>
      </c>
      <c r="AL27" s="233">
        <f t="shared" si="8"/>
        <v>2.8</v>
      </c>
      <c r="AM27" s="230">
        <f t="shared" si="9"/>
        <v>0</v>
      </c>
      <c r="AN27" s="230">
        <f t="shared" si="10"/>
        <v>0</v>
      </c>
      <c r="AO27" s="230">
        <f t="shared" si="11"/>
        <v>0</v>
      </c>
      <c r="AP27" s="230">
        <f>ROUND(AV27*'[1]数据-取费表'!$B$41/(1+'[1]数据-取费表'!$B$42),0)</f>
        <v>0</v>
      </c>
      <c r="AQ27" s="230">
        <f>ROUND(AV27*'[1]数据-取费表'!B$51/(1+'[1]数据-取费表'!C$42),0)</f>
        <v>0</v>
      </c>
      <c r="AR27" s="230">
        <f t="shared" si="12"/>
        <v>0</v>
      </c>
      <c r="AS27" s="230">
        <f t="shared" si="27"/>
        <v>0</v>
      </c>
      <c r="AT27" s="234">
        <f t="shared" si="47"/>
        <v>8.43</v>
      </c>
      <c r="AU27" s="235">
        <f t="shared" si="28"/>
        <v>0.22</v>
      </c>
      <c r="AV27" s="230">
        <f t="shared" si="29"/>
        <v>0</v>
      </c>
      <c r="AW27" s="230">
        <f t="shared" si="30"/>
        <v>0</v>
      </c>
      <c r="AX27" s="230">
        <f t="shared" si="13"/>
        <v>0</v>
      </c>
      <c r="AY27" s="230">
        <f t="shared" si="44"/>
        <v>143.43</v>
      </c>
      <c r="AZ27" s="237">
        <f t="shared" si="45"/>
        <v>0</v>
      </c>
      <c r="BA27" s="237">
        <f t="shared" si="31"/>
        <v>0</v>
      </c>
      <c r="BB27" s="239">
        <f t="shared" si="16"/>
        <v>0</v>
      </c>
      <c r="BC27" s="239">
        <f t="shared" ref="BC27:BC36" si="48">ROUND(R$2*L27,0)</f>
        <v>0</v>
      </c>
      <c r="BD27" s="239">
        <f t="shared" si="33"/>
        <v>0</v>
      </c>
      <c r="BE27" s="237">
        <f t="shared" si="34"/>
        <v>0</v>
      </c>
      <c r="BF27" s="237">
        <f t="shared" si="35"/>
        <v>0</v>
      </c>
      <c r="BG27" s="237">
        <f t="shared" si="17"/>
        <v>0</v>
      </c>
      <c r="BH27" s="237">
        <f t="shared" si="18"/>
        <v>0</v>
      </c>
      <c r="BI27" s="237">
        <f>ROUND(BE27*'[1]数据-取费表'!$B$51/(1+'[1]数据-取费表'!$C$42),0)</f>
        <v>0</v>
      </c>
      <c r="BJ27" s="237">
        <f>ROUND(BG27*'[1]数据-取费表'!B$41/(1+'[1]数据-取费表'!C$42),0)</f>
        <v>0</v>
      </c>
      <c r="BK27" s="237">
        <f t="shared" si="19"/>
        <v>0</v>
      </c>
      <c r="BL27" s="237">
        <f t="shared" si="20"/>
        <v>0</v>
      </c>
      <c r="BM27" s="237">
        <f t="shared" si="36"/>
        <v>0</v>
      </c>
      <c r="BN27" s="238">
        <f t="shared" si="21"/>
        <v>0</v>
      </c>
      <c r="BO27" s="239"/>
      <c r="BP27" s="239"/>
      <c r="BQ27" s="239"/>
      <c r="BR27" s="195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</row>
    <row r="28" spans="1:85" s="88" customFormat="1" x14ac:dyDescent="0.2">
      <c r="A28" s="146">
        <v>11</v>
      </c>
      <c r="B28" s="141" t="s">
        <v>82</v>
      </c>
      <c r="C28" s="142" t="s">
        <v>85</v>
      </c>
      <c r="D28" s="143">
        <v>105</v>
      </c>
      <c r="E28" s="143">
        <v>177.57</v>
      </c>
      <c r="F28" s="143" t="s">
        <v>87</v>
      </c>
      <c r="G28" s="143" t="s">
        <v>75</v>
      </c>
      <c r="H28" s="144">
        <v>52356</v>
      </c>
      <c r="I28" s="144">
        <v>44987</v>
      </c>
      <c r="J28" s="143">
        <f>IF(F28="商业",[1]项目基本情况!D$15,[1]项目基本情况!E$15)</f>
        <v>20.18</v>
      </c>
      <c r="K28" s="143" t="s">
        <v>84</v>
      </c>
      <c r="L28" s="230"/>
      <c r="M28" s="143" t="s">
        <v>88</v>
      </c>
      <c r="N28" s="143" t="s">
        <v>10</v>
      </c>
      <c r="O28" s="143">
        <v>2008</v>
      </c>
      <c r="P28" s="230">
        <f t="shared" si="0"/>
        <v>0</v>
      </c>
      <c r="Q28" s="230">
        <f>ROUND(P28*'[1]数据-取费表'!B$52,0)</f>
        <v>0</v>
      </c>
      <c r="R28" s="230">
        <f t="shared" si="38"/>
        <v>0</v>
      </c>
      <c r="S28" s="230">
        <f t="shared" si="22"/>
        <v>0</v>
      </c>
      <c r="T28" s="233">
        <v>0.8</v>
      </c>
      <c r="U28" s="230">
        <f t="shared" si="39"/>
        <v>0</v>
      </c>
      <c r="V28" s="230">
        <f t="shared" si="2"/>
        <v>0</v>
      </c>
      <c r="W28" s="230">
        <f t="shared" si="23"/>
        <v>0</v>
      </c>
      <c r="X28" s="230">
        <f>ROUND(AC28*'[1]数据-取费表'!$B$41/(1+'[1]数据-取费表'!$C$42),0)</f>
        <v>0</v>
      </c>
      <c r="Y28" s="230">
        <f>ROUND(AC28*'[1]数据-取费表'!$B$51/(1+'[1]数据-取费表'!$C$42),0)</f>
        <v>0</v>
      </c>
      <c r="Z28" s="230">
        <f t="shared" si="3"/>
        <v>0</v>
      </c>
      <c r="AA28" s="230">
        <f t="shared" si="4"/>
        <v>0</v>
      </c>
      <c r="AB28" s="231">
        <f t="shared" si="24"/>
        <v>8.43</v>
      </c>
      <c r="AC28" s="230"/>
      <c r="AD28" s="230">
        <f t="shared" si="25"/>
        <v>0</v>
      </c>
      <c r="AE28" s="230">
        <f t="shared" si="26"/>
        <v>0</v>
      </c>
      <c r="AF28" s="232"/>
      <c r="AG28" s="230"/>
      <c r="AH28" s="236"/>
      <c r="AI28" s="230">
        <f t="shared" si="43"/>
        <v>-123.25</v>
      </c>
      <c r="AJ28" s="230">
        <f t="shared" si="6"/>
        <v>0</v>
      </c>
      <c r="AK28" s="235">
        <f t="shared" si="7"/>
        <v>0</v>
      </c>
      <c r="AL28" s="233">
        <f t="shared" si="8"/>
        <v>2.8</v>
      </c>
      <c r="AM28" s="230">
        <f t="shared" si="9"/>
        <v>0</v>
      </c>
      <c r="AN28" s="230">
        <f t="shared" si="10"/>
        <v>0</v>
      </c>
      <c r="AO28" s="230">
        <f t="shared" si="11"/>
        <v>0</v>
      </c>
      <c r="AP28" s="230">
        <f>ROUND(AV28*'[1]数据-取费表'!$B$41/(1+'[1]数据-取费表'!$B$42),0)</f>
        <v>0</v>
      </c>
      <c r="AQ28" s="230">
        <f>ROUND(AV28*'[1]数据-取费表'!B$51/(1+'[1]数据-取费表'!C$42),0)</f>
        <v>0</v>
      </c>
      <c r="AR28" s="230">
        <f t="shared" si="12"/>
        <v>0</v>
      </c>
      <c r="AS28" s="230">
        <f t="shared" si="27"/>
        <v>0</v>
      </c>
      <c r="AT28" s="234">
        <f t="shared" si="47"/>
        <v>8.43</v>
      </c>
      <c r="AU28" s="235">
        <f t="shared" si="28"/>
        <v>0.22</v>
      </c>
      <c r="AV28" s="230">
        <f t="shared" si="29"/>
        <v>0</v>
      </c>
      <c r="AW28" s="230">
        <f t="shared" si="30"/>
        <v>0</v>
      </c>
      <c r="AX28" s="230">
        <f t="shared" si="13"/>
        <v>0</v>
      </c>
      <c r="AY28" s="230">
        <f t="shared" si="44"/>
        <v>143.43</v>
      </c>
      <c r="AZ28" s="237">
        <f t="shared" si="45"/>
        <v>0</v>
      </c>
      <c r="BA28" s="237">
        <f t="shared" si="31"/>
        <v>0</v>
      </c>
      <c r="BB28" s="239">
        <f t="shared" si="16"/>
        <v>0</v>
      </c>
      <c r="BC28" s="239">
        <f t="shared" si="48"/>
        <v>0</v>
      </c>
      <c r="BD28" s="239">
        <f t="shared" si="33"/>
        <v>0</v>
      </c>
      <c r="BE28" s="237">
        <f t="shared" si="34"/>
        <v>0</v>
      </c>
      <c r="BF28" s="237">
        <f t="shared" si="35"/>
        <v>0</v>
      </c>
      <c r="BG28" s="237">
        <f t="shared" si="17"/>
        <v>0</v>
      </c>
      <c r="BH28" s="237">
        <f t="shared" si="18"/>
        <v>0</v>
      </c>
      <c r="BI28" s="237">
        <f>ROUND(BE28*'[1]数据-取费表'!$B$51/(1+'[1]数据-取费表'!$C$42),0)</f>
        <v>0</v>
      </c>
      <c r="BJ28" s="237">
        <f>ROUND(BG28*'[1]数据-取费表'!B$41/(1+'[1]数据-取费表'!C$42),0)</f>
        <v>0</v>
      </c>
      <c r="BK28" s="237">
        <f t="shared" si="19"/>
        <v>0</v>
      </c>
      <c r="BL28" s="237">
        <f t="shared" si="20"/>
        <v>0</v>
      </c>
      <c r="BM28" s="237">
        <f t="shared" si="36"/>
        <v>0</v>
      </c>
      <c r="BN28" s="238">
        <f t="shared" si="21"/>
        <v>0</v>
      </c>
      <c r="BO28" s="239"/>
      <c r="BP28" s="239"/>
      <c r="BQ28" s="239"/>
      <c r="BR28" s="195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</row>
    <row r="29" spans="1:85" s="88" customFormat="1" x14ac:dyDescent="0.2">
      <c r="A29" s="146">
        <v>12</v>
      </c>
      <c r="B29" s="141" t="s">
        <v>82</v>
      </c>
      <c r="C29" s="142" t="s">
        <v>85</v>
      </c>
      <c r="D29" s="143">
        <v>106</v>
      </c>
      <c r="E29" s="143">
        <v>188.89</v>
      </c>
      <c r="F29" s="143" t="s">
        <v>87</v>
      </c>
      <c r="G29" s="143" t="s">
        <v>75</v>
      </c>
      <c r="H29" s="144">
        <v>52356</v>
      </c>
      <c r="I29" s="144">
        <v>44987</v>
      </c>
      <c r="J29" s="143">
        <f>IF(F29="商业",[1]项目基本情况!D$15,[1]项目基本情况!E$15)</f>
        <v>20.18</v>
      </c>
      <c r="K29" s="143" t="s">
        <v>84</v>
      </c>
      <c r="L29" s="230"/>
      <c r="M29" s="143" t="s">
        <v>88</v>
      </c>
      <c r="N29" s="143" t="s">
        <v>10</v>
      </c>
      <c r="O29" s="143">
        <v>2008</v>
      </c>
      <c r="P29" s="230">
        <f t="shared" si="0"/>
        <v>0</v>
      </c>
      <c r="Q29" s="230">
        <f>ROUND(P29*'[1]数据-取费表'!B$52,0)</f>
        <v>0</v>
      </c>
      <c r="R29" s="230">
        <f t="shared" si="38"/>
        <v>0</v>
      </c>
      <c r="S29" s="230">
        <f t="shared" si="22"/>
        <v>0</v>
      </c>
      <c r="T29" s="233">
        <v>0.8</v>
      </c>
      <c r="U29" s="230">
        <f t="shared" si="39"/>
        <v>0</v>
      </c>
      <c r="V29" s="230">
        <f t="shared" si="2"/>
        <v>0</v>
      </c>
      <c r="W29" s="230">
        <f t="shared" si="23"/>
        <v>0</v>
      </c>
      <c r="X29" s="230">
        <f>ROUND(AC29*'[1]数据-取费表'!$B$41/(1+'[1]数据-取费表'!$C$42),0)</f>
        <v>0</v>
      </c>
      <c r="Y29" s="230">
        <f>ROUND(AC29*'[1]数据-取费表'!$B$51/(1+'[1]数据-取费表'!$C$42),0)</f>
        <v>0</v>
      </c>
      <c r="Z29" s="230">
        <f t="shared" si="3"/>
        <v>0</v>
      </c>
      <c r="AA29" s="230">
        <f t="shared" si="4"/>
        <v>0</v>
      </c>
      <c r="AB29" s="231">
        <f t="shared" si="24"/>
        <v>8.43</v>
      </c>
      <c r="AC29" s="230"/>
      <c r="AD29" s="230">
        <f t="shared" si="25"/>
        <v>0</v>
      </c>
      <c r="AE29" s="230">
        <f t="shared" si="26"/>
        <v>0</v>
      </c>
      <c r="AF29" s="232"/>
      <c r="AG29" s="230"/>
      <c r="AH29" s="236"/>
      <c r="AI29" s="230">
        <f t="shared" si="43"/>
        <v>-123.25</v>
      </c>
      <c r="AJ29" s="230">
        <f t="shared" si="6"/>
        <v>0</v>
      </c>
      <c r="AK29" s="235">
        <f t="shared" si="7"/>
        <v>0</v>
      </c>
      <c r="AL29" s="233">
        <f t="shared" si="8"/>
        <v>2.8</v>
      </c>
      <c r="AM29" s="230">
        <f t="shared" si="9"/>
        <v>0</v>
      </c>
      <c r="AN29" s="230">
        <f t="shared" si="10"/>
        <v>0</v>
      </c>
      <c r="AO29" s="230">
        <f t="shared" si="11"/>
        <v>0</v>
      </c>
      <c r="AP29" s="230">
        <f>ROUND(AV29*'[1]数据-取费表'!$B$41/(1+'[1]数据-取费表'!$B$42),0)</f>
        <v>0</v>
      </c>
      <c r="AQ29" s="230">
        <f>ROUND(AV29*'[1]数据-取费表'!B$51/(1+'[1]数据-取费表'!C$42),0)</f>
        <v>0</v>
      </c>
      <c r="AR29" s="230">
        <f t="shared" si="12"/>
        <v>0</v>
      </c>
      <c r="AS29" s="230">
        <f t="shared" si="27"/>
        <v>0</v>
      </c>
      <c r="AT29" s="234">
        <f t="shared" si="47"/>
        <v>8.43</v>
      </c>
      <c r="AU29" s="235">
        <f t="shared" si="28"/>
        <v>0.22</v>
      </c>
      <c r="AV29" s="230">
        <f t="shared" si="29"/>
        <v>0</v>
      </c>
      <c r="AW29" s="230">
        <f t="shared" si="30"/>
        <v>0</v>
      </c>
      <c r="AX29" s="230">
        <f t="shared" si="13"/>
        <v>0</v>
      </c>
      <c r="AY29" s="230">
        <f t="shared" si="44"/>
        <v>143.43</v>
      </c>
      <c r="AZ29" s="237">
        <f t="shared" si="45"/>
        <v>0</v>
      </c>
      <c r="BA29" s="237">
        <f t="shared" si="31"/>
        <v>0</v>
      </c>
      <c r="BB29" s="239">
        <f t="shared" si="16"/>
        <v>0</v>
      </c>
      <c r="BC29" s="239">
        <f t="shared" si="48"/>
        <v>0</v>
      </c>
      <c r="BD29" s="239">
        <f t="shared" si="33"/>
        <v>0</v>
      </c>
      <c r="BE29" s="237">
        <f t="shared" si="34"/>
        <v>0</v>
      </c>
      <c r="BF29" s="237">
        <f t="shared" si="35"/>
        <v>0</v>
      </c>
      <c r="BG29" s="237">
        <f t="shared" si="17"/>
        <v>0</v>
      </c>
      <c r="BH29" s="237">
        <f t="shared" si="18"/>
        <v>0</v>
      </c>
      <c r="BI29" s="237">
        <f>ROUND(BE29*'[1]数据-取费表'!$B$51/(1+'[1]数据-取费表'!$C$42),0)</f>
        <v>0</v>
      </c>
      <c r="BJ29" s="237">
        <f>ROUND(BG29*'[1]数据-取费表'!B$41/(1+'[1]数据-取费表'!C$42),0)</f>
        <v>0</v>
      </c>
      <c r="BK29" s="237">
        <f t="shared" si="19"/>
        <v>0</v>
      </c>
      <c r="BL29" s="237">
        <f t="shared" si="20"/>
        <v>0</v>
      </c>
      <c r="BM29" s="237">
        <f t="shared" si="36"/>
        <v>0</v>
      </c>
      <c r="BN29" s="238">
        <f t="shared" si="21"/>
        <v>0</v>
      </c>
      <c r="BO29" s="239"/>
      <c r="BP29" s="239"/>
      <c r="BQ29" s="239"/>
      <c r="BR29" s="195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</row>
    <row r="30" spans="1:85" s="88" customFormat="1" ht="12.75" customHeight="1" x14ac:dyDescent="0.2">
      <c r="A30" s="146">
        <v>13</v>
      </c>
      <c r="B30" s="125" t="s">
        <v>82</v>
      </c>
      <c r="C30" s="126" t="s">
        <v>85</v>
      </c>
      <c r="D30" s="127">
        <v>101</v>
      </c>
      <c r="E30" s="127">
        <v>109.14</v>
      </c>
      <c r="F30" s="127" t="s">
        <v>87</v>
      </c>
      <c r="G30" s="127" t="s">
        <v>75</v>
      </c>
      <c r="H30" s="128">
        <v>52356</v>
      </c>
      <c r="I30" s="128">
        <v>44987</v>
      </c>
      <c r="J30" s="127">
        <f>IF(F30="商业",[1]项目基本情况!D$15,[1]项目基本情况!E$15)</f>
        <v>20.18</v>
      </c>
      <c r="K30" s="127" t="s">
        <v>84</v>
      </c>
      <c r="L30" s="218">
        <f>SUM(E30:E36)</f>
        <v>1234.7</v>
      </c>
      <c r="M30" s="127">
        <v>1</v>
      </c>
      <c r="N30" s="127" t="s">
        <v>10</v>
      </c>
      <c r="O30" s="127">
        <v>2008</v>
      </c>
      <c r="P30" s="218">
        <f t="shared" si="0"/>
        <v>230.79</v>
      </c>
      <c r="Q30" s="218">
        <f>ROUND(P30*'[1]数据-取费表'!B$52,0)</f>
        <v>6924</v>
      </c>
      <c r="R30" s="218">
        <f>ROUND(L30*O$2,0)</f>
        <v>14582573</v>
      </c>
      <c r="S30" s="218">
        <f t="shared" si="22"/>
        <v>218739</v>
      </c>
      <c r="T30" s="220">
        <v>0.8</v>
      </c>
      <c r="U30" s="218">
        <f t="shared" si="39"/>
        <v>11666058</v>
      </c>
      <c r="V30" s="218">
        <f t="shared" si="2"/>
        <v>11666</v>
      </c>
      <c r="W30" s="218">
        <f t="shared" si="23"/>
        <v>5429</v>
      </c>
      <c r="X30" s="218">
        <f>ROUND(AC30*'[1]数据-取费表'!$B$41/(1+'[1]数据-取费表'!$C$42),0)</f>
        <v>57693</v>
      </c>
      <c r="Y30" s="218">
        <f>ROUND(AC30*'[1]数据-取费表'!$B$51/(1+'[1]数据-取费表'!$C$42),0)</f>
        <v>123628</v>
      </c>
      <c r="Z30" s="218">
        <f t="shared" si="3"/>
        <v>188245</v>
      </c>
      <c r="AA30" s="218">
        <f t="shared" si="4"/>
        <v>424079</v>
      </c>
      <c r="AB30" s="240">
        <f>AC30/365/L30</f>
        <v>2.4003279594288891</v>
      </c>
      <c r="AC30" s="218">
        <v>1081745</v>
      </c>
      <c r="AD30" s="218">
        <f t="shared" si="25"/>
        <v>4057</v>
      </c>
      <c r="AE30" s="218">
        <f t="shared" si="26"/>
        <v>1085802</v>
      </c>
      <c r="AF30" s="225">
        <v>6.6000000000000003E-2</v>
      </c>
      <c r="AG30" s="218"/>
      <c r="AH30" s="226">
        <v>50617</v>
      </c>
      <c r="AI30" s="218">
        <f t="shared" si="43"/>
        <v>15.42</v>
      </c>
      <c r="AJ30" s="218">
        <f t="shared" si="6"/>
        <v>661723</v>
      </c>
      <c r="AK30" s="224">
        <f t="shared" si="7"/>
        <v>10433938</v>
      </c>
      <c r="AL30" s="220">
        <v>0.6</v>
      </c>
      <c r="AM30" s="218">
        <f t="shared" si="9"/>
        <v>8749544</v>
      </c>
      <c r="AN30" s="218">
        <f t="shared" si="10"/>
        <v>8750</v>
      </c>
      <c r="AO30" s="218">
        <f t="shared" si="11"/>
        <v>18300</v>
      </c>
      <c r="AP30" s="218">
        <f>ROUND(AV30*'[1]数据-取费表'!$B$41/(1+'[1]数据-取费表'!$B$42),0)</f>
        <v>194471</v>
      </c>
      <c r="AQ30" s="218">
        <f>ROUND(AV30*'[1]数据-取费表'!B$51/(1+'[1]数据-取费表'!C$42),0)</f>
        <v>416724</v>
      </c>
      <c r="AR30" s="218">
        <f t="shared" si="12"/>
        <v>618119</v>
      </c>
      <c r="AS30" s="218">
        <f t="shared" si="27"/>
        <v>863908</v>
      </c>
      <c r="AT30" s="223">
        <f>'[1]比较法-商业2层'!C49</f>
        <v>5.7</v>
      </c>
      <c r="AU30" s="224">
        <f t="shared" si="28"/>
        <v>8.99</v>
      </c>
      <c r="AV30" s="218">
        <f t="shared" si="29"/>
        <v>3646335</v>
      </c>
      <c r="AW30" s="218">
        <f t="shared" si="30"/>
        <v>13674</v>
      </c>
      <c r="AX30" s="218">
        <f t="shared" si="13"/>
        <v>3660009</v>
      </c>
      <c r="AY30" s="218">
        <f t="shared" si="44"/>
        <v>4.76</v>
      </c>
      <c r="AZ30" s="227">
        <f t="shared" si="45"/>
        <v>2796101</v>
      </c>
      <c r="BA30" s="227">
        <f t="shared" si="31"/>
        <v>12065688</v>
      </c>
      <c r="BB30" s="229">
        <f t="shared" si="16"/>
        <v>5284442</v>
      </c>
      <c r="BC30" s="229">
        <f t="shared" si="48"/>
        <v>1694008</v>
      </c>
      <c r="BD30" s="229">
        <f t="shared" si="33"/>
        <v>1741.24</v>
      </c>
      <c r="BE30" s="227">
        <f t="shared" si="34"/>
        <v>2311914</v>
      </c>
      <c r="BF30" s="227">
        <f t="shared" si="35"/>
        <v>8670</v>
      </c>
      <c r="BG30" s="227">
        <f t="shared" si="17"/>
        <v>2320584</v>
      </c>
      <c r="BH30" s="227">
        <f t="shared" si="18"/>
        <v>11603</v>
      </c>
      <c r="BI30" s="227">
        <f>ROUND(BE30*'[1]数据-取费表'!$B$51/(1+'[1]数据-取费表'!$C$42),0)</f>
        <v>264219</v>
      </c>
      <c r="BJ30" s="227">
        <f>ROUND(BG30*'[1]数据-取费表'!B$41/(1+'[1]数据-取费表'!C$42),0)</f>
        <v>123764</v>
      </c>
      <c r="BK30" s="227">
        <f t="shared" si="19"/>
        <v>636915</v>
      </c>
      <c r="BL30" s="227">
        <f t="shared" si="20"/>
        <v>1683669</v>
      </c>
      <c r="BM30" s="227">
        <f t="shared" si="36"/>
        <v>20818824</v>
      </c>
      <c r="BN30" s="228">
        <f t="shared" si="21"/>
        <v>10384886</v>
      </c>
      <c r="BO30" s="229">
        <f>BD30/$BD$234*$BS$3</f>
        <v>2418.8017403120725</v>
      </c>
      <c r="BP30" s="229">
        <f>SUM(BO30:BO44)</f>
        <v>9052.378431989644</v>
      </c>
      <c r="BQ30" s="229">
        <f>ROUND(BP30*10000/BS30,0)</f>
        <v>30317</v>
      </c>
      <c r="BR30" s="194" t="s">
        <v>124</v>
      </c>
      <c r="BS30" s="20">
        <f>SUM(L30:L44)</f>
        <v>2985.94</v>
      </c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</row>
    <row r="31" spans="1:85" s="88" customFormat="1" x14ac:dyDescent="0.2">
      <c r="A31" s="146">
        <v>14</v>
      </c>
      <c r="B31" s="125" t="s">
        <v>82</v>
      </c>
      <c r="C31" s="126" t="s">
        <v>85</v>
      </c>
      <c r="D31" s="127">
        <v>201</v>
      </c>
      <c r="E31" s="127">
        <v>128.76</v>
      </c>
      <c r="F31" s="127" t="s">
        <v>87</v>
      </c>
      <c r="G31" s="127" t="s">
        <v>75</v>
      </c>
      <c r="H31" s="128">
        <v>52356</v>
      </c>
      <c r="I31" s="128">
        <v>44987</v>
      </c>
      <c r="J31" s="127">
        <f>IF(F31="商业",[1]项目基本情况!D$15,[1]项目基本情况!E$15)</f>
        <v>20.18</v>
      </c>
      <c r="K31" s="127" t="s">
        <v>84</v>
      </c>
      <c r="L31" s="218"/>
      <c r="M31" s="127">
        <v>2</v>
      </c>
      <c r="N31" s="127" t="s">
        <v>10</v>
      </c>
      <c r="O31" s="127">
        <v>2008</v>
      </c>
      <c r="P31" s="218">
        <f t="shared" si="0"/>
        <v>0</v>
      </c>
      <c r="Q31" s="218">
        <f>ROUND(P31*'[1]数据-取费表'!B$52,0)</f>
        <v>0</v>
      </c>
      <c r="R31" s="218">
        <f t="shared" si="38"/>
        <v>0</v>
      </c>
      <c r="S31" s="218">
        <f t="shared" si="22"/>
        <v>0</v>
      </c>
      <c r="T31" s="220">
        <v>0.8</v>
      </c>
      <c r="U31" s="218">
        <f t="shared" si="39"/>
        <v>0</v>
      </c>
      <c r="V31" s="218">
        <f t="shared" si="2"/>
        <v>0</v>
      </c>
      <c r="W31" s="218">
        <f t="shared" si="23"/>
        <v>0</v>
      </c>
      <c r="X31" s="218">
        <f>ROUND(AC31*'[1]数据-取费表'!$B$41/(1+'[1]数据-取费表'!$C$42),0)</f>
        <v>0</v>
      </c>
      <c r="Y31" s="218">
        <f>ROUND(AC31*'[1]数据-取费表'!$B$51/(1+'[1]数据-取费表'!$C$42),0)</f>
        <v>0</v>
      </c>
      <c r="Z31" s="218">
        <f t="shared" si="3"/>
        <v>0</v>
      </c>
      <c r="AA31" s="218">
        <f t="shared" si="4"/>
        <v>0</v>
      </c>
      <c r="AB31" s="240">
        <f t="shared" si="24"/>
        <v>8.43</v>
      </c>
      <c r="AC31" s="218"/>
      <c r="AD31" s="218">
        <f t="shared" si="25"/>
        <v>0</v>
      </c>
      <c r="AE31" s="218">
        <f t="shared" si="26"/>
        <v>0</v>
      </c>
      <c r="AF31" s="225"/>
      <c r="AG31" s="218"/>
      <c r="AH31" s="226"/>
      <c r="AI31" s="218">
        <f t="shared" si="43"/>
        <v>-123.25</v>
      </c>
      <c r="AJ31" s="218">
        <f t="shared" si="6"/>
        <v>0</v>
      </c>
      <c r="AK31" s="224">
        <f t="shared" si="7"/>
        <v>0</v>
      </c>
      <c r="AL31" s="220">
        <f t="shared" si="8"/>
        <v>2.8</v>
      </c>
      <c r="AM31" s="218">
        <f t="shared" si="9"/>
        <v>0</v>
      </c>
      <c r="AN31" s="218">
        <f t="shared" si="10"/>
        <v>0</v>
      </c>
      <c r="AO31" s="218">
        <f t="shared" si="11"/>
        <v>0</v>
      </c>
      <c r="AP31" s="218">
        <f>ROUND(AV31*'[1]数据-取费表'!$B$41/(1+'[1]数据-取费表'!$B$42),0)</f>
        <v>0</v>
      </c>
      <c r="AQ31" s="218">
        <f>ROUND(AV31*'[1]数据-取费表'!B$51/(1+'[1]数据-取费表'!C$42),0)</f>
        <v>0</v>
      </c>
      <c r="AR31" s="218">
        <f t="shared" si="12"/>
        <v>0</v>
      </c>
      <c r="AS31" s="218">
        <f t="shared" si="27"/>
        <v>0</v>
      </c>
      <c r="AT31" s="223">
        <f t="shared" si="47"/>
        <v>8.43</v>
      </c>
      <c r="AU31" s="224">
        <f t="shared" si="28"/>
        <v>0.22</v>
      </c>
      <c r="AV31" s="218">
        <f t="shared" si="29"/>
        <v>0</v>
      </c>
      <c r="AW31" s="218">
        <f t="shared" si="30"/>
        <v>0</v>
      </c>
      <c r="AX31" s="218">
        <f t="shared" si="13"/>
        <v>0</v>
      </c>
      <c r="AY31" s="218">
        <f t="shared" si="44"/>
        <v>143.43</v>
      </c>
      <c r="AZ31" s="227">
        <f t="shared" si="45"/>
        <v>0</v>
      </c>
      <c r="BA31" s="227">
        <f t="shared" si="31"/>
        <v>0</v>
      </c>
      <c r="BB31" s="229">
        <f t="shared" si="16"/>
        <v>0</v>
      </c>
      <c r="BC31" s="229">
        <f t="shared" si="48"/>
        <v>0</v>
      </c>
      <c r="BD31" s="229">
        <f t="shared" si="33"/>
        <v>0</v>
      </c>
      <c r="BE31" s="227">
        <f t="shared" si="34"/>
        <v>0</v>
      </c>
      <c r="BF31" s="227">
        <f t="shared" si="35"/>
        <v>0</v>
      </c>
      <c r="BG31" s="227">
        <f t="shared" si="17"/>
        <v>0</v>
      </c>
      <c r="BH31" s="227">
        <f t="shared" si="18"/>
        <v>0</v>
      </c>
      <c r="BI31" s="227">
        <f>ROUND(BE31*'[1]数据-取费表'!$B$51/(1+'[1]数据-取费表'!$C$42),0)</f>
        <v>0</v>
      </c>
      <c r="BJ31" s="227">
        <f>ROUND(BG31*'[1]数据-取费表'!B$41/(1+'[1]数据-取费表'!C$42),0)</f>
        <v>0</v>
      </c>
      <c r="BK31" s="227">
        <f t="shared" si="19"/>
        <v>0</v>
      </c>
      <c r="BL31" s="227">
        <f t="shared" si="20"/>
        <v>0</v>
      </c>
      <c r="BM31" s="227">
        <f t="shared" si="36"/>
        <v>0</v>
      </c>
      <c r="BN31" s="228">
        <f t="shared" si="21"/>
        <v>0</v>
      </c>
      <c r="BO31" s="229"/>
      <c r="BP31" s="229"/>
      <c r="BQ31" s="229"/>
      <c r="BR31" s="194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</row>
    <row r="32" spans="1:85" s="88" customFormat="1" x14ac:dyDescent="0.2">
      <c r="A32" s="146">
        <v>15</v>
      </c>
      <c r="B32" s="125" t="s">
        <v>82</v>
      </c>
      <c r="C32" s="126" t="s">
        <v>85</v>
      </c>
      <c r="D32" s="127">
        <v>202</v>
      </c>
      <c r="E32" s="127">
        <v>280.61</v>
      </c>
      <c r="F32" s="127" t="s">
        <v>87</v>
      </c>
      <c r="G32" s="127" t="s">
        <v>75</v>
      </c>
      <c r="H32" s="128">
        <v>52356</v>
      </c>
      <c r="I32" s="128">
        <v>44987</v>
      </c>
      <c r="J32" s="127">
        <f>IF(F32="商业",[1]项目基本情况!D$15,[1]项目基本情况!E$15)</f>
        <v>20.18</v>
      </c>
      <c r="K32" s="127" t="s">
        <v>84</v>
      </c>
      <c r="L32" s="218"/>
      <c r="M32" s="127">
        <v>2</v>
      </c>
      <c r="N32" s="127" t="s">
        <v>10</v>
      </c>
      <c r="O32" s="127">
        <v>2008</v>
      </c>
      <c r="P32" s="218">
        <f t="shared" si="0"/>
        <v>0</v>
      </c>
      <c r="Q32" s="218">
        <f>ROUND(P32*'[1]数据-取费表'!B$52,0)</f>
        <v>0</v>
      </c>
      <c r="R32" s="218">
        <f t="shared" si="38"/>
        <v>0</v>
      </c>
      <c r="S32" s="218">
        <f t="shared" si="22"/>
        <v>0</v>
      </c>
      <c r="T32" s="220">
        <v>0.8</v>
      </c>
      <c r="U32" s="218">
        <f t="shared" si="39"/>
        <v>0</v>
      </c>
      <c r="V32" s="218">
        <f t="shared" si="2"/>
        <v>0</v>
      </c>
      <c r="W32" s="218">
        <f t="shared" si="23"/>
        <v>0</v>
      </c>
      <c r="X32" s="218">
        <f>ROUND(AC32*'[1]数据-取费表'!$B$41/(1+'[1]数据-取费表'!$C$42),0)</f>
        <v>0</v>
      </c>
      <c r="Y32" s="218">
        <f>ROUND(AC32*'[1]数据-取费表'!$B$51/(1+'[1]数据-取费表'!$C$42),0)</f>
        <v>0</v>
      </c>
      <c r="Z32" s="218">
        <f t="shared" si="3"/>
        <v>0</v>
      </c>
      <c r="AA32" s="218">
        <f t="shared" si="4"/>
        <v>0</v>
      </c>
      <c r="AB32" s="240">
        <f t="shared" si="24"/>
        <v>8.43</v>
      </c>
      <c r="AC32" s="218"/>
      <c r="AD32" s="218">
        <f t="shared" si="25"/>
        <v>0</v>
      </c>
      <c r="AE32" s="218">
        <f t="shared" si="26"/>
        <v>0</v>
      </c>
      <c r="AF32" s="225"/>
      <c r="AG32" s="218"/>
      <c r="AH32" s="226"/>
      <c r="AI32" s="218">
        <f t="shared" si="43"/>
        <v>-123.25</v>
      </c>
      <c r="AJ32" s="218">
        <f t="shared" si="6"/>
        <v>0</v>
      </c>
      <c r="AK32" s="224">
        <f t="shared" si="7"/>
        <v>0</v>
      </c>
      <c r="AL32" s="220">
        <f t="shared" si="8"/>
        <v>2.8</v>
      </c>
      <c r="AM32" s="218">
        <f t="shared" si="9"/>
        <v>0</v>
      </c>
      <c r="AN32" s="218">
        <f t="shared" si="10"/>
        <v>0</v>
      </c>
      <c r="AO32" s="218">
        <f t="shared" si="11"/>
        <v>0</v>
      </c>
      <c r="AP32" s="218">
        <f>ROUND(AV32*'[1]数据-取费表'!$B$41/(1+'[1]数据-取费表'!$B$42),0)</f>
        <v>0</v>
      </c>
      <c r="AQ32" s="218">
        <f>ROUND(AV32*'[1]数据-取费表'!B$51/(1+'[1]数据-取费表'!C$42),0)</f>
        <v>0</v>
      </c>
      <c r="AR32" s="218">
        <f t="shared" si="12"/>
        <v>0</v>
      </c>
      <c r="AS32" s="218">
        <f t="shared" si="27"/>
        <v>0</v>
      </c>
      <c r="AT32" s="223">
        <f t="shared" si="47"/>
        <v>8.43</v>
      </c>
      <c r="AU32" s="224">
        <f t="shared" si="28"/>
        <v>0.22</v>
      </c>
      <c r="AV32" s="218">
        <f t="shared" si="29"/>
        <v>0</v>
      </c>
      <c r="AW32" s="218">
        <f t="shared" si="30"/>
        <v>0</v>
      </c>
      <c r="AX32" s="218">
        <f t="shared" si="13"/>
        <v>0</v>
      </c>
      <c r="AY32" s="218">
        <f t="shared" si="44"/>
        <v>143.43</v>
      </c>
      <c r="AZ32" s="227">
        <f t="shared" si="45"/>
        <v>0</v>
      </c>
      <c r="BA32" s="227">
        <f t="shared" si="31"/>
        <v>0</v>
      </c>
      <c r="BB32" s="229">
        <f t="shared" si="16"/>
        <v>0</v>
      </c>
      <c r="BC32" s="229">
        <f t="shared" si="48"/>
        <v>0</v>
      </c>
      <c r="BD32" s="229">
        <f t="shared" si="33"/>
        <v>0</v>
      </c>
      <c r="BE32" s="227">
        <f t="shared" si="34"/>
        <v>0</v>
      </c>
      <c r="BF32" s="227">
        <f t="shared" si="35"/>
        <v>0</v>
      </c>
      <c r="BG32" s="227">
        <f t="shared" si="17"/>
        <v>0</v>
      </c>
      <c r="BH32" s="227">
        <f t="shared" si="18"/>
        <v>0</v>
      </c>
      <c r="BI32" s="227">
        <f>ROUND(BE32*'[1]数据-取费表'!$B$51/(1+'[1]数据-取费表'!$C$42),0)</f>
        <v>0</v>
      </c>
      <c r="BJ32" s="227">
        <f>ROUND(BG32*'[1]数据-取费表'!B$41/(1+'[1]数据-取费表'!C$42),0)</f>
        <v>0</v>
      </c>
      <c r="BK32" s="227">
        <f t="shared" si="19"/>
        <v>0</v>
      </c>
      <c r="BL32" s="227">
        <f t="shared" si="20"/>
        <v>0</v>
      </c>
      <c r="BM32" s="227">
        <f t="shared" si="36"/>
        <v>0</v>
      </c>
      <c r="BN32" s="228">
        <f t="shared" si="21"/>
        <v>0</v>
      </c>
      <c r="BO32" s="229"/>
      <c r="BP32" s="229"/>
      <c r="BQ32" s="229"/>
      <c r="BR32" s="194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</row>
    <row r="33" spans="1:85" s="88" customFormat="1" x14ac:dyDescent="0.2">
      <c r="A33" s="146">
        <v>16</v>
      </c>
      <c r="B33" s="125" t="s">
        <v>82</v>
      </c>
      <c r="C33" s="126" t="s">
        <v>85</v>
      </c>
      <c r="D33" s="127">
        <v>203</v>
      </c>
      <c r="E33" s="127">
        <v>66.989999999999995</v>
      </c>
      <c r="F33" s="127" t="s">
        <v>87</v>
      </c>
      <c r="G33" s="127" t="s">
        <v>75</v>
      </c>
      <c r="H33" s="128">
        <v>52356</v>
      </c>
      <c r="I33" s="128">
        <v>44987</v>
      </c>
      <c r="J33" s="127">
        <f>IF(F33="商业",[1]项目基本情况!D$15,[1]项目基本情况!E$15)</f>
        <v>20.18</v>
      </c>
      <c r="K33" s="127" t="s">
        <v>84</v>
      </c>
      <c r="L33" s="218"/>
      <c r="M33" s="127">
        <v>2</v>
      </c>
      <c r="N33" s="127" t="s">
        <v>10</v>
      </c>
      <c r="O33" s="127">
        <v>2008</v>
      </c>
      <c r="P33" s="218">
        <f t="shared" si="0"/>
        <v>0</v>
      </c>
      <c r="Q33" s="218">
        <f>ROUND(P33*'[1]数据-取费表'!B$52,0)</f>
        <v>0</v>
      </c>
      <c r="R33" s="218">
        <f t="shared" si="38"/>
        <v>0</v>
      </c>
      <c r="S33" s="218">
        <f t="shared" si="22"/>
        <v>0</v>
      </c>
      <c r="T33" s="220">
        <v>0.8</v>
      </c>
      <c r="U33" s="218">
        <f t="shared" si="39"/>
        <v>0</v>
      </c>
      <c r="V33" s="218">
        <f t="shared" si="2"/>
        <v>0</v>
      </c>
      <c r="W33" s="218">
        <f t="shared" si="23"/>
        <v>0</v>
      </c>
      <c r="X33" s="218">
        <f>ROUND(AC33*'[1]数据-取费表'!$B$41/(1+'[1]数据-取费表'!$C$42),0)</f>
        <v>0</v>
      </c>
      <c r="Y33" s="218">
        <f>ROUND(AC33*'[1]数据-取费表'!$B$51/(1+'[1]数据-取费表'!$C$42),0)</f>
        <v>0</v>
      </c>
      <c r="Z33" s="218">
        <f t="shared" si="3"/>
        <v>0</v>
      </c>
      <c r="AA33" s="218">
        <f t="shared" si="4"/>
        <v>0</v>
      </c>
      <c r="AB33" s="240">
        <f t="shared" si="24"/>
        <v>8.43</v>
      </c>
      <c r="AC33" s="218"/>
      <c r="AD33" s="218">
        <f t="shared" si="25"/>
        <v>0</v>
      </c>
      <c r="AE33" s="218">
        <f t="shared" si="26"/>
        <v>0</v>
      </c>
      <c r="AF33" s="225"/>
      <c r="AG33" s="218"/>
      <c r="AH33" s="226"/>
      <c r="AI33" s="218">
        <f t="shared" si="43"/>
        <v>-123.25</v>
      </c>
      <c r="AJ33" s="218">
        <f t="shared" si="6"/>
        <v>0</v>
      </c>
      <c r="AK33" s="224">
        <f t="shared" si="7"/>
        <v>0</v>
      </c>
      <c r="AL33" s="220">
        <f t="shared" si="8"/>
        <v>2.8</v>
      </c>
      <c r="AM33" s="218">
        <f t="shared" si="9"/>
        <v>0</v>
      </c>
      <c r="AN33" s="218">
        <f t="shared" si="10"/>
        <v>0</v>
      </c>
      <c r="AO33" s="218">
        <f t="shared" si="11"/>
        <v>0</v>
      </c>
      <c r="AP33" s="218">
        <f>ROUND(AV33*'[1]数据-取费表'!$B$41/(1+'[1]数据-取费表'!$B$42),0)</f>
        <v>0</v>
      </c>
      <c r="AQ33" s="218">
        <f>ROUND(AV33*'[1]数据-取费表'!B$51/(1+'[1]数据-取费表'!C$42),0)</f>
        <v>0</v>
      </c>
      <c r="AR33" s="218">
        <f t="shared" si="12"/>
        <v>0</v>
      </c>
      <c r="AS33" s="218">
        <f t="shared" si="27"/>
        <v>0</v>
      </c>
      <c r="AT33" s="223">
        <f t="shared" si="47"/>
        <v>8.43</v>
      </c>
      <c r="AU33" s="224">
        <f t="shared" si="28"/>
        <v>0.22</v>
      </c>
      <c r="AV33" s="218">
        <f t="shared" si="29"/>
        <v>0</v>
      </c>
      <c r="AW33" s="218">
        <f t="shared" si="30"/>
        <v>0</v>
      </c>
      <c r="AX33" s="218">
        <f t="shared" si="13"/>
        <v>0</v>
      </c>
      <c r="AY33" s="218">
        <f t="shared" si="44"/>
        <v>143.43</v>
      </c>
      <c r="AZ33" s="227">
        <f t="shared" si="45"/>
        <v>0</v>
      </c>
      <c r="BA33" s="227">
        <f t="shared" si="31"/>
        <v>0</v>
      </c>
      <c r="BB33" s="229">
        <f t="shared" si="16"/>
        <v>0</v>
      </c>
      <c r="BC33" s="229">
        <f t="shared" si="48"/>
        <v>0</v>
      </c>
      <c r="BD33" s="229">
        <f t="shared" si="33"/>
        <v>0</v>
      </c>
      <c r="BE33" s="227">
        <f t="shared" si="34"/>
        <v>0</v>
      </c>
      <c r="BF33" s="227">
        <f t="shared" si="35"/>
        <v>0</v>
      </c>
      <c r="BG33" s="227">
        <f t="shared" si="17"/>
        <v>0</v>
      </c>
      <c r="BH33" s="227">
        <f t="shared" si="18"/>
        <v>0</v>
      </c>
      <c r="BI33" s="227">
        <f>ROUND(BE33*'[1]数据-取费表'!$B$51/(1+'[1]数据-取费表'!$C$42),0)</f>
        <v>0</v>
      </c>
      <c r="BJ33" s="227">
        <f>ROUND(BG33*'[1]数据-取费表'!B$41/(1+'[1]数据-取费表'!C$42),0)</f>
        <v>0</v>
      </c>
      <c r="BK33" s="227">
        <f t="shared" si="19"/>
        <v>0</v>
      </c>
      <c r="BL33" s="227">
        <f t="shared" si="20"/>
        <v>0</v>
      </c>
      <c r="BM33" s="227">
        <f t="shared" si="36"/>
        <v>0</v>
      </c>
      <c r="BN33" s="228">
        <f t="shared" si="21"/>
        <v>0</v>
      </c>
      <c r="BO33" s="229"/>
      <c r="BP33" s="229"/>
      <c r="BQ33" s="229"/>
      <c r="BR33" s="194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</row>
    <row r="34" spans="1:85" s="88" customFormat="1" x14ac:dyDescent="0.2">
      <c r="A34" s="146">
        <v>17</v>
      </c>
      <c r="B34" s="125" t="s">
        <v>82</v>
      </c>
      <c r="C34" s="126" t="s">
        <v>85</v>
      </c>
      <c r="D34" s="127">
        <v>205</v>
      </c>
      <c r="E34" s="127">
        <v>325.72000000000003</v>
      </c>
      <c r="F34" s="127" t="s">
        <v>87</v>
      </c>
      <c r="G34" s="127" t="s">
        <v>75</v>
      </c>
      <c r="H34" s="128">
        <v>52356</v>
      </c>
      <c r="I34" s="128">
        <v>44987</v>
      </c>
      <c r="J34" s="127">
        <f>IF(F34="商业",[1]项目基本情况!D$15,[1]项目基本情况!E$15)</f>
        <v>20.18</v>
      </c>
      <c r="K34" s="127" t="s">
        <v>84</v>
      </c>
      <c r="L34" s="218"/>
      <c r="M34" s="127">
        <v>2</v>
      </c>
      <c r="N34" s="127" t="s">
        <v>10</v>
      </c>
      <c r="O34" s="127">
        <v>2008</v>
      </c>
      <c r="P34" s="218">
        <f t="shared" si="0"/>
        <v>0</v>
      </c>
      <c r="Q34" s="218">
        <f>ROUND(P34*'[1]数据-取费表'!B$52,0)</f>
        <v>0</v>
      </c>
      <c r="R34" s="218">
        <f t="shared" si="38"/>
        <v>0</v>
      </c>
      <c r="S34" s="218">
        <f t="shared" si="22"/>
        <v>0</v>
      </c>
      <c r="T34" s="220">
        <v>0.8</v>
      </c>
      <c r="U34" s="218">
        <f t="shared" si="39"/>
        <v>0</v>
      </c>
      <c r="V34" s="218">
        <f t="shared" si="2"/>
        <v>0</v>
      </c>
      <c r="W34" s="218">
        <f t="shared" si="23"/>
        <v>0</v>
      </c>
      <c r="X34" s="218">
        <f>ROUND(AC34*'[1]数据-取费表'!$B$41/(1+'[1]数据-取费表'!$C$42),0)</f>
        <v>0</v>
      </c>
      <c r="Y34" s="218">
        <f>ROUND(AC34*'[1]数据-取费表'!$B$51/(1+'[1]数据-取费表'!$C$42),0)</f>
        <v>0</v>
      </c>
      <c r="Z34" s="218">
        <f t="shared" si="3"/>
        <v>0</v>
      </c>
      <c r="AA34" s="218">
        <f t="shared" si="4"/>
        <v>0</v>
      </c>
      <c r="AB34" s="240">
        <f t="shared" si="24"/>
        <v>8.43</v>
      </c>
      <c r="AC34" s="218"/>
      <c r="AD34" s="218">
        <f t="shared" si="25"/>
        <v>0</v>
      </c>
      <c r="AE34" s="218">
        <f t="shared" si="26"/>
        <v>0</v>
      </c>
      <c r="AF34" s="225"/>
      <c r="AG34" s="218"/>
      <c r="AH34" s="226"/>
      <c r="AI34" s="218">
        <f t="shared" si="43"/>
        <v>-123.25</v>
      </c>
      <c r="AJ34" s="218">
        <f t="shared" si="6"/>
        <v>0</v>
      </c>
      <c r="AK34" s="224">
        <f t="shared" si="7"/>
        <v>0</v>
      </c>
      <c r="AL34" s="220">
        <f t="shared" si="8"/>
        <v>2.8</v>
      </c>
      <c r="AM34" s="218">
        <f t="shared" si="9"/>
        <v>0</v>
      </c>
      <c r="AN34" s="218">
        <f t="shared" si="10"/>
        <v>0</v>
      </c>
      <c r="AO34" s="218">
        <f t="shared" si="11"/>
        <v>0</v>
      </c>
      <c r="AP34" s="218">
        <f>ROUND(AV34*'[1]数据-取费表'!$B$41/(1+'[1]数据-取费表'!$B$42),0)</f>
        <v>0</v>
      </c>
      <c r="AQ34" s="218">
        <f>ROUND(AV34*'[1]数据-取费表'!B$51/(1+'[1]数据-取费表'!C$42),0)</f>
        <v>0</v>
      </c>
      <c r="AR34" s="218">
        <f t="shared" si="12"/>
        <v>0</v>
      </c>
      <c r="AS34" s="218">
        <f t="shared" si="27"/>
        <v>0</v>
      </c>
      <c r="AT34" s="223">
        <f t="shared" si="47"/>
        <v>8.43</v>
      </c>
      <c r="AU34" s="224">
        <f t="shared" si="28"/>
        <v>0.22</v>
      </c>
      <c r="AV34" s="218">
        <f t="shared" si="29"/>
        <v>0</v>
      </c>
      <c r="AW34" s="218">
        <f t="shared" si="30"/>
        <v>0</v>
      </c>
      <c r="AX34" s="218">
        <f t="shared" si="13"/>
        <v>0</v>
      </c>
      <c r="AY34" s="218">
        <f t="shared" si="44"/>
        <v>143.43</v>
      </c>
      <c r="AZ34" s="227">
        <f t="shared" si="45"/>
        <v>0</v>
      </c>
      <c r="BA34" s="227">
        <f t="shared" si="31"/>
        <v>0</v>
      </c>
      <c r="BB34" s="229">
        <f t="shared" si="16"/>
        <v>0</v>
      </c>
      <c r="BC34" s="229">
        <f t="shared" si="48"/>
        <v>0</v>
      </c>
      <c r="BD34" s="229">
        <f t="shared" si="33"/>
        <v>0</v>
      </c>
      <c r="BE34" s="227">
        <f t="shared" si="34"/>
        <v>0</v>
      </c>
      <c r="BF34" s="227">
        <f t="shared" si="35"/>
        <v>0</v>
      </c>
      <c r="BG34" s="227">
        <f t="shared" si="17"/>
        <v>0</v>
      </c>
      <c r="BH34" s="227">
        <f t="shared" si="18"/>
        <v>0</v>
      </c>
      <c r="BI34" s="227">
        <f>ROUND(BE34*'[1]数据-取费表'!$B$51/(1+'[1]数据-取费表'!$C$42),0)</f>
        <v>0</v>
      </c>
      <c r="BJ34" s="227">
        <f>ROUND(BG34*'[1]数据-取费表'!B$41/(1+'[1]数据-取费表'!C$42),0)</f>
        <v>0</v>
      </c>
      <c r="BK34" s="227">
        <f t="shared" si="19"/>
        <v>0</v>
      </c>
      <c r="BL34" s="227">
        <f t="shared" si="20"/>
        <v>0</v>
      </c>
      <c r="BM34" s="227">
        <f t="shared" si="36"/>
        <v>0</v>
      </c>
      <c r="BN34" s="228">
        <f t="shared" si="21"/>
        <v>0</v>
      </c>
      <c r="BO34" s="229"/>
      <c r="BP34" s="229"/>
      <c r="BQ34" s="229"/>
      <c r="BR34" s="194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</row>
    <row r="35" spans="1:85" s="88" customFormat="1" x14ac:dyDescent="0.2">
      <c r="A35" s="146">
        <v>18</v>
      </c>
      <c r="B35" s="125" t="s">
        <v>82</v>
      </c>
      <c r="C35" s="126" t="s">
        <v>85</v>
      </c>
      <c r="D35" s="127">
        <v>206</v>
      </c>
      <c r="E35" s="127">
        <v>186.41</v>
      </c>
      <c r="F35" s="127" t="s">
        <v>87</v>
      </c>
      <c r="G35" s="127" t="s">
        <v>75</v>
      </c>
      <c r="H35" s="128">
        <v>52356</v>
      </c>
      <c r="I35" s="128">
        <v>44987</v>
      </c>
      <c r="J35" s="127">
        <f>IF(F35="商业",[1]项目基本情况!D$15,[1]项目基本情况!E$15)</f>
        <v>20.18</v>
      </c>
      <c r="K35" s="127" t="s">
        <v>84</v>
      </c>
      <c r="L35" s="218"/>
      <c r="M35" s="127">
        <v>2</v>
      </c>
      <c r="N35" s="127" t="s">
        <v>10</v>
      </c>
      <c r="O35" s="127">
        <v>2008</v>
      </c>
      <c r="P35" s="218">
        <f t="shared" si="0"/>
        <v>0</v>
      </c>
      <c r="Q35" s="218">
        <f>ROUND(P35*'[1]数据-取费表'!B$52,0)</f>
        <v>0</v>
      </c>
      <c r="R35" s="218">
        <f t="shared" si="38"/>
        <v>0</v>
      </c>
      <c r="S35" s="218">
        <f t="shared" si="22"/>
        <v>0</v>
      </c>
      <c r="T35" s="220">
        <v>0.8</v>
      </c>
      <c r="U35" s="218">
        <f t="shared" si="39"/>
        <v>0</v>
      </c>
      <c r="V35" s="218">
        <f t="shared" si="2"/>
        <v>0</v>
      </c>
      <c r="W35" s="218">
        <f t="shared" si="23"/>
        <v>0</v>
      </c>
      <c r="X35" s="218">
        <f>ROUND(AC35*'[1]数据-取费表'!$B$41/(1+'[1]数据-取费表'!$C$42),0)</f>
        <v>0</v>
      </c>
      <c r="Y35" s="218">
        <f>ROUND(AC35*'[1]数据-取费表'!$B$51/(1+'[1]数据-取费表'!$C$42),0)</f>
        <v>0</v>
      </c>
      <c r="Z35" s="218">
        <f t="shared" si="3"/>
        <v>0</v>
      </c>
      <c r="AA35" s="218">
        <f t="shared" si="4"/>
        <v>0</v>
      </c>
      <c r="AB35" s="240">
        <f t="shared" si="24"/>
        <v>8.43</v>
      </c>
      <c r="AC35" s="218"/>
      <c r="AD35" s="218">
        <f t="shared" si="25"/>
        <v>0</v>
      </c>
      <c r="AE35" s="218">
        <f t="shared" si="26"/>
        <v>0</v>
      </c>
      <c r="AF35" s="225"/>
      <c r="AG35" s="218"/>
      <c r="AH35" s="226"/>
      <c r="AI35" s="218">
        <f t="shared" si="43"/>
        <v>-123.25</v>
      </c>
      <c r="AJ35" s="218">
        <f t="shared" si="6"/>
        <v>0</v>
      </c>
      <c r="AK35" s="224">
        <f t="shared" si="7"/>
        <v>0</v>
      </c>
      <c r="AL35" s="220">
        <f t="shared" si="8"/>
        <v>2.8</v>
      </c>
      <c r="AM35" s="218">
        <f t="shared" si="9"/>
        <v>0</v>
      </c>
      <c r="AN35" s="218">
        <f t="shared" si="10"/>
        <v>0</v>
      </c>
      <c r="AO35" s="218">
        <f t="shared" si="11"/>
        <v>0</v>
      </c>
      <c r="AP35" s="218">
        <f>ROUND(AV35*'[1]数据-取费表'!$B$41/(1+'[1]数据-取费表'!$B$42),0)</f>
        <v>0</v>
      </c>
      <c r="AQ35" s="218">
        <f>ROUND(AV35*'[1]数据-取费表'!B$51/(1+'[1]数据-取费表'!C$42),0)</f>
        <v>0</v>
      </c>
      <c r="AR35" s="218">
        <f t="shared" si="12"/>
        <v>0</v>
      </c>
      <c r="AS35" s="218">
        <f t="shared" si="27"/>
        <v>0</v>
      </c>
      <c r="AT35" s="223">
        <f t="shared" si="47"/>
        <v>8.43</v>
      </c>
      <c r="AU35" s="224">
        <f t="shared" si="28"/>
        <v>0.22</v>
      </c>
      <c r="AV35" s="218">
        <f t="shared" si="29"/>
        <v>0</v>
      </c>
      <c r="AW35" s="218">
        <f t="shared" si="30"/>
        <v>0</v>
      </c>
      <c r="AX35" s="218">
        <f t="shared" si="13"/>
        <v>0</v>
      </c>
      <c r="AY35" s="218">
        <f t="shared" si="44"/>
        <v>143.43</v>
      </c>
      <c r="AZ35" s="227">
        <f t="shared" si="45"/>
        <v>0</v>
      </c>
      <c r="BA35" s="227">
        <f t="shared" si="31"/>
        <v>0</v>
      </c>
      <c r="BB35" s="229">
        <f t="shared" si="16"/>
        <v>0</v>
      </c>
      <c r="BC35" s="229">
        <f t="shared" si="48"/>
        <v>0</v>
      </c>
      <c r="BD35" s="229">
        <f t="shared" si="33"/>
        <v>0</v>
      </c>
      <c r="BE35" s="227">
        <f t="shared" si="34"/>
        <v>0</v>
      </c>
      <c r="BF35" s="227">
        <f t="shared" si="35"/>
        <v>0</v>
      </c>
      <c r="BG35" s="227">
        <f t="shared" si="17"/>
        <v>0</v>
      </c>
      <c r="BH35" s="227">
        <f t="shared" si="18"/>
        <v>0</v>
      </c>
      <c r="BI35" s="227">
        <f>ROUND(BE35*'[1]数据-取费表'!$B$51/(1+'[1]数据-取费表'!$C$42),0)</f>
        <v>0</v>
      </c>
      <c r="BJ35" s="227">
        <f>ROUND(BG35*'[1]数据-取费表'!B$41/(1+'[1]数据-取费表'!C$42),0)</f>
        <v>0</v>
      </c>
      <c r="BK35" s="227">
        <f t="shared" si="19"/>
        <v>0</v>
      </c>
      <c r="BL35" s="227">
        <f t="shared" si="20"/>
        <v>0</v>
      </c>
      <c r="BM35" s="227">
        <f t="shared" si="36"/>
        <v>0</v>
      </c>
      <c r="BN35" s="228">
        <f t="shared" si="21"/>
        <v>0</v>
      </c>
      <c r="BO35" s="229"/>
      <c r="BP35" s="229"/>
      <c r="BQ35" s="229"/>
      <c r="BR35" s="194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</row>
    <row r="36" spans="1:85" s="88" customFormat="1" x14ac:dyDescent="0.2">
      <c r="A36" s="146">
        <v>19</v>
      </c>
      <c r="B36" s="125" t="s">
        <v>82</v>
      </c>
      <c r="C36" s="126" t="s">
        <v>85</v>
      </c>
      <c r="D36" s="127">
        <v>207</v>
      </c>
      <c r="E36" s="127">
        <v>137.07</v>
      </c>
      <c r="F36" s="127" t="s">
        <v>87</v>
      </c>
      <c r="G36" s="127" t="s">
        <v>75</v>
      </c>
      <c r="H36" s="128">
        <v>52356</v>
      </c>
      <c r="I36" s="128">
        <v>44987</v>
      </c>
      <c r="J36" s="127">
        <f>IF(F36="商业",[1]项目基本情况!D$15,[1]项目基本情况!E$15)</f>
        <v>20.18</v>
      </c>
      <c r="K36" s="127" t="s">
        <v>84</v>
      </c>
      <c r="L36" s="218"/>
      <c r="M36" s="127">
        <v>2</v>
      </c>
      <c r="N36" s="127" t="s">
        <v>10</v>
      </c>
      <c r="O36" s="127">
        <v>2008</v>
      </c>
      <c r="P36" s="218">
        <f t="shared" si="0"/>
        <v>0</v>
      </c>
      <c r="Q36" s="218">
        <f>ROUND(P36*'[1]数据-取费表'!B$52,0)</f>
        <v>0</v>
      </c>
      <c r="R36" s="218">
        <f t="shared" si="38"/>
        <v>0</v>
      </c>
      <c r="S36" s="218">
        <f t="shared" si="22"/>
        <v>0</v>
      </c>
      <c r="T36" s="220">
        <v>0.8</v>
      </c>
      <c r="U36" s="218">
        <f t="shared" si="39"/>
        <v>0</v>
      </c>
      <c r="V36" s="218">
        <f t="shared" si="2"/>
        <v>0</v>
      </c>
      <c r="W36" s="218">
        <f t="shared" si="23"/>
        <v>0</v>
      </c>
      <c r="X36" s="218">
        <f>ROUND(AC36*'[1]数据-取费表'!$B$41/(1+'[1]数据-取费表'!$C$42),0)</f>
        <v>0</v>
      </c>
      <c r="Y36" s="218">
        <f>ROUND(AC36*'[1]数据-取费表'!$B$51/(1+'[1]数据-取费表'!$C$42),0)</f>
        <v>0</v>
      </c>
      <c r="Z36" s="218">
        <f t="shared" si="3"/>
        <v>0</v>
      </c>
      <c r="AA36" s="218">
        <f t="shared" si="4"/>
        <v>0</v>
      </c>
      <c r="AB36" s="240">
        <f t="shared" si="24"/>
        <v>8.43</v>
      </c>
      <c r="AC36" s="218"/>
      <c r="AD36" s="218">
        <f t="shared" si="25"/>
        <v>0</v>
      </c>
      <c r="AE36" s="218">
        <f t="shared" si="26"/>
        <v>0</v>
      </c>
      <c r="AF36" s="225"/>
      <c r="AG36" s="218"/>
      <c r="AH36" s="226"/>
      <c r="AI36" s="218">
        <f t="shared" si="43"/>
        <v>-123.25</v>
      </c>
      <c r="AJ36" s="218">
        <f t="shared" si="6"/>
        <v>0</v>
      </c>
      <c r="AK36" s="224">
        <f t="shared" si="7"/>
        <v>0</v>
      </c>
      <c r="AL36" s="220">
        <f t="shared" si="8"/>
        <v>2.8</v>
      </c>
      <c r="AM36" s="218">
        <f t="shared" si="9"/>
        <v>0</v>
      </c>
      <c r="AN36" s="218">
        <f t="shared" si="10"/>
        <v>0</v>
      </c>
      <c r="AO36" s="218">
        <f t="shared" si="11"/>
        <v>0</v>
      </c>
      <c r="AP36" s="218">
        <f>ROUND(AV36*'[1]数据-取费表'!$B$41/(1+'[1]数据-取费表'!$B$42),0)</f>
        <v>0</v>
      </c>
      <c r="AQ36" s="218">
        <f>ROUND(AV36*'[1]数据-取费表'!B$51/(1+'[1]数据-取费表'!C$42),0)</f>
        <v>0</v>
      </c>
      <c r="AR36" s="218">
        <f t="shared" si="12"/>
        <v>0</v>
      </c>
      <c r="AS36" s="218">
        <f t="shared" si="27"/>
        <v>0</v>
      </c>
      <c r="AT36" s="223">
        <f t="shared" si="47"/>
        <v>8.43</v>
      </c>
      <c r="AU36" s="224">
        <f t="shared" si="28"/>
        <v>0.22</v>
      </c>
      <c r="AV36" s="218">
        <f t="shared" si="29"/>
        <v>0</v>
      </c>
      <c r="AW36" s="218">
        <f t="shared" si="30"/>
        <v>0</v>
      </c>
      <c r="AX36" s="218">
        <f t="shared" si="13"/>
        <v>0</v>
      </c>
      <c r="AY36" s="218">
        <f t="shared" si="44"/>
        <v>143.43</v>
      </c>
      <c r="AZ36" s="227">
        <f t="shared" si="45"/>
        <v>0</v>
      </c>
      <c r="BA36" s="227">
        <f t="shared" si="31"/>
        <v>0</v>
      </c>
      <c r="BB36" s="229">
        <f t="shared" si="16"/>
        <v>0</v>
      </c>
      <c r="BC36" s="229">
        <f t="shared" si="48"/>
        <v>0</v>
      </c>
      <c r="BD36" s="229">
        <f t="shared" si="33"/>
        <v>0</v>
      </c>
      <c r="BE36" s="227">
        <f t="shared" si="34"/>
        <v>0</v>
      </c>
      <c r="BF36" s="227">
        <f t="shared" si="35"/>
        <v>0</v>
      </c>
      <c r="BG36" s="227">
        <f t="shared" si="17"/>
        <v>0</v>
      </c>
      <c r="BH36" s="227">
        <f t="shared" si="18"/>
        <v>0</v>
      </c>
      <c r="BI36" s="227">
        <f>ROUND(BE36*'[1]数据-取费表'!$B$51/(1+'[1]数据-取费表'!$C$42),0)</f>
        <v>0</v>
      </c>
      <c r="BJ36" s="227">
        <f>ROUND(BG36*'[1]数据-取费表'!B$41/(1+'[1]数据-取费表'!C$42),0)</f>
        <v>0</v>
      </c>
      <c r="BK36" s="227">
        <f t="shared" si="19"/>
        <v>0</v>
      </c>
      <c r="BL36" s="227">
        <f t="shared" si="20"/>
        <v>0</v>
      </c>
      <c r="BM36" s="227">
        <f t="shared" si="36"/>
        <v>0</v>
      </c>
      <c r="BN36" s="228">
        <f t="shared" si="21"/>
        <v>0</v>
      </c>
      <c r="BO36" s="229"/>
      <c r="BP36" s="229"/>
      <c r="BQ36" s="229"/>
      <c r="BR36" s="194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</row>
    <row r="37" spans="1:85" x14ac:dyDescent="0.2">
      <c r="A37" s="146">
        <v>20</v>
      </c>
      <c r="B37" s="125" t="s">
        <v>82</v>
      </c>
      <c r="C37" s="126" t="s">
        <v>85</v>
      </c>
      <c r="D37" s="127">
        <v>301</v>
      </c>
      <c r="E37" s="127">
        <v>133.55000000000001</v>
      </c>
      <c r="F37" s="127" t="s">
        <v>83</v>
      </c>
      <c r="G37" s="127" t="s">
        <v>75</v>
      </c>
      <c r="H37" s="128">
        <v>56009</v>
      </c>
      <c r="I37" s="128">
        <v>44987</v>
      </c>
      <c r="J37" s="127">
        <f>IF(F37="商业",[1]项目基本情况!D$15,[1]项目基本情况!E$15)</f>
        <v>30.19</v>
      </c>
      <c r="K37" s="127" t="s">
        <v>84</v>
      </c>
      <c r="L37" s="218">
        <f>SUM(E37:E44)</f>
        <v>1751.24</v>
      </c>
      <c r="M37" s="127">
        <v>3</v>
      </c>
      <c r="N37" s="127" t="s">
        <v>10</v>
      </c>
      <c r="O37" s="127">
        <v>2008</v>
      </c>
      <c r="P37" s="218">
        <f t="shared" si="0"/>
        <v>327.33</v>
      </c>
      <c r="Q37" s="218">
        <f>ROUND(P37*'[1]数据-取费表'!B$52,0)</f>
        <v>9820</v>
      </c>
      <c r="R37" s="218">
        <f t="shared" si="38"/>
        <v>19844299</v>
      </c>
      <c r="S37" s="218">
        <f t="shared" si="22"/>
        <v>297664</v>
      </c>
      <c r="T37" s="220">
        <v>0.8</v>
      </c>
      <c r="U37" s="218">
        <f t="shared" si="39"/>
        <v>15875439</v>
      </c>
      <c r="V37" s="218">
        <f t="shared" si="2"/>
        <v>15875</v>
      </c>
      <c r="W37" s="218">
        <f t="shared" si="23"/>
        <v>7700</v>
      </c>
      <c r="X37" s="218">
        <f>ROUND(AC37*'[1]数据-取费表'!$B$41/(1+'[1]数据-取费表'!$C$42),0)</f>
        <v>81829</v>
      </c>
      <c r="Y37" s="218">
        <f>ROUND(AC37*'[1]数据-取费表'!$B$51/(1+'[1]数据-取费表'!$C$42),0)</f>
        <v>175348</v>
      </c>
      <c r="Z37" s="218">
        <f t="shared" si="3"/>
        <v>266997</v>
      </c>
      <c r="AA37" s="218">
        <f t="shared" si="4"/>
        <v>588236</v>
      </c>
      <c r="AB37" s="240">
        <f>ROUND(AC37/365/L3:L37,2)</f>
        <v>2.4</v>
      </c>
      <c r="AC37" s="218">
        <v>1534296</v>
      </c>
      <c r="AD37" s="218">
        <f t="shared" si="25"/>
        <v>5754</v>
      </c>
      <c r="AE37" s="218">
        <f t="shared" si="26"/>
        <v>1540050</v>
      </c>
      <c r="AF37" s="225">
        <v>6.6000000000000003E-2</v>
      </c>
      <c r="AG37" s="218"/>
      <c r="AH37" s="226">
        <v>50617</v>
      </c>
      <c r="AI37" s="218">
        <f t="shared" si="43"/>
        <v>15.42</v>
      </c>
      <c r="AJ37" s="218">
        <f t="shared" si="6"/>
        <v>951814</v>
      </c>
      <c r="AK37" s="224">
        <f t="shared" si="7"/>
        <v>15008044</v>
      </c>
      <c r="AL37" s="220">
        <v>0.6</v>
      </c>
      <c r="AM37" s="218">
        <f t="shared" si="9"/>
        <v>11906579</v>
      </c>
      <c r="AN37" s="218">
        <f t="shared" si="10"/>
        <v>11907</v>
      </c>
      <c r="AO37" s="218">
        <f t="shared" si="11"/>
        <v>38400</v>
      </c>
      <c r="AP37" s="218">
        <f>ROUND(AV37*'[1]数据-取费表'!$B$41/(1+'[1]数据-取费表'!$B$42),0)</f>
        <v>408067</v>
      </c>
      <c r="AQ37" s="218">
        <f>ROUND(AV37*'[1]数据-取费表'!B$51/(1+'[1]数据-取费表'!C$42),0)</f>
        <v>874429</v>
      </c>
      <c r="AR37" s="218">
        <f t="shared" si="12"/>
        <v>1292316</v>
      </c>
      <c r="AS37" s="218">
        <f t="shared" si="27"/>
        <v>1640287</v>
      </c>
      <c r="AT37" s="223">
        <f t="shared" si="47"/>
        <v>8.43</v>
      </c>
      <c r="AU37" s="224">
        <f t="shared" si="28"/>
        <v>13.3</v>
      </c>
      <c r="AV37" s="218">
        <f t="shared" si="29"/>
        <v>7651255</v>
      </c>
      <c r="AW37" s="218">
        <f t="shared" si="30"/>
        <v>28692</v>
      </c>
      <c r="AX37" s="218">
        <f t="shared" si="13"/>
        <v>7679947</v>
      </c>
      <c r="AY37" s="218">
        <f t="shared" si="44"/>
        <v>14.770000000000001</v>
      </c>
      <c r="AZ37" s="227">
        <f t="shared" si="45"/>
        <v>6039660</v>
      </c>
      <c r="BA37" s="227">
        <f t="shared" si="31"/>
        <v>72059171</v>
      </c>
      <c r="BB37" s="229">
        <f t="shared" si="16"/>
        <v>31559952</v>
      </c>
      <c r="BC37" s="229">
        <f t="shared" si="46"/>
        <v>1185589</v>
      </c>
      <c r="BD37" s="229">
        <f t="shared" si="33"/>
        <v>4775.3599999999997</v>
      </c>
      <c r="BE37" s="227">
        <f t="shared" si="34"/>
        <v>4849630</v>
      </c>
      <c r="BF37" s="227">
        <f t="shared" si="35"/>
        <v>18186</v>
      </c>
      <c r="BG37" s="227">
        <f t="shared" si="17"/>
        <v>4867816</v>
      </c>
      <c r="BH37" s="227">
        <f t="shared" si="18"/>
        <v>24339</v>
      </c>
      <c r="BI37" s="227">
        <f>ROUND(BE37*'[1]数据-取费表'!$B$51/(1+'[1]数据-取费表'!$C$42),0)</f>
        <v>554243</v>
      </c>
      <c r="BJ37" s="227">
        <f>ROUND(BG37*'[1]数据-取费表'!B$41/(1+'[1]数据-取费表'!C$42),0)</f>
        <v>259617</v>
      </c>
      <c r="BK37" s="227">
        <f t="shared" si="19"/>
        <v>1161558</v>
      </c>
      <c r="BL37" s="227">
        <f t="shared" si="20"/>
        <v>3706258</v>
      </c>
      <c r="BM37" s="227">
        <f t="shared" si="36"/>
        <v>45828446</v>
      </c>
      <c r="BN37" s="228">
        <f t="shared" si="21"/>
        <v>30820402</v>
      </c>
      <c r="BO37" s="229">
        <f>BD37/$BD$234*$BS$3</f>
        <v>6633.5766916775719</v>
      </c>
      <c r="BP37" s="229"/>
      <c r="BQ37" s="229"/>
      <c r="BR37" s="194"/>
    </row>
    <row r="38" spans="1:85" x14ac:dyDescent="0.2">
      <c r="A38" s="146">
        <v>21</v>
      </c>
      <c r="B38" s="125" t="s">
        <v>82</v>
      </c>
      <c r="C38" s="126" t="s">
        <v>85</v>
      </c>
      <c r="D38" s="127">
        <v>302</v>
      </c>
      <c r="E38" s="127">
        <v>214.7</v>
      </c>
      <c r="F38" s="127" t="s">
        <v>83</v>
      </c>
      <c r="G38" s="127" t="s">
        <v>75</v>
      </c>
      <c r="H38" s="128">
        <v>56009</v>
      </c>
      <c r="I38" s="128">
        <v>44987</v>
      </c>
      <c r="J38" s="127">
        <f>IF(F38="商业",[1]项目基本情况!D$15,[1]项目基本情况!E$15)</f>
        <v>30.19</v>
      </c>
      <c r="K38" s="127" t="s">
        <v>84</v>
      </c>
      <c r="L38" s="218"/>
      <c r="M38" s="127">
        <v>3</v>
      </c>
      <c r="N38" s="127" t="s">
        <v>10</v>
      </c>
      <c r="O38" s="127">
        <v>2008</v>
      </c>
      <c r="P38" s="218">
        <f t="shared" si="0"/>
        <v>0</v>
      </c>
      <c r="Q38" s="218">
        <f>ROUND(P38*'[1]数据-取费表'!B$52,0)</f>
        <v>0</v>
      </c>
      <c r="R38" s="218">
        <f t="shared" si="38"/>
        <v>0</v>
      </c>
      <c r="S38" s="218">
        <f t="shared" si="22"/>
        <v>0</v>
      </c>
      <c r="T38" s="220">
        <v>0.8</v>
      </c>
      <c r="U38" s="218">
        <f t="shared" si="39"/>
        <v>0</v>
      </c>
      <c r="V38" s="218">
        <f t="shared" si="2"/>
        <v>0</v>
      </c>
      <c r="W38" s="218">
        <f t="shared" si="23"/>
        <v>0</v>
      </c>
      <c r="X38" s="218">
        <f>ROUND(AC38*'[1]数据-取费表'!$B$41/(1+'[1]数据-取费表'!$C$42),0)</f>
        <v>0</v>
      </c>
      <c r="Y38" s="218">
        <f>ROUND(AC38*'[1]数据-取费表'!$B$51/(1+'[1]数据-取费表'!$C$42),0)</f>
        <v>0</v>
      </c>
      <c r="Z38" s="218">
        <f t="shared" si="3"/>
        <v>0</v>
      </c>
      <c r="AA38" s="218">
        <f t="shared" si="4"/>
        <v>0</v>
      </c>
      <c r="AB38" s="240">
        <f t="shared" si="24"/>
        <v>8.43</v>
      </c>
      <c r="AC38" s="218"/>
      <c r="AD38" s="218">
        <f t="shared" si="25"/>
        <v>0</v>
      </c>
      <c r="AE38" s="218">
        <f t="shared" si="26"/>
        <v>0</v>
      </c>
      <c r="AF38" s="225"/>
      <c r="AG38" s="218"/>
      <c r="AH38" s="226"/>
      <c r="AI38" s="218">
        <f t="shared" si="43"/>
        <v>-123.25</v>
      </c>
      <c r="AJ38" s="218">
        <f t="shared" si="6"/>
        <v>0</v>
      </c>
      <c r="AK38" s="224">
        <f t="shared" si="7"/>
        <v>0</v>
      </c>
      <c r="AL38" s="220">
        <f t="shared" si="8"/>
        <v>2.8</v>
      </c>
      <c r="AM38" s="218">
        <f t="shared" si="9"/>
        <v>0</v>
      </c>
      <c r="AN38" s="218">
        <f t="shared" si="10"/>
        <v>0</v>
      </c>
      <c r="AO38" s="218">
        <f t="shared" si="11"/>
        <v>0</v>
      </c>
      <c r="AP38" s="218">
        <f>ROUND(AV38*'[1]数据-取费表'!$B$41/(1+'[1]数据-取费表'!$B$42),0)</f>
        <v>0</v>
      </c>
      <c r="AQ38" s="218">
        <f>ROUND(AV38*'[1]数据-取费表'!B$51/(1+'[1]数据-取费表'!C$42),0)</f>
        <v>0</v>
      </c>
      <c r="AR38" s="218">
        <f t="shared" si="12"/>
        <v>0</v>
      </c>
      <c r="AS38" s="218">
        <f t="shared" si="27"/>
        <v>0</v>
      </c>
      <c r="AT38" s="223">
        <f t="shared" si="47"/>
        <v>8.43</v>
      </c>
      <c r="AU38" s="224">
        <f t="shared" si="28"/>
        <v>0.22</v>
      </c>
      <c r="AV38" s="218">
        <f t="shared" si="29"/>
        <v>0</v>
      </c>
      <c r="AW38" s="218">
        <f t="shared" si="30"/>
        <v>0</v>
      </c>
      <c r="AX38" s="218">
        <f t="shared" si="13"/>
        <v>0</v>
      </c>
      <c r="AY38" s="218">
        <f t="shared" si="44"/>
        <v>153.44</v>
      </c>
      <c r="AZ38" s="227">
        <f t="shared" si="45"/>
        <v>0</v>
      </c>
      <c r="BA38" s="227">
        <f t="shared" si="31"/>
        <v>0</v>
      </c>
      <c r="BB38" s="229">
        <f t="shared" si="16"/>
        <v>0</v>
      </c>
      <c r="BC38" s="229">
        <f t="shared" si="46"/>
        <v>0</v>
      </c>
      <c r="BD38" s="229">
        <f t="shared" si="33"/>
        <v>0</v>
      </c>
      <c r="BE38" s="227">
        <f t="shared" si="34"/>
        <v>0</v>
      </c>
      <c r="BF38" s="227">
        <f t="shared" si="35"/>
        <v>0</v>
      </c>
      <c r="BG38" s="227">
        <f t="shared" si="17"/>
        <v>0</v>
      </c>
      <c r="BH38" s="227">
        <f t="shared" si="18"/>
        <v>0</v>
      </c>
      <c r="BI38" s="227">
        <f>ROUND(BE38*'[1]数据-取费表'!$B$51/(1+'[1]数据-取费表'!$C$42),0)</f>
        <v>0</v>
      </c>
      <c r="BJ38" s="227">
        <f>ROUND(BG38*'[1]数据-取费表'!B$41/(1+'[1]数据-取费表'!C$42),0)</f>
        <v>0</v>
      </c>
      <c r="BK38" s="227">
        <f t="shared" si="19"/>
        <v>0</v>
      </c>
      <c r="BL38" s="227">
        <f t="shared" si="20"/>
        <v>0</v>
      </c>
      <c r="BM38" s="227">
        <f t="shared" si="36"/>
        <v>0</v>
      </c>
      <c r="BN38" s="228">
        <f t="shared" si="21"/>
        <v>0</v>
      </c>
      <c r="BO38" s="229"/>
      <c r="BP38" s="229"/>
      <c r="BQ38" s="229"/>
      <c r="BR38" s="194"/>
    </row>
    <row r="39" spans="1:85" x14ac:dyDescent="0.2">
      <c r="A39" s="146">
        <v>22</v>
      </c>
      <c r="B39" s="125" t="s">
        <v>82</v>
      </c>
      <c r="C39" s="126" t="s">
        <v>85</v>
      </c>
      <c r="D39" s="127">
        <v>303</v>
      </c>
      <c r="E39" s="127">
        <v>131.69</v>
      </c>
      <c r="F39" s="127" t="s">
        <v>83</v>
      </c>
      <c r="G39" s="127" t="s">
        <v>75</v>
      </c>
      <c r="H39" s="128">
        <v>56009</v>
      </c>
      <c r="I39" s="128">
        <v>44987</v>
      </c>
      <c r="J39" s="127">
        <f>IF(F39="商业",[1]项目基本情况!D$15,[1]项目基本情况!E$15)</f>
        <v>30.19</v>
      </c>
      <c r="K39" s="127" t="s">
        <v>84</v>
      </c>
      <c r="L39" s="218"/>
      <c r="M39" s="127">
        <v>3</v>
      </c>
      <c r="N39" s="127" t="s">
        <v>10</v>
      </c>
      <c r="O39" s="127">
        <v>2008</v>
      </c>
      <c r="P39" s="218">
        <f t="shared" si="0"/>
        <v>0</v>
      </c>
      <c r="Q39" s="218">
        <f>ROUND(P39*'[1]数据-取费表'!B$52,0)</f>
        <v>0</v>
      </c>
      <c r="R39" s="218">
        <f t="shared" si="38"/>
        <v>0</v>
      </c>
      <c r="S39" s="218">
        <f t="shared" si="22"/>
        <v>0</v>
      </c>
      <c r="T39" s="220">
        <v>0.8</v>
      </c>
      <c r="U39" s="218">
        <f t="shared" si="39"/>
        <v>0</v>
      </c>
      <c r="V39" s="218">
        <f t="shared" si="2"/>
        <v>0</v>
      </c>
      <c r="W39" s="218">
        <f t="shared" si="23"/>
        <v>0</v>
      </c>
      <c r="X39" s="218">
        <f>ROUND(AC39*'[1]数据-取费表'!$B$41/(1+'[1]数据-取费表'!$C$42),0)</f>
        <v>0</v>
      </c>
      <c r="Y39" s="218">
        <f>ROUND(AC39*'[1]数据-取费表'!$B$51/(1+'[1]数据-取费表'!$C$42),0)</f>
        <v>0</v>
      </c>
      <c r="Z39" s="218">
        <f t="shared" si="3"/>
        <v>0</v>
      </c>
      <c r="AA39" s="218">
        <f t="shared" si="4"/>
        <v>0</v>
      </c>
      <c r="AB39" s="240">
        <f t="shared" si="24"/>
        <v>8.43</v>
      </c>
      <c r="AC39" s="218"/>
      <c r="AD39" s="218">
        <f t="shared" si="25"/>
        <v>0</v>
      </c>
      <c r="AE39" s="218">
        <f t="shared" si="26"/>
        <v>0</v>
      </c>
      <c r="AF39" s="225"/>
      <c r="AG39" s="218"/>
      <c r="AH39" s="226"/>
      <c r="AI39" s="218">
        <f t="shared" si="43"/>
        <v>-123.25</v>
      </c>
      <c r="AJ39" s="218">
        <f t="shared" si="6"/>
        <v>0</v>
      </c>
      <c r="AK39" s="224">
        <f t="shared" si="7"/>
        <v>0</v>
      </c>
      <c r="AL39" s="220">
        <f t="shared" si="8"/>
        <v>2.8</v>
      </c>
      <c r="AM39" s="218">
        <f t="shared" si="9"/>
        <v>0</v>
      </c>
      <c r="AN39" s="218">
        <f t="shared" si="10"/>
        <v>0</v>
      </c>
      <c r="AO39" s="218">
        <f t="shared" si="11"/>
        <v>0</v>
      </c>
      <c r="AP39" s="218">
        <f>ROUND(AV39*'[1]数据-取费表'!$B$41/(1+'[1]数据-取费表'!$B$42),0)</f>
        <v>0</v>
      </c>
      <c r="AQ39" s="218">
        <f>ROUND(AV39*'[1]数据-取费表'!B$51/(1+'[1]数据-取费表'!C$42),0)</f>
        <v>0</v>
      </c>
      <c r="AR39" s="218">
        <f t="shared" si="12"/>
        <v>0</v>
      </c>
      <c r="AS39" s="218">
        <f t="shared" si="27"/>
        <v>0</v>
      </c>
      <c r="AT39" s="223">
        <f t="shared" si="47"/>
        <v>8.43</v>
      </c>
      <c r="AU39" s="224">
        <f t="shared" si="28"/>
        <v>0.22</v>
      </c>
      <c r="AV39" s="218">
        <f t="shared" si="29"/>
        <v>0</v>
      </c>
      <c r="AW39" s="218">
        <f t="shared" si="30"/>
        <v>0</v>
      </c>
      <c r="AX39" s="218">
        <f t="shared" si="13"/>
        <v>0</v>
      </c>
      <c r="AY39" s="218">
        <f t="shared" si="44"/>
        <v>153.44</v>
      </c>
      <c r="AZ39" s="227">
        <f t="shared" si="45"/>
        <v>0</v>
      </c>
      <c r="BA39" s="227">
        <f t="shared" si="31"/>
        <v>0</v>
      </c>
      <c r="BB39" s="229">
        <f t="shared" si="16"/>
        <v>0</v>
      </c>
      <c r="BC39" s="229">
        <f t="shared" si="46"/>
        <v>0</v>
      </c>
      <c r="BD39" s="229">
        <f t="shared" si="33"/>
        <v>0</v>
      </c>
      <c r="BE39" s="227">
        <f t="shared" si="34"/>
        <v>0</v>
      </c>
      <c r="BF39" s="227">
        <f t="shared" si="35"/>
        <v>0</v>
      </c>
      <c r="BG39" s="227">
        <f t="shared" si="17"/>
        <v>0</v>
      </c>
      <c r="BH39" s="227">
        <f t="shared" si="18"/>
        <v>0</v>
      </c>
      <c r="BI39" s="227">
        <f>ROUND(BE39*'[1]数据-取费表'!$B$51/(1+'[1]数据-取费表'!$C$42),0)</f>
        <v>0</v>
      </c>
      <c r="BJ39" s="227">
        <f>ROUND(BG39*'[1]数据-取费表'!B$41/(1+'[1]数据-取费表'!C$42),0)</f>
        <v>0</v>
      </c>
      <c r="BK39" s="227">
        <f t="shared" si="19"/>
        <v>0</v>
      </c>
      <c r="BL39" s="227">
        <f t="shared" si="20"/>
        <v>0</v>
      </c>
      <c r="BM39" s="227">
        <f t="shared" si="36"/>
        <v>0</v>
      </c>
      <c r="BN39" s="228">
        <f t="shared" si="21"/>
        <v>0</v>
      </c>
      <c r="BO39" s="229"/>
      <c r="BP39" s="229"/>
      <c r="BQ39" s="229"/>
      <c r="BR39" s="194"/>
    </row>
    <row r="40" spans="1:85" x14ac:dyDescent="0.2">
      <c r="A40" s="146">
        <v>23</v>
      </c>
      <c r="B40" s="125" t="s">
        <v>82</v>
      </c>
      <c r="C40" s="126" t="s">
        <v>85</v>
      </c>
      <c r="D40" s="127">
        <v>305</v>
      </c>
      <c r="E40" s="127">
        <v>200.45</v>
      </c>
      <c r="F40" s="127" t="s">
        <v>83</v>
      </c>
      <c r="G40" s="127" t="s">
        <v>75</v>
      </c>
      <c r="H40" s="128">
        <v>56009</v>
      </c>
      <c r="I40" s="128">
        <v>44987</v>
      </c>
      <c r="J40" s="127">
        <f>IF(F40="商业",[1]项目基本情况!D$15,[1]项目基本情况!E$15)</f>
        <v>30.19</v>
      </c>
      <c r="K40" s="127" t="s">
        <v>84</v>
      </c>
      <c r="L40" s="218"/>
      <c r="M40" s="127">
        <v>3</v>
      </c>
      <c r="N40" s="127" t="s">
        <v>10</v>
      </c>
      <c r="O40" s="127">
        <v>2008</v>
      </c>
      <c r="P40" s="218">
        <f t="shared" si="0"/>
        <v>0</v>
      </c>
      <c r="Q40" s="218">
        <f>ROUND(P40*'[1]数据-取费表'!B$52,0)</f>
        <v>0</v>
      </c>
      <c r="R40" s="218">
        <f t="shared" si="38"/>
        <v>0</v>
      </c>
      <c r="S40" s="218">
        <f t="shared" si="22"/>
        <v>0</v>
      </c>
      <c r="T40" s="220">
        <v>0.8</v>
      </c>
      <c r="U40" s="218">
        <f t="shared" si="39"/>
        <v>0</v>
      </c>
      <c r="V40" s="218">
        <f t="shared" si="2"/>
        <v>0</v>
      </c>
      <c r="W40" s="218">
        <f t="shared" si="23"/>
        <v>0</v>
      </c>
      <c r="X40" s="218">
        <f>ROUND(AC40*'[1]数据-取费表'!$B$41/(1+'[1]数据-取费表'!$C$42),0)</f>
        <v>0</v>
      </c>
      <c r="Y40" s="218">
        <f>ROUND(AC40*'[1]数据-取费表'!$B$51/(1+'[1]数据-取费表'!$C$42),0)</f>
        <v>0</v>
      </c>
      <c r="Z40" s="218">
        <f t="shared" si="3"/>
        <v>0</v>
      </c>
      <c r="AA40" s="218">
        <f t="shared" si="4"/>
        <v>0</v>
      </c>
      <c r="AB40" s="240">
        <f t="shared" si="24"/>
        <v>8.43</v>
      </c>
      <c r="AC40" s="218"/>
      <c r="AD40" s="218">
        <f t="shared" si="25"/>
        <v>0</v>
      </c>
      <c r="AE40" s="218">
        <f t="shared" si="26"/>
        <v>0</v>
      </c>
      <c r="AF40" s="225"/>
      <c r="AG40" s="218"/>
      <c r="AH40" s="226"/>
      <c r="AI40" s="218">
        <f t="shared" si="43"/>
        <v>-123.25</v>
      </c>
      <c r="AJ40" s="218">
        <f t="shared" si="6"/>
        <v>0</v>
      </c>
      <c r="AK40" s="224">
        <f t="shared" si="7"/>
        <v>0</v>
      </c>
      <c r="AL40" s="220">
        <f t="shared" si="8"/>
        <v>2.8</v>
      </c>
      <c r="AM40" s="218">
        <f t="shared" si="9"/>
        <v>0</v>
      </c>
      <c r="AN40" s="218">
        <f t="shared" si="10"/>
        <v>0</v>
      </c>
      <c r="AO40" s="218">
        <f t="shared" si="11"/>
        <v>0</v>
      </c>
      <c r="AP40" s="218">
        <f>ROUND(AV40*'[1]数据-取费表'!$B$41/(1+'[1]数据-取费表'!$B$42),0)</f>
        <v>0</v>
      </c>
      <c r="AQ40" s="218">
        <f>ROUND(AV40*'[1]数据-取费表'!B$51/(1+'[1]数据-取费表'!C$42),0)</f>
        <v>0</v>
      </c>
      <c r="AR40" s="218">
        <f t="shared" si="12"/>
        <v>0</v>
      </c>
      <c r="AS40" s="218">
        <f t="shared" si="27"/>
        <v>0</v>
      </c>
      <c r="AT40" s="223">
        <f t="shared" si="47"/>
        <v>8.43</v>
      </c>
      <c r="AU40" s="224">
        <f t="shared" si="28"/>
        <v>0.22</v>
      </c>
      <c r="AV40" s="218">
        <f t="shared" si="29"/>
        <v>0</v>
      </c>
      <c r="AW40" s="218">
        <f t="shared" si="30"/>
        <v>0</v>
      </c>
      <c r="AX40" s="218">
        <f t="shared" si="13"/>
        <v>0</v>
      </c>
      <c r="AY40" s="218">
        <f t="shared" si="44"/>
        <v>153.44</v>
      </c>
      <c r="AZ40" s="227">
        <f t="shared" si="45"/>
        <v>0</v>
      </c>
      <c r="BA40" s="227">
        <f t="shared" si="31"/>
        <v>0</v>
      </c>
      <c r="BB40" s="229">
        <f t="shared" si="16"/>
        <v>0</v>
      </c>
      <c r="BC40" s="229">
        <f t="shared" si="46"/>
        <v>0</v>
      </c>
      <c r="BD40" s="229">
        <f t="shared" si="33"/>
        <v>0</v>
      </c>
      <c r="BE40" s="227">
        <f t="shared" si="34"/>
        <v>0</v>
      </c>
      <c r="BF40" s="227">
        <f t="shared" si="35"/>
        <v>0</v>
      </c>
      <c r="BG40" s="227">
        <f t="shared" si="17"/>
        <v>0</v>
      </c>
      <c r="BH40" s="227">
        <f t="shared" si="18"/>
        <v>0</v>
      </c>
      <c r="BI40" s="227">
        <f>ROUND(BE40*'[1]数据-取费表'!$B$51/(1+'[1]数据-取费表'!$C$42),0)</f>
        <v>0</v>
      </c>
      <c r="BJ40" s="227">
        <f>ROUND(BG40*'[1]数据-取费表'!B$41/(1+'[1]数据-取费表'!C$42),0)</f>
        <v>0</v>
      </c>
      <c r="BK40" s="227">
        <f t="shared" si="19"/>
        <v>0</v>
      </c>
      <c r="BL40" s="227">
        <f t="shared" si="20"/>
        <v>0</v>
      </c>
      <c r="BM40" s="227">
        <f t="shared" si="36"/>
        <v>0</v>
      </c>
      <c r="BN40" s="228">
        <f t="shared" si="21"/>
        <v>0</v>
      </c>
      <c r="BO40" s="229"/>
      <c r="BP40" s="229"/>
      <c r="BQ40" s="229"/>
      <c r="BR40" s="194"/>
    </row>
    <row r="41" spans="1:85" x14ac:dyDescent="0.2">
      <c r="A41" s="146">
        <v>24</v>
      </c>
      <c r="B41" s="125" t="s">
        <v>82</v>
      </c>
      <c r="C41" s="126" t="s">
        <v>85</v>
      </c>
      <c r="D41" s="127">
        <v>306</v>
      </c>
      <c r="E41" s="127">
        <v>280.99</v>
      </c>
      <c r="F41" s="127" t="s">
        <v>83</v>
      </c>
      <c r="G41" s="127" t="s">
        <v>75</v>
      </c>
      <c r="H41" s="128">
        <v>56009</v>
      </c>
      <c r="I41" s="128">
        <v>44987</v>
      </c>
      <c r="J41" s="127">
        <f>IF(F41="商业",[1]项目基本情况!D$15,[1]项目基本情况!E$15)</f>
        <v>30.19</v>
      </c>
      <c r="K41" s="127" t="s">
        <v>84</v>
      </c>
      <c r="L41" s="218"/>
      <c r="M41" s="127">
        <v>3</v>
      </c>
      <c r="N41" s="127" t="s">
        <v>10</v>
      </c>
      <c r="O41" s="127">
        <v>2008</v>
      </c>
      <c r="P41" s="218">
        <f t="shared" si="0"/>
        <v>0</v>
      </c>
      <c r="Q41" s="218">
        <f>ROUND(P41*'[1]数据-取费表'!B$52,0)</f>
        <v>0</v>
      </c>
      <c r="R41" s="218">
        <f t="shared" si="38"/>
        <v>0</v>
      </c>
      <c r="S41" s="218">
        <f t="shared" si="22"/>
        <v>0</v>
      </c>
      <c r="T41" s="220">
        <v>0.8</v>
      </c>
      <c r="U41" s="218">
        <f t="shared" si="39"/>
        <v>0</v>
      </c>
      <c r="V41" s="218">
        <f t="shared" si="2"/>
        <v>0</v>
      </c>
      <c r="W41" s="218">
        <f t="shared" si="23"/>
        <v>0</v>
      </c>
      <c r="X41" s="218">
        <f>ROUND(AC41*'[1]数据-取费表'!$B$41/(1+'[1]数据-取费表'!$C$42),0)</f>
        <v>0</v>
      </c>
      <c r="Y41" s="218">
        <f>ROUND(AC41*'[1]数据-取费表'!$B$51/(1+'[1]数据-取费表'!$C$42),0)</f>
        <v>0</v>
      </c>
      <c r="Z41" s="218">
        <f t="shared" si="3"/>
        <v>0</v>
      </c>
      <c r="AA41" s="218">
        <f t="shared" si="4"/>
        <v>0</v>
      </c>
      <c r="AB41" s="240">
        <f t="shared" si="24"/>
        <v>8.43</v>
      </c>
      <c r="AC41" s="218"/>
      <c r="AD41" s="218">
        <f t="shared" si="25"/>
        <v>0</v>
      </c>
      <c r="AE41" s="218">
        <f t="shared" si="26"/>
        <v>0</v>
      </c>
      <c r="AF41" s="225"/>
      <c r="AG41" s="218"/>
      <c r="AH41" s="226"/>
      <c r="AI41" s="218">
        <f t="shared" si="43"/>
        <v>-123.25</v>
      </c>
      <c r="AJ41" s="218">
        <f t="shared" si="6"/>
        <v>0</v>
      </c>
      <c r="AK41" s="224">
        <f t="shared" si="7"/>
        <v>0</v>
      </c>
      <c r="AL41" s="220">
        <f t="shared" si="8"/>
        <v>2.8</v>
      </c>
      <c r="AM41" s="218">
        <f t="shared" si="9"/>
        <v>0</v>
      </c>
      <c r="AN41" s="218">
        <f t="shared" si="10"/>
        <v>0</v>
      </c>
      <c r="AO41" s="218">
        <f t="shared" si="11"/>
        <v>0</v>
      </c>
      <c r="AP41" s="218">
        <f>ROUND(AV41*'[1]数据-取费表'!$B$41/(1+'[1]数据-取费表'!$B$42),0)</f>
        <v>0</v>
      </c>
      <c r="AQ41" s="218">
        <f>ROUND(AV41*'[1]数据-取费表'!B$51/(1+'[1]数据-取费表'!C$42),0)</f>
        <v>0</v>
      </c>
      <c r="AR41" s="218">
        <f t="shared" si="12"/>
        <v>0</v>
      </c>
      <c r="AS41" s="218">
        <f t="shared" si="27"/>
        <v>0</v>
      </c>
      <c r="AT41" s="223">
        <f t="shared" si="47"/>
        <v>8.43</v>
      </c>
      <c r="AU41" s="224">
        <f t="shared" si="28"/>
        <v>0.22</v>
      </c>
      <c r="AV41" s="218">
        <f t="shared" si="29"/>
        <v>0</v>
      </c>
      <c r="AW41" s="218">
        <f t="shared" si="30"/>
        <v>0</v>
      </c>
      <c r="AX41" s="218">
        <f t="shared" si="13"/>
        <v>0</v>
      </c>
      <c r="AY41" s="218">
        <f t="shared" si="44"/>
        <v>153.44</v>
      </c>
      <c r="AZ41" s="227">
        <f t="shared" si="45"/>
        <v>0</v>
      </c>
      <c r="BA41" s="227">
        <f t="shared" si="31"/>
        <v>0</v>
      </c>
      <c r="BB41" s="229">
        <f t="shared" si="16"/>
        <v>0</v>
      </c>
      <c r="BC41" s="229">
        <f t="shared" si="46"/>
        <v>0</v>
      </c>
      <c r="BD41" s="229">
        <f t="shared" si="33"/>
        <v>0</v>
      </c>
      <c r="BE41" s="227">
        <f t="shared" si="34"/>
        <v>0</v>
      </c>
      <c r="BF41" s="227">
        <f t="shared" si="35"/>
        <v>0</v>
      </c>
      <c r="BG41" s="227">
        <f t="shared" si="17"/>
        <v>0</v>
      </c>
      <c r="BH41" s="227">
        <f t="shared" si="18"/>
        <v>0</v>
      </c>
      <c r="BI41" s="227">
        <f>ROUND(BE41*'[1]数据-取费表'!$B$51/(1+'[1]数据-取费表'!$C$42),0)</f>
        <v>0</v>
      </c>
      <c r="BJ41" s="227">
        <f>ROUND(BG41*'[1]数据-取费表'!B$41/(1+'[1]数据-取费表'!C$42),0)</f>
        <v>0</v>
      </c>
      <c r="BK41" s="227">
        <f t="shared" si="19"/>
        <v>0</v>
      </c>
      <c r="BL41" s="227">
        <f t="shared" si="20"/>
        <v>0</v>
      </c>
      <c r="BM41" s="227">
        <f t="shared" si="36"/>
        <v>0</v>
      </c>
      <c r="BN41" s="228">
        <f t="shared" si="21"/>
        <v>0</v>
      </c>
      <c r="BO41" s="229"/>
      <c r="BP41" s="229"/>
      <c r="BQ41" s="229"/>
      <c r="BR41" s="194"/>
    </row>
    <row r="42" spans="1:85" x14ac:dyDescent="0.2">
      <c r="A42" s="146">
        <v>25</v>
      </c>
      <c r="B42" s="125" t="s">
        <v>82</v>
      </c>
      <c r="C42" s="126" t="s">
        <v>85</v>
      </c>
      <c r="D42" s="127">
        <v>308</v>
      </c>
      <c r="E42" s="127">
        <v>392.71</v>
      </c>
      <c r="F42" s="127" t="s">
        <v>83</v>
      </c>
      <c r="G42" s="127" t="s">
        <v>75</v>
      </c>
      <c r="H42" s="128">
        <v>56009</v>
      </c>
      <c r="I42" s="128">
        <v>44987</v>
      </c>
      <c r="J42" s="127">
        <f>IF(F42="商业",[1]项目基本情况!D$15,[1]项目基本情况!E$15)</f>
        <v>30.19</v>
      </c>
      <c r="K42" s="127" t="s">
        <v>84</v>
      </c>
      <c r="L42" s="218"/>
      <c r="M42" s="127">
        <v>3</v>
      </c>
      <c r="N42" s="127" t="s">
        <v>10</v>
      </c>
      <c r="O42" s="127">
        <v>2008</v>
      </c>
      <c r="P42" s="218">
        <f t="shared" si="0"/>
        <v>0</v>
      </c>
      <c r="Q42" s="218">
        <f>ROUND(P42*'[1]数据-取费表'!B$52,0)</f>
        <v>0</v>
      </c>
      <c r="R42" s="218">
        <f t="shared" si="38"/>
        <v>0</v>
      </c>
      <c r="S42" s="218">
        <f t="shared" si="22"/>
        <v>0</v>
      </c>
      <c r="T42" s="220">
        <v>0.8</v>
      </c>
      <c r="U42" s="218">
        <f t="shared" si="39"/>
        <v>0</v>
      </c>
      <c r="V42" s="218">
        <f t="shared" si="2"/>
        <v>0</v>
      </c>
      <c r="W42" s="218">
        <f t="shared" si="23"/>
        <v>0</v>
      </c>
      <c r="X42" s="218">
        <f>ROUND(AC42*'[1]数据-取费表'!$B$41/(1+'[1]数据-取费表'!$C$42),0)</f>
        <v>0</v>
      </c>
      <c r="Y42" s="218">
        <f>ROUND(AC42*'[1]数据-取费表'!$B$51/(1+'[1]数据-取费表'!$C$42),0)</f>
        <v>0</v>
      </c>
      <c r="Z42" s="218">
        <f t="shared" si="3"/>
        <v>0</v>
      </c>
      <c r="AA42" s="218">
        <f t="shared" si="4"/>
        <v>0</v>
      </c>
      <c r="AB42" s="240">
        <f t="shared" si="24"/>
        <v>8.43</v>
      </c>
      <c r="AC42" s="218"/>
      <c r="AD42" s="218">
        <f t="shared" si="25"/>
        <v>0</v>
      </c>
      <c r="AE42" s="218">
        <f t="shared" si="26"/>
        <v>0</v>
      </c>
      <c r="AF42" s="225"/>
      <c r="AG42" s="218"/>
      <c r="AH42" s="226"/>
      <c r="AI42" s="218">
        <f t="shared" si="43"/>
        <v>-123.25</v>
      </c>
      <c r="AJ42" s="218">
        <f t="shared" si="6"/>
        <v>0</v>
      </c>
      <c r="AK42" s="224">
        <f t="shared" si="7"/>
        <v>0</v>
      </c>
      <c r="AL42" s="220">
        <f t="shared" si="8"/>
        <v>2.8</v>
      </c>
      <c r="AM42" s="218">
        <f t="shared" si="9"/>
        <v>0</v>
      </c>
      <c r="AN42" s="218">
        <f t="shared" si="10"/>
        <v>0</v>
      </c>
      <c r="AO42" s="218">
        <f t="shared" si="11"/>
        <v>0</v>
      </c>
      <c r="AP42" s="218">
        <f>ROUND(AV42*'[1]数据-取费表'!$B$41/(1+'[1]数据-取费表'!$B$42),0)</f>
        <v>0</v>
      </c>
      <c r="AQ42" s="218">
        <f>ROUND(AV42*'[1]数据-取费表'!B$51/(1+'[1]数据-取费表'!C$42),0)</f>
        <v>0</v>
      </c>
      <c r="AR42" s="218">
        <f t="shared" si="12"/>
        <v>0</v>
      </c>
      <c r="AS42" s="218">
        <f t="shared" si="27"/>
        <v>0</v>
      </c>
      <c r="AT42" s="223">
        <f t="shared" si="47"/>
        <v>8.43</v>
      </c>
      <c r="AU42" s="224">
        <f t="shared" si="28"/>
        <v>0.22</v>
      </c>
      <c r="AV42" s="218">
        <f t="shared" si="29"/>
        <v>0</v>
      </c>
      <c r="AW42" s="218">
        <f t="shared" si="30"/>
        <v>0</v>
      </c>
      <c r="AX42" s="218">
        <f t="shared" si="13"/>
        <v>0</v>
      </c>
      <c r="AY42" s="218">
        <f t="shared" si="44"/>
        <v>153.44</v>
      </c>
      <c r="AZ42" s="227">
        <f t="shared" si="45"/>
        <v>0</v>
      </c>
      <c r="BA42" s="227">
        <f t="shared" si="31"/>
        <v>0</v>
      </c>
      <c r="BB42" s="229">
        <f t="shared" si="16"/>
        <v>0</v>
      </c>
      <c r="BC42" s="229">
        <f t="shared" si="46"/>
        <v>0</v>
      </c>
      <c r="BD42" s="229">
        <f t="shared" si="33"/>
        <v>0</v>
      </c>
      <c r="BE42" s="227">
        <f t="shared" si="34"/>
        <v>0</v>
      </c>
      <c r="BF42" s="227">
        <f t="shared" si="35"/>
        <v>0</v>
      </c>
      <c r="BG42" s="227">
        <f t="shared" si="17"/>
        <v>0</v>
      </c>
      <c r="BH42" s="227">
        <f t="shared" si="18"/>
        <v>0</v>
      </c>
      <c r="BI42" s="227">
        <f>ROUND(BE42*'[1]数据-取费表'!$B$51/(1+'[1]数据-取费表'!$C$42),0)</f>
        <v>0</v>
      </c>
      <c r="BJ42" s="227">
        <f>ROUND(BG42*'[1]数据-取费表'!B$41/(1+'[1]数据-取费表'!C$42),0)</f>
        <v>0</v>
      </c>
      <c r="BK42" s="227">
        <f t="shared" si="19"/>
        <v>0</v>
      </c>
      <c r="BL42" s="227">
        <f t="shared" si="20"/>
        <v>0</v>
      </c>
      <c r="BM42" s="227">
        <f t="shared" si="36"/>
        <v>0</v>
      </c>
      <c r="BN42" s="228">
        <f t="shared" si="21"/>
        <v>0</v>
      </c>
      <c r="BO42" s="229"/>
      <c r="BP42" s="229"/>
      <c r="BQ42" s="229"/>
      <c r="BR42" s="194"/>
    </row>
    <row r="43" spans="1:85" x14ac:dyDescent="0.2">
      <c r="A43" s="146">
        <v>26</v>
      </c>
      <c r="B43" s="125" t="s">
        <v>82</v>
      </c>
      <c r="C43" s="126" t="s">
        <v>85</v>
      </c>
      <c r="D43" s="127">
        <v>309</v>
      </c>
      <c r="E43" s="127">
        <v>187.73</v>
      </c>
      <c r="F43" s="127" t="s">
        <v>83</v>
      </c>
      <c r="G43" s="127" t="s">
        <v>75</v>
      </c>
      <c r="H43" s="128">
        <v>56009</v>
      </c>
      <c r="I43" s="128">
        <v>44987</v>
      </c>
      <c r="J43" s="127">
        <f>IF(F43="商业",[1]项目基本情况!D$15,[1]项目基本情况!E$15)</f>
        <v>30.19</v>
      </c>
      <c r="K43" s="127" t="s">
        <v>84</v>
      </c>
      <c r="L43" s="218"/>
      <c r="M43" s="127">
        <v>3</v>
      </c>
      <c r="N43" s="127" t="s">
        <v>10</v>
      </c>
      <c r="O43" s="127">
        <v>2008</v>
      </c>
      <c r="P43" s="218">
        <f t="shared" si="0"/>
        <v>0</v>
      </c>
      <c r="Q43" s="218">
        <f>ROUND(P43*'[1]数据-取费表'!B$52,0)</f>
        <v>0</v>
      </c>
      <c r="R43" s="218">
        <f t="shared" si="38"/>
        <v>0</v>
      </c>
      <c r="S43" s="218">
        <f t="shared" si="22"/>
        <v>0</v>
      </c>
      <c r="T43" s="220">
        <v>0.8</v>
      </c>
      <c r="U43" s="218">
        <f t="shared" si="39"/>
        <v>0</v>
      </c>
      <c r="V43" s="218">
        <f t="shared" si="2"/>
        <v>0</v>
      </c>
      <c r="W43" s="218">
        <f t="shared" si="23"/>
        <v>0</v>
      </c>
      <c r="X43" s="218">
        <f>ROUND(AC43*'[1]数据-取费表'!$B$41/(1+'[1]数据-取费表'!$C$42),0)</f>
        <v>0</v>
      </c>
      <c r="Y43" s="218">
        <f>ROUND(AC43*'[1]数据-取费表'!$B$51/(1+'[1]数据-取费表'!$C$42),0)</f>
        <v>0</v>
      </c>
      <c r="Z43" s="218">
        <f t="shared" si="3"/>
        <v>0</v>
      </c>
      <c r="AA43" s="218">
        <f t="shared" si="4"/>
        <v>0</v>
      </c>
      <c r="AB43" s="240">
        <f t="shared" si="24"/>
        <v>8.43</v>
      </c>
      <c r="AC43" s="218"/>
      <c r="AD43" s="218">
        <f t="shared" si="25"/>
        <v>0</v>
      </c>
      <c r="AE43" s="218">
        <f t="shared" si="26"/>
        <v>0</v>
      </c>
      <c r="AF43" s="225"/>
      <c r="AG43" s="218"/>
      <c r="AH43" s="226"/>
      <c r="AI43" s="218">
        <f t="shared" si="43"/>
        <v>-123.25</v>
      </c>
      <c r="AJ43" s="218">
        <f t="shared" si="6"/>
        <v>0</v>
      </c>
      <c r="AK43" s="224">
        <f t="shared" si="7"/>
        <v>0</v>
      </c>
      <c r="AL43" s="220">
        <f t="shared" si="8"/>
        <v>2.8</v>
      </c>
      <c r="AM43" s="218">
        <f t="shared" si="9"/>
        <v>0</v>
      </c>
      <c r="AN43" s="218">
        <f t="shared" si="10"/>
        <v>0</v>
      </c>
      <c r="AO43" s="218">
        <f t="shared" si="11"/>
        <v>0</v>
      </c>
      <c r="AP43" s="218">
        <f>ROUND(AV43*'[1]数据-取费表'!$B$41/(1+'[1]数据-取费表'!$B$42),0)</f>
        <v>0</v>
      </c>
      <c r="AQ43" s="218">
        <f>ROUND(AV43*'[1]数据-取费表'!B$51/(1+'[1]数据-取费表'!C$42),0)</f>
        <v>0</v>
      </c>
      <c r="AR43" s="218">
        <f t="shared" si="12"/>
        <v>0</v>
      </c>
      <c r="AS43" s="218">
        <f t="shared" si="27"/>
        <v>0</v>
      </c>
      <c r="AT43" s="223">
        <f t="shared" si="47"/>
        <v>8.43</v>
      </c>
      <c r="AU43" s="224">
        <f t="shared" si="28"/>
        <v>0.22</v>
      </c>
      <c r="AV43" s="218">
        <f t="shared" si="29"/>
        <v>0</v>
      </c>
      <c r="AW43" s="218">
        <f t="shared" si="30"/>
        <v>0</v>
      </c>
      <c r="AX43" s="218">
        <f t="shared" si="13"/>
        <v>0</v>
      </c>
      <c r="AY43" s="218">
        <f t="shared" si="44"/>
        <v>153.44</v>
      </c>
      <c r="AZ43" s="227">
        <f t="shared" si="45"/>
        <v>0</v>
      </c>
      <c r="BA43" s="227">
        <f t="shared" si="31"/>
        <v>0</v>
      </c>
      <c r="BB43" s="229">
        <f t="shared" si="16"/>
        <v>0</v>
      </c>
      <c r="BC43" s="229">
        <f t="shared" si="46"/>
        <v>0</v>
      </c>
      <c r="BD43" s="229">
        <f t="shared" si="33"/>
        <v>0</v>
      </c>
      <c r="BE43" s="227">
        <f t="shared" si="34"/>
        <v>0</v>
      </c>
      <c r="BF43" s="227">
        <f t="shared" si="35"/>
        <v>0</v>
      </c>
      <c r="BG43" s="227">
        <f t="shared" si="17"/>
        <v>0</v>
      </c>
      <c r="BH43" s="227">
        <f t="shared" si="18"/>
        <v>0</v>
      </c>
      <c r="BI43" s="227">
        <f>ROUND(BE43*'[1]数据-取费表'!$B$51/(1+'[1]数据-取费表'!$C$42),0)</f>
        <v>0</v>
      </c>
      <c r="BJ43" s="227">
        <f>ROUND(BG43*'[1]数据-取费表'!B$41/(1+'[1]数据-取费表'!C$42),0)</f>
        <v>0</v>
      </c>
      <c r="BK43" s="227">
        <f t="shared" si="19"/>
        <v>0</v>
      </c>
      <c r="BL43" s="227">
        <f t="shared" si="20"/>
        <v>0</v>
      </c>
      <c r="BM43" s="227">
        <f t="shared" si="36"/>
        <v>0</v>
      </c>
      <c r="BN43" s="228">
        <f t="shared" si="21"/>
        <v>0</v>
      </c>
      <c r="BO43" s="229"/>
      <c r="BP43" s="229"/>
      <c r="BQ43" s="229"/>
      <c r="BR43" s="194"/>
    </row>
    <row r="44" spans="1:85" x14ac:dyDescent="0.2">
      <c r="A44" s="146">
        <v>27</v>
      </c>
      <c r="B44" s="125" t="s">
        <v>82</v>
      </c>
      <c r="C44" s="126" t="s">
        <v>85</v>
      </c>
      <c r="D44" s="127">
        <v>310</v>
      </c>
      <c r="E44" s="127">
        <v>209.42</v>
      </c>
      <c r="F44" s="127" t="s">
        <v>83</v>
      </c>
      <c r="G44" s="127" t="s">
        <v>75</v>
      </c>
      <c r="H44" s="128">
        <v>56009</v>
      </c>
      <c r="I44" s="128">
        <v>44987</v>
      </c>
      <c r="J44" s="127">
        <f>IF(F44="商业",[1]项目基本情况!D$15,[1]项目基本情况!E$15)</f>
        <v>30.19</v>
      </c>
      <c r="K44" s="127" t="s">
        <v>84</v>
      </c>
      <c r="L44" s="218"/>
      <c r="M44" s="127">
        <v>3</v>
      </c>
      <c r="N44" s="127" t="s">
        <v>10</v>
      </c>
      <c r="O44" s="127">
        <v>2008</v>
      </c>
      <c r="P44" s="218">
        <f t="shared" si="0"/>
        <v>0</v>
      </c>
      <c r="Q44" s="218">
        <f>ROUND(P44*'[1]数据-取费表'!B$52,0)</f>
        <v>0</v>
      </c>
      <c r="R44" s="218">
        <f t="shared" si="38"/>
        <v>0</v>
      </c>
      <c r="S44" s="218">
        <f t="shared" si="22"/>
        <v>0</v>
      </c>
      <c r="T44" s="220">
        <v>0.8</v>
      </c>
      <c r="U44" s="218">
        <f t="shared" si="39"/>
        <v>0</v>
      </c>
      <c r="V44" s="218">
        <f t="shared" si="2"/>
        <v>0</v>
      </c>
      <c r="W44" s="218">
        <f t="shared" si="23"/>
        <v>0</v>
      </c>
      <c r="X44" s="218">
        <f>ROUND(AC44*'[1]数据-取费表'!$B$41/(1+'[1]数据-取费表'!$C$42),0)</f>
        <v>0</v>
      </c>
      <c r="Y44" s="218">
        <f>ROUND(AC44*'[1]数据-取费表'!$B$51/(1+'[1]数据-取费表'!$C$42),0)</f>
        <v>0</v>
      </c>
      <c r="Z44" s="218">
        <f t="shared" si="3"/>
        <v>0</v>
      </c>
      <c r="AA44" s="218">
        <f t="shared" si="4"/>
        <v>0</v>
      </c>
      <c r="AB44" s="240">
        <f t="shared" si="24"/>
        <v>8.43</v>
      </c>
      <c r="AC44" s="218"/>
      <c r="AD44" s="218">
        <f t="shared" si="25"/>
        <v>0</v>
      </c>
      <c r="AE44" s="218">
        <f t="shared" si="26"/>
        <v>0</v>
      </c>
      <c r="AF44" s="225"/>
      <c r="AG44" s="218"/>
      <c r="AH44" s="226"/>
      <c r="AI44" s="218">
        <f t="shared" si="43"/>
        <v>-123.25</v>
      </c>
      <c r="AJ44" s="218">
        <f t="shared" si="6"/>
        <v>0</v>
      </c>
      <c r="AK44" s="224">
        <f t="shared" si="7"/>
        <v>0</v>
      </c>
      <c r="AL44" s="220">
        <f t="shared" si="8"/>
        <v>2.8</v>
      </c>
      <c r="AM44" s="218">
        <f t="shared" si="9"/>
        <v>0</v>
      </c>
      <c r="AN44" s="218">
        <f t="shared" si="10"/>
        <v>0</v>
      </c>
      <c r="AO44" s="218">
        <f t="shared" si="11"/>
        <v>0</v>
      </c>
      <c r="AP44" s="218">
        <f>ROUND(AV44*'[1]数据-取费表'!$B$41/(1+'[1]数据-取费表'!$B$42),0)</f>
        <v>0</v>
      </c>
      <c r="AQ44" s="218">
        <f>ROUND(AV44*'[1]数据-取费表'!B$51/(1+'[1]数据-取费表'!C$42),0)</f>
        <v>0</v>
      </c>
      <c r="AR44" s="218">
        <f t="shared" si="12"/>
        <v>0</v>
      </c>
      <c r="AS44" s="218">
        <f t="shared" si="27"/>
        <v>0</v>
      </c>
      <c r="AT44" s="223">
        <f t="shared" si="47"/>
        <v>8.43</v>
      </c>
      <c r="AU44" s="224">
        <f t="shared" si="28"/>
        <v>0.22</v>
      </c>
      <c r="AV44" s="218">
        <f t="shared" si="29"/>
        <v>0</v>
      </c>
      <c r="AW44" s="218">
        <f t="shared" si="30"/>
        <v>0</v>
      </c>
      <c r="AX44" s="218">
        <f t="shared" si="13"/>
        <v>0</v>
      </c>
      <c r="AY44" s="218">
        <f t="shared" si="44"/>
        <v>153.44</v>
      </c>
      <c r="AZ44" s="227">
        <f t="shared" si="45"/>
        <v>0</v>
      </c>
      <c r="BA44" s="227">
        <f t="shared" si="31"/>
        <v>0</v>
      </c>
      <c r="BB44" s="229">
        <f t="shared" si="16"/>
        <v>0</v>
      </c>
      <c r="BC44" s="229">
        <f t="shared" si="46"/>
        <v>0</v>
      </c>
      <c r="BD44" s="229">
        <f t="shared" si="33"/>
        <v>0</v>
      </c>
      <c r="BE44" s="227">
        <f t="shared" si="34"/>
        <v>0</v>
      </c>
      <c r="BF44" s="227">
        <f t="shared" si="35"/>
        <v>0</v>
      </c>
      <c r="BG44" s="227">
        <f t="shared" si="17"/>
        <v>0</v>
      </c>
      <c r="BH44" s="227">
        <f t="shared" si="18"/>
        <v>0</v>
      </c>
      <c r="BI44" s="227">
        <f>ROUND(BE44*'[1]数据-取费表'!$B$51/(1+'[1]数据-取费表'!$C$42),0)</f>
        <v>0</v>
      </c>
      <c r="BJ44" s="227">
        <f>ROUND(BG44*'[1]数据-取费表'!B$41/(1+'[1]数据-取费表'!C$42),0)</f>
        <v>0</v>
      </c>
      <c r="BK44" s="227">
        <f t="shared" si="19"/>
        <v>0</v>
      </c>
      <c r="BL44" s="227">
        <f t="shared" si="20"/>
        <v>0</v>
      </c>
      <c r="BM44" s="227">
        <f t="shared" si="36"/>
        <v>0</v>
      </c>
      <c r="BN44" s="228">
        <f t="shared" si="21"/>
        <v>0</v>
      </c>
      <c r="BO44" s="229"/>
      <c r="BP44" s="229"/>
      <c r="BQ44" s="229"/>
      <c r="BR44" s="194"/>
    </row>
    <row r="45" spans="1:85" x14ac:dyDescent="0.2">
      <c r="A45" s="146">
        <v>28</v>
      </c>
      <c r="B45" s="141" t="s">
        <v>82</v>
      </c>
      <c r="C45" s="142" t="s">
        <v>85</v>
      </c>
      <c r="D45" s="143">
        <v>502</v>
      </c>
      <c r="E45" s="143">
        <v>217.39</v>
      </c>
      <c r="F45" s="143" t="s">
        <v>83</v>
      </c>
      <c r="G45" s="143" t="s">
        <v>75</v>
      </c>
      <c r="H45" s="144">
        <v>56009</v>
      </c>
      <c r="I45" s="144">
        <v>44987</v>
      </c>
      <c r="J45" s="143">
        <f>IF(F45="商业",[1]项目基本情况!D$15,[1]项目基本情况!E$15)</f>
        <v>30.19</v>
      </c>
      <c r="K45" s="143"/>
      <c r="L45" s="143">
        <v>217.39</v>
      </c>
      <c r="M45" s="143">
        <v>4</v>
      </c>
      <c r="N45" s="143" t="s">
        <v>10</v>
      </c>
      <c r="O45" s="143">
        <v>2008</v>
      </c>
      <c r="P45" s="172">
        <f t="shared" si="0"/>
        <v>40.630000000000003</v>
      </c>
      <c r="Q45" s="172">
        <f>ROUND(P45*'[1]数据-取费表'!B$52,0)</f>
        <v>1219</v>
      </c>
      <c r="R45" s="172">
        <f t="shared" si="38"/>
        <v>2463370</v>
      </c>
      <c r="S45" s="173">
        <f t="shared" si="22"/>
        <v>36951</v>
      </c>
      <c r="T45" s="174">
        <v>0.8</v>
      </c>
      <c r="U45" s="172">
        <f t="shared" si="39"/>
        <v>1970696</v>
      </c>
      <c r="V45" s="173">
        <f t="shared" si="2"/>
        <v>1971</v>
      </c>
      <c r="W45" s="173">
        <f t="shared" si="23"/>
        <v>3021</v>
      </c>
      <c r="X45" s="172">
        <f>ROUND(AC45*'[1]数据-取费表'!$B$41/(1+'[1]数据-取费表'!$C$42),0)</f>
        <v>32107</v>
      </c>
      <c r="Y45" s="172">
        <f>ROUND(AC45*'[1]数据-取费表'!$B$51/(1+'[1]数据-取费表'!$C$42),0)</f>
        <v>68801</v>
      </c>
      <c r="Z45" s="172">
        <f t="shared" si="3"/>
        <v>102127</v>
      </c>
      <c r="AA45" s="173">
        <f t="shared" si="4"/>
        <v>144070</v>
      </c>
      <c r="AB45" s="175">
        <f t="shared" si="24"/>
        <v>8.43</v>
      </c>
      <c r="AC45" s="172">
        <f>ROUND(AB45*365*L45*(1-I$2),0)</f>
        <v>602008</v>
      </c>
      <c r="AD45" s="172">
        <f t="shared" si="25"/>
        <v>2258</v>
      </c>
      <c r="AE45" s="172">
        <f t="shared" si="26"/>
        <v>604266</v>
      </c>
      <c r="AF45" s="176">
        <f>H$2</f>
        <v>0.03</v>
      </c>
      <c r="AG45" s="177"/>
      <c r="AH45" s="144">
        <f>H45</f>
        <v>56009</v>
      </c>
      <c r="AI45" s="143">
        <f t="shared" si="43"/>
        <v>30.19</v>
      </c>
      <c r="AJ45" s="173">
        <f t="shared" si="6"/>
        <v>460196</v>
      </c>
      <c r="AK45" s="178">
        <f t="shared" si="7"/>
        <v>9483689</v>
      </c>
      <c r="AL45" s="174">
        <f t="shared" si="8"/>
        <v>0.25</v>
      </c>
      <c r="AM45" s="172">
        <f t="shared" si="9"/>
        <v>0</v>
      </c>
      <c r="AN45" s="173">
        <f t="shared" si="10"/>
        <v>0</v>
      </c>
      <c r="AO45" s="173">
        <f t="shared" si="11"/>
        <v>0</v>
      </c>
      <c r="AP45" s="172">
        <f>ROUND(AV45*'[1]数据-取费表'!$B$41/(1+'[1]数据-取费表'!$B$42),0)</f>
        <v>0</v>
      </c>
      <c r="AQ45" s="172">
        <f>ROUND(AV45*'[1]数据-取费表'!B$51/(1+'[1]数据-取费表'!C$42),0)</f>
        <v>0</v>
      </c>
      <c r="AR45" s="179">
        <f t="shared" si="12"/>
        <v>0</v>
      </c>
      <c r="AS45" s="173">
        <f t="shared" si="27"/>
        <v>0</v>
      </c>
      <c r="AT45" s="180">
        <f t="shared" si="47"/>
        <v>8.43</v>
      </c>
      <c r="AU45" s="181">
        <f t="shared" si="28"/>
        <v>20.58</v>
      </c>
      <c r="AV45" s="172">
        <f t="shared" si="29"/>
        <v>0</v>
      </c>
      <c r="AW45" s="172">
        <f t="shared" si="30"/>
        <v>0</v>
      </c>
      <c r="AX45" s="172">
        <f t="shared" si="13"/>
        <v>0</v>
      </c>
      <c r="AY45" s="143">
        <f t="shared" si="44"/>
        <v>0</v>
      </c>
      <c r="AZ45" s="182">
        <f t="shared" si="45"/>
        <v>0</v>
      </c>
      <c r="BA45" s="182">
        <f t="shared" si="31"/>
        <v>0</v>
      </c>
      <c r="BB45" s="183">
        <f t="shared" si="16"/>
        <v>0</v>
      </c>
      <c r="BC45" s="183">
        <f t="shared" si="46"/>
        <v>147173</v>
      </c>
      <c r="BD45" s="183">
        <f t="shared" si="33"/>
        <v>963.09</v>
      </c>
      <c r="BE45" s="182">
        <f t="shared" si="34"/>
        <v>0</v>
      </c>
      <c r="BF45" s="182">
        <f t="shared" si="35"/>
        <v>0</v>
      </c>
      <c r="BG45" s="182">
        <f t="shared" si="17"/>
        <v>0</v>
      </c>
      <c r="BH45" s="182">
        <f t="shared" si="18"/>
        <v>0</v>
      </c>
      <c r="BI45" s="182">
        <f>ROUND(BE45*'[1]数据-取费表'!$B$51/(1+'[1]数据-取费表'!$C$42),0)</f>
        <v>0</v>
      </c>
      <c r="BJ45" s="182">
        <f>ROUND(BG45*'[1]数据-取费表'!B$41/(1+'[1]数据-取费表'!C$42),0)</f>
        <v>0</v>
      </c>
      <c r="BK45" s="182">
        <f t="shared" si="19"/>
        <v>0</v>
      </c>
      <c r="BL45" s="182">
        <f t="shared" si="20"/>
        <v>0</v>
      </c>
      <c r="BM45" s="182">
        <f t="shared" si="36"/>
        <v>0</v>
      </c>
      <c r="BN45" s="184">
        <f t="shared" si="21"/>
        <v>0</v>
      </c>
      <c r="BO45" s="183">
        <f t="shared" ref="BO45:BO63" si="49">BD45/$BD$234*$BS$3</f>
        <v>1337.8533505301702</v>
      </c>
      <c r="BP45" s="195">
        <f>SUM(BO45:BO49)</f>
        <v>6015.7490159859981</v>
      </c>
      <c r="BQ45" s="195">
        <f>ROUND(BP45/BS45*10000,0)</f>
        <v>61542</v>
      </c>
      <c r="BR45" s="195"/>
      <c r="BS45" s="20">
        <f>SUM(L45:L49)</f>
        <v>977.51</v>
      </c>
    </row>
    <row r="46" spans="1:85" x14ac:dyDescent="0.2">
      <c r="A46" s="146">
        <v>29</v>
      </c>
      <c r="B46" s="141" t="s">
        <v>82</v>
      </c>
      <c r="C46" s="142" t="s">
        <v>85</v>
      </c>
      <c r="D46" s="143">
        <v>505</v>
      </c>
      <c r="E46" s="143">
        <v>245.83</v>
      </c>
      <c r="F46" s="143" t="s">
        <v>83</v>
      </c>
      <c r="G46" s="143" t="s">
        <v>75</v>
      </c>
      <c r="H46" s="144">
        <v>56009</v>
      </c>
      <c r="I46" s="144">
        <v>44987</v>
      </c>
      <c r="J46" s="143">
        <f>IF(F46="商业",[1]项目基本情况!D$15,[1]项目基本情况!E$15)</f>
        <v>30.19</v>
      </c>
      <c r="K46" s="143"/>
      <c r="L46" s="143">
        <v>245.83</v>
      </c>
      <c r="M46" s="143">
        <v>4</v>
      </c>
      <c r="N46" s="143" t="s">
        <v>10</v>
      </c>
      <c r="O46" s="143">
        <v>2008</v>
      </c>
      <c r="P46" s="172">
        <f t="shared" si="0"/>
        <v>45.95</v>
      </c>
      <c r="Q46" s="172">
        <f>ROUND(P46*'[1]数据-取费表'!B$52,0)</f>
        <v>1379</v>
      </c>
      <c r="R46" s="172">
        <f t="shared" si="38"/>
        <v>2785640</v>
      </c>
      <c r="S46" s="173">
        <f t="shared" si="22"/>
        <v>41785</v>
      </c>
      <c r="T46" s="174">
        <v>0.8</v>
      </c>
      <c r="U46" s="172">
        <f t="shared" si="39"/>
        <v>2228512</v>
      </c>
      <c r="V46" s="173">
        <f t="shared" si="2"/>
        <v>2229</v>
      </c>
      <c r="W46" s="173">
        <f t="shared" si="23"/>
        <v>3417</v>
      </c>
      <c r="X46" s="172">
        <f>ROUND(AC46*'[1]数据-取费表'!$B$41/(1+'[1]数据-取费表'!$C$42),0)</f>
        <v>36308</v>
      </c>
      <c r="Y46" s="172">
        <f>ROUND(AC46*'[1]数据-取费表'!$B$51/(1+'[1]数据-取费表'!$C$42),0)</f>
        <v>77802</v>
      </c>
      <c r="Z46" s="172">
        <f t="shared" si="3"/>
        <v>115489</v>
      </c>
      <c r="AA46" s="173">
        <f t="shared" si="4"/>
        <v>162920</v>
      </c>
      <c r="AB46" s="175">
        <f t="shared" si="24"/>
        <v>8.43</v>
      </c>
      <c r="AC46" s="172">
        <f>ROUND(AB46*365*L46*(1-I$2),0)</f>
        <v>680766</v>
      </c>
      <c r="AD46" s="172">
        <f t="shared" si="25"/>
        <v>2553</v>
      </c>
      <c r="AE46" s="172">
        <f t="shared" si="26"/>
        <v>683319</v>
      </c>
      <c r="AF46" s="176">
        <f>H$2</f>
        <v>0.03</v>
      </c>
      <c r="AG46" s="177"/>
      <c r="AH46" s="144">
        <f>H46</f>
        <v>56009</v>
      </c>
      <c r="AI46" s="143">
        <f t="shared" si="43"/>
        <v>30.19</v>
      </c>
      <c r="AJ46" s="173">
        <f t="shared" si="6"/>
        <v>520399</v>
      </c>
      <c r="AK46" s="178">
        <f t="shared" si="7"/>
        <v>10724349</v>
      </c>
      <c r="AL46" s="174">
        <f t="shared" si="8"/>
        <v>0.25</v>
      </c>
      <c r="AM46" s="172">
        <f t="shared" si="9"/>
        <v>0</v>
      </c>
      <c r="AN46" s="173">
        <f t="shared" si="10"/>
        <v>0</v>
      </c>
      <c r="AO46" s="173">
        <f t="shared" si="11"/>
        <v>0</v>
      </c>
      <c r="AP46" s="172">
        <f>ROUND(AV46*'[1]数据-取费表'!$B$41/(1+'[1]数据-取费表'!$B$42),0)</f>
        <v>0</v>
      </c>
      <c r="AQ46" s="172">
        <f>ROUND(AV46*'[1]数据-取费表'!B$51/(1+'[1]数据-取费表'!C$42),0)</f>
        <v>0</v>
      </c>
      <c r="AR46" s="179">
        <f t="shared" si="12"/>
        <v>0</v>
      </c>
      <c r="AS46" s="173">
        <f t="shared" si="27"/>
        <v>0</v>
      </c>
      <c r="AT46" s="180">
        <f t="shared" si="47"/>
        <v>8.43</v>
      </c>
      <c r="AU46" s="181">
        <f t="shared" si="28"/>
        <v>20.58</v>
      </c>
      <c r="AV46" s="172">
        <f t="shared" si="29"/>
        <v>0</v>
      </c>
      <c r="AW46" s="172">
        <f t="shared" si="30"/>
        <v>0</v>
      </c>
      <c r="AX46" s="172">
        <f t="shared" si="13"/>
        <v>0</v>
      </c>
      <c r="AY46" s="143">
        <f t="shared" si="44"/>
        <v>0</v>
      </c>
      <c r="AZ46" s="182">
        <f t="shared" si="45"/>
        <v>0</v>
      </c>
      <c r="BA46" s="182">
        <f t="shared" si="31"/>
        <v>0</v>
      </c>
      <c r="BB46" s="183">
        <f t="shared" si="16"/>
        <v>0</v>
      </c>
      <c r="BC46" s="183">
        <f t="shared" si="46"/>
        <v>166427</v>
      </c>
      <c r="BD46" s="183">
        <f t="shared" si="33"/>
        <v>1089.08</v>
      </c>
      <c r="BE46" s="182">
        <f t="shared" si="34"/>
        <v>0</v>
      </c>
      <c r="BF46" s="182">
        <f t="shared" si="35"/>
        <v>0</v>
      </c>
      <c r="BG46" s="182">
        <f t="shared" si="17"/>
        <v>0</v>
      </c>
      <c r="BH46" s="182">
        <f t="shared" si="18"/>
        <v>0</v>
      </c>
      <c r="BI46" s="182">
        <f>ROUND(BE46*'[1]数据-取费表'!$B$51/(1+'[1]数据-取费表'!$C$42),0)</f>
        <v>0</v>
      </c>
      <c r="BJ46" s="182">
        <f>ROUND(BG46*'[1]数据-取费表'!B$41/(1+'[1]数据-取费表'!C$42),0)</f>
        <v>0</v>
      </c>
      <c r="BK46" s="182">
        <f t="shared" si="19"/>
        <v>0</v>
      </c>
      <c r="BL46" s="182">
        <f t="shared" si="20"/>
        <v>0</v>
      </c>
      <c r="BM46" s="182">
        <f t="shared" si="36"/>
        <v>0</v>
      </c>
      <c r="BN46" s="184">
        <f t="shared" si="21"/>
        <v>0</v>
      </c>
      <c r="BO46" s="183">
        <f t="shared" si="49"/>
        <v>1512.8693341176813</v>
      </c>
      <c r="BP46" s="195"/>
      <c r="BQ46" s="195"/>
      <c r="BR46" s="195"/>
    </row>
    <row r="47" spans="1:85" x14ac:dyDescent="0.2">
      <c r="A47" s="146">
        <v>30</v>
      </c>
      <c r="B47" s="141" t="s">
        <v>82</v>
      </c>
      <c r="C47" s="142" t="s">
        <v>85</v>
      </c>
      <c r="D47" s="143">
        <v>507</v>
      </c>
      <c r="E47" s="143">
        <v>139.52000000000001</v>
      </c>
      <c r="F47" s="143" t="s">
        <v>83</v>
      </c>
      <c r="G47" s="143" t="s">
        <v>75</v>
      </c>
      <c r="H47" s="144">
        <v>56009</v>
      </c>
      <c r="I47" s="144">
        <v>44987</v>
      </c>
      <c r="J47" s="143">
        <f>IF(F47="商业",[1]项目基本情况!D$15,[1]项目基本情况!E$15)</f>
        <v>30.19</v>
      </c>
      <c r="K47" s="143"/>
      <c r="L47" s="143">
        <v>139.52000000000001</v>
      </c>
      <c r="M47" s="143">
        <v>4</v>
      </c>
      <c r="N47" s="143" t="s">
        <v>10</v>
      </c>
      <c r="O47" s="143">
        <v>2008</v>
      </c>
      <c r="P47" s="172">
        <f t="shared" si="0"/>
        <v>26.08</v>
      </c>
      <c r="Q47" s="172">
        <f>ROUND(P47*'[1]数据-取费表'!B$52,0)</f>
        <v>782</v>
      </c>
      <c r="R47" s="172">
        <f t="shared" si="38"/>
        <v>1580981</v>
      </c>
      <c r="S47" s="173">
        <f t="shared" si="22"/>
        <v>23715</v>
      </c>
      <c r="T47" s="174">
        <v>0.8</v>
      </c>
      <c r="U47" s="172">
        <f t="shared" si="39"/>
        <v>1264785</v>
      </c>
      <c r="V47" s="173">
        <f t="shared" si="2"/>
        <v>1265</v>
      </c>
      <c r="W47" s="173">
        <f t="shared" si="23"/>
        <v>1939</v>
      </c>
      <c r="X47" s="172">
        <f>ROUND(AC47*'[1]数据-取费表'!$B$41/(1+'[1]数据-取费表'!$C$42),0)</f>
        <v>20606</v>
      </c>
      <c r="Y47" s="172">
        <f>ROUND(AC47*'[1]数据-取费表'!$B$51/(1+'[1]数据-取费表'!$C$42),0)</f>
        <v>44156</v>
      </c>
      <c r="Z47" s="172">
        <f t="shared" si="3"/>
        <v>65544</v>
      </c>
      <c r="AA47" s="173">
        <f t="shared" si="4"/>
        <v>92463</v>
      </c>
      <c r="AB47" s="175">
        <f t="shared" si="24"/>
        <v>8.43</v>
      </c>
      <c r="AC47" s="172">
        <f>ROUND(AB47*365*L47*(1-I$2),0)</f>
        <v>386366</v>
      </c>
      <c r="AD47" s="172">
        <f t="shared" si="25"/>
        <v>1449</v>
      </c>
      <c r="AE47" s="172">
        <f t="shared" si="26"/>
        <v>387815</v>
      </c>
      <c r="AF47" s="176">
        <f>H$2</f>
        <v>0.03</v>
      </c>
      <c r="AG47" s="177"/>
      <c r="AH47" s="144">
        <f>H47</f>
        <v>56009</v>
      </c>
      <c r="AI47" s="143">
        <f t="shared" si="43"/>
        <v>30.19</v>
      </c>
      <c r="AJ47" s="173">
        <f t="shared" si="6"/>
        <v>295352</v>
      </c>
      <c r="AK47" s="178">
        <f t="shared" si="7"/>
        <v>6086595</v>
      </c>
      <c r="AL47" s="174">
        <f t="shared" si="8"/>
        <v>0.25</v>
      </c>
      <c r="AM47" s="172">
        <f t="shared" si="9"/>
        <v>0</v>
      </c>
      <c r="AN47" s="173">
        <f t="shared" si="10"/>
        <v>0</v>
      </c>
      <c r="AO47" s="173">
        <f t="shared" si="11"/>
        <v>0</v>
      </c>
      <c r="AP47" s="172">
        <f>ROUND(AV47*'[1]数据-取费表'!$B$41/(1+'[1]数据-取费表'!$B$42),0)</f>
        <v>0</v>
      </c>
      <c r="AQ47" s="172">
        <f>ROUND(AV47*'[1]数据-取费表'!B$51/(1+'[1]数据-取费表'!C$42),0)</f>
        <v>0</v>
      </c>
      <c r="AR47" s="179">
        <f t="shared" si="12"/>
        <v>0</v>
      </c>
      <c r="AS47" s="173">
        <f t="shared" si="27"/>
        <v>0</v>
      </c>
      <c r="AT47" s="180">
        <f t="shared" si="47"/>
        <v>8.43</v>
      </c>
      <c r="AU47" s="181">
        <f t="shared" si="28"/>
        <v>20.58</v>
      </c>
      <c r="AV47" s="172">
        <f t="shared" si="29"/>
        <v>0</v>
      </c>
      <c r="AW47" s="172">
        <f t="shared" si="30"/>
        <v>0</v>
      </c>
      <c r="AX47" s="172">
        <f t="shared" si="13"/>
        <v>0</v>
      </c>
      <c r="AY47" s="143">
        <f t="shared" si="44"/>
        <v>0</v>
      </c>
      <c r="AZ47" s="182">
        <f t="shared" si="45"/>
        <v>0</v>
      </c>
      <c r="BA47" s="182">
        <f t="shared" si="31"/>
        <v>0</v>
      </c>
      <c r="BB47" s="183">
        <f t="shared" si="16"/>
        <v>0</v>
      </c>
      <c r="BC47" s="183">
        <f t="shared" si="46"/>
        <v>94455</v>
      </c>
      <c r="BD47" s="183">
        <f t="shared" si="33"/>
        <v>618.11</v>
      </c>
      <c r="BE47" s="182">
        <f t="shared" si="34"/>
        <v>0</v>
      </c>
      <c r="BF47" s="182">
        <f t="shared" si="35"/>
        <v>0</v>
      </c>
      <c r="BG47" s="182">
        <f t="shared" si="17"/>
        <v>0</v>
      </c>
      <c r="BH47" s="182">
        <f t="shared" si="18"/>
        <v>0</v>
      </c>
      <c r="BI47" s="182">
        <f>ROUND(BE47*'[1]数据-取费表'!$B$51/(1+'[1]数据-取费表'!$C$42),0)</f>
        <v>0</v>
      </c>
      <c r="BJ47" s="182">
        <f>ROUND(BG47*'[1]数据-取费表'!B$41/(1+'[1]数据-取费表'!C$42),0)</f>
        <v>0</v>
      </c>
      <c r="BK47" s="182">
        <f t="shared" si="19"/>
        <v>0</v>
      </c>
      <c r="BL47" s="182">
        <f t="shared" si="20"/>
        <v>0</v>
      </c>
      <c r="BM47" s="182">
        <f t="shared" si="36"/>
        <v>0</v>
      </c>
      <c r="BN47" s="184">
        <f t="shared" si="21"/>
        <v>0</v>
      </c>
      <c r="BO47" s="183">
        <f t="shared" si="49"/>
        <v>858.63266620586194</v>
      </c>
      <c r="BP47" s="195"/>
      <c r="BQ47" s="195"/>
      <c r="BR47" s="195"/>
    </row>
    <row r="48" spans="1:85" x14ac:dyDescent="0.2">
      <c r="A48" s="146">
        <v>31</v>
      </c>
      <c r="B48" s="141" t="s">
        <v>82</v>
      </c>
      <c r="C48" s="142" t="s">
        <v>85</v>
      </c>
      <c r="D48" s="143">
        <v>508</v>
      </c>
      <c r="E48" s="143">
        <v>177.56</v>
      </c>
      <c r="F48" s="143" t="s">
        <v>83</v>
      </c>
      <c r="G48" s="143" t="s">
        <v>75</v>
      </c>
      <c r="H48" s="144">
        <v>56009</v>
      </c>
      <c r="I48" s="144">
        <v>44987</v>
      </c>
      <c r="J48" s="143">
        <f>IF(F48="商业",[1]项目基本情况!D$15,[1]项目基本情况!E$15)</f>
        <v>30.19</v>
      </c>
      <c r="K48" s="143"/>
      <c r="L48" s="143">
        <v>177.56</v>
      </c>
      <c r="M48" s="143">
        <v>4</v>
      </c>
      <c r="N48" s="143" t="s">
        <v>10</v>
      </c>
      <c r="O48" s="143">
        <v>2008</v>
      </c>
      <c r="P48" s="172">
        <f t="shared" si="0"/>
        <v>33.19</v>
      </c>
      <c r="Q48" s="172">
        <f>ROUND(P48*'[1]数据-取费表'!B$52,0)</f>
        <v>996</v>
      </c>
      <c r="R48" s="172">
        <f t="shared" si="38"/>
        <v>2012034</v>
      </c>
      <c r="S48" s="173">
        <f t="shared" si="22"/>
        <v>30181</v>
      </c>
      <c r="T48" s="174">
        <v>0.8</v>
      </c>
      <c r="U48" s="172">
        <f t="shared" si="39"/>
        <v>1609627</v>
      </c>
      <c r="V48" s="173">
        <f t="shared" si="2"/>
        <v>1610</v>
      </c>
      <c r="W48" s="173">
        <f t="shared" si="23"/>
        <v>2468</v>
      </c>
      <c r="X48" s="172">
        <f>ROUND(AC48*'[1]数据-取费表'!$B$41/(1+'[1]数据-取费表'!$C$42),0)</f>
        <v>26224</v>
      </c>
      <c r="Y48" s="172">
        <f>ROUND(AC48*'[1]数据-取费表'!$B$51/(1+'[1]数据-取费表'!$C$42),0)</f>
        <v>56195</v>
      </c>
      <c r="Z48" s="172">
        <f t="shared" si="3"/>
        <v>83415</v>
      </c>
      <c r="AA48" s="173">
        <f t="shared" si="4"/>
        <v>117674</v>
      </c>
      <c r="AB48" s="175">
        <f t="shared" si="24"/>
        <v>8.43</v>
      </c>
      <c r="AC48" s="172">
        <f>ROUND(AB48*365*L48*(1-I$2),0)</f>
        <v>491709</v>
      </c>
      <c r="AD48" s="172">
        <f t="shared" si="25"/>
        <v>1844</v>
      </c>
      <c r="AE48" s="172">
        <f t="shared" si="26"/>
        <v>493553</v>
      </c>
      <c r="AF48" s="176">
        <f>H$2</f>
        <v>0.03</v>
      </c>
      <c r="AG48" s="177"/>
      <c r="AH48" s="144">
        <f>H48</f>
        <v>56009</v>
      </c>
      <c r="AI48" s="143">
        <f t="shared" si="43"/>
        <v>30.19</v>
      </c>
      <c r="AJ48" s="173">
        <f t="shared" si="6"/>
        <v>375879</v>
      </c>
      <c r="AK48" s="178">
        <f t="shared" si="7"/>
        <v>7746090</v>
      </c>
      <c r="AL48" s="174">
        <f t="shared" si="8"/>
        <v>0.25</v>
      </c>
      <c r="AM48" s="172">
        <f t="shared" si="9"/>
        <v>0</v>
      </c>
      <c r="AN48" s="173">
        <f t="shared" si="10"/>
        <v>0</v>
      </c>
      <c r="AO48" s="173">
        <f t="shared" si="11"/>
        <v>0</v>
      </c>
      <c r="AP48" s="172">
        <f>ROUND(AV48*'[1]数据-取费表'!$B$41/(1+'[1]数据-取费表'!$B$42),0)</f>
        <v>0</v>
      </c>
      <c r="AQ48" s="172">
        <f>ROUND(AV48*'[1]数据-取费表'!B$51/(1+'[1]数据-取费表'!C$42),0)</f>
        <v>0</v>
      </c>
      <c r="AR48" s="179">
        <f t="shared" si="12"/>
        <v>0</v>
      </c>
      <c r="AS48" s="173">
        <f t="shared" si="27"/>
        <v>0</v>
      </c>
      <c r="AT48" s="180">
        <f t="shared" si="47"/>
        <v>8.43</v>
      </c>
      <c r="AU48" s="181">
        <f t="shared" si="28"/>
        <v>20.58</v>
      </c>
      <c r="AV48" s="172">
        <f t="shared" si="29"/>
        <v>0</v>
      </c>
      <c r="AW48" s="172">
        <f t="shared" si="30"/>
        <v>0</v>
      </c>
      <c r="AX48" s="172">
        <f t="shared" si="13"/>
        <v>0</v>
      </c>
      <c r="AY48" s="143">
        <f t="shared" si="44"/>
        <v>0</v>
      </c>
      <c r="AZ48" s="182">
        <f t="shared" si="45"/>
        <v>0</v>
      </c>
      <c r="BA48" s="182">
        <f t="shared" si="31"/>
        <v>0</v>
      </c>
      <c r="BB48" s="183">
        <f t="shared" si="16"/>
        <v>0</v>
      </c>
      <c r="BC48" s="183">
        <f t="shared" si="46"/>
        <v>120208</v>
      </c>
      <c r="BD48" s="183">
        <f t="shared" si="33"/>
        <v>786.63</v>
      </c>
      <c r="BE48" s="182">
        <f t="shared" si="34"/>
        <v>0</v>
      </c>
      <c r="BF48" s="182">
        <f t="shared" si="35"/>
        <v>0</v>
      </c>
      <c r="BG48" s="182">
        <f t="shared" si="17"/>
        <v>0</v>
      </c>
      <c r="BH48" s="182">
        <f t="shared" si="18"/>
        <v>0</v>
      </c>
      <c r="BI48" s="182">
        <f>ROUND(BE48*'[1]数据-取费表'!$B$51/(1+'[1]数据-取费表'!$C$42),0)</f>
        <v>0</v>
      </c>
      <c r="BJ48" s="182">
        <f>ROUND(BG48*'[1]数据-取费表'!B$41/(1+'[1]数据-取费表'!C$42),0)</f>
        <v>0</v>
      </c>
      <c r="BK48" s="182">
        <f t="shared" si="19"/>
        <v>0</v>
      </c>
      <c r="BL48" s="182">
        <f t="shared" si="20"/>
        <v>0</v>
      </c>
      <c r="BM48" s="182">
        <f t="shared" si="36"/>
        <v>0</v>
      </c>
      <c r="BN48" s="184">
        <f t="shared" si="21"/>
        <v>0</v>
      </c>
      <c r="BO48" s="183">
        <f t="shared" si="49"/>
        <v>1092.7281781843315</v>
      </c>
      <c r="BP48" s="195"/>
      <c r="BQ48" s="195"/>
      <c r="BR48" s="195"/>
    </row>
    <row r="49" spans="1:85" x14ac:dyDescent="0.2">
      <c r="A49" s="146">
        <v>32</v>
      </c>
      <c r="B49" s="141" t="s">
        <v>82</v>
      </c>
      <c r="C49" s="142" t="s">
        <v>85</v>
      </c>
      <c r="D49" s="143">
        <v>509</v>
      </c>
      <c r="E49" s="143">
        <v>197.21</v>
      </c>
      <c r="F49" s="143" t="s">
        <v>83</v>
      </c>
      <c r="G49" s="143" t="s">
        <v>75</v>
      </c>
      <c r="H49" s="144">
        <v>56009</v>
      </c>
      <c r="I49" s="144">
        <v>44987</v>
      </c>
      <c r="J49" s="143">
        <f>IF(F49="商业",[1]项目基本情况!D$15,[1]项目基本情况!E$15)</f>
        <v>30.19</v>
      </c>
      <c r="K49" s="143"/>
      <c r="L49" s="143">
        <v>197.21</v>
      </c>
      <c r="M49" s="143">
        <v>4</v>
      </c>
      <c r="N49" s="143" t="s">
        <v>10</v>
      </c>
      <c r="O49" s="143">
        <v>2008</v>
      </c>
      <c r="P49" s="172">
        <f t="shared" si="0"/>
        <v>36.86</v>
      </c>
      <c r="Q49" s="172">
        <f>ROUND(P49*'[1]数据-取费表'!B$52,0)</f>
        <v>1106</v>
      </c>
      <c r="R49" s="172">
        <f t="shared" si="38"/>
        <v>2234699</v>
      </c>
      <c r="S49" s="173">
        <f t="shared" si="22"/>
        <v>33520</v>
      </c>
      <c r="T49" s="174">
        <v>0.8</v>
      </c>
      <c r="U49" s="172">
        <f t="shared" si="39"/>
        <v>1787759</v>
      </c>
      <c r="V49" s="173">
        <f t="shared" si="2"/>
        <v>1788</v>
      </c>
      <c r="W49" s="173">
        <f t="shared" si="23"/>
        <v>2741</v>
      </c>
      <c r="X49" s="172">
        <f>ROUND(AC49*'[1]数据-取费表'!$B$41/(1+'[1]数据-取费表'!$C$42),0)</f>
        <v>29127</v>
      </c>
      <c r="Y49" s="172">
        <f>ROUND(AC49*'[1]数据-取费表'!$B$51/(1+'[1]数据-取费表'!$C$42),0)</f>
        <v>62414</v>
      </c>
      <c r="Z49" s="172">
        <f t="shared" si="3"/>
        <v>92647</v>
      </c>
      <c r="AA49" s="173">
        <f t="shared" si="4"/>
        <v>130696</v>
      </c>
      <c r="AB49" s="175">
        <f t="shared" si="24"/>
        <v>8.43</v>
      </c>
      <c r="AC49" s="172">
        <f>ROUND(AB49*365*L49*(1-I$2),0)</f>
        <v>546125</v>
      </c>
      <c r="AD49" s="172">
        <f t="shared" si="25"/>
        <v>2048</v>
      </c>
      <c r="AE49" s="172">
        <f t="shared" si="26"/>
        <v>548173</v>
      </c>
      <c r="AF49" s="176">
        <f>H$2</f>
        <v>0.03</v>
      </c>
      <c r="AG49" s="177"/>
      <c r="AH49" s="144">
        <f>H49</f>
        <v>56009</v>
      </c>
      <c r="AI49" s="143">
        <f t="shared" si="43"/>
        <v>30.19</v>
      </c>
      <c r="AJ49" s="173">
        <f t="shared" si="6"/>
        <v>417477</v>
      </c>
      <c r="AK49" s="178">
        <f t="shared" si="7"/>
        <v>8603339</v>
      </c>
      <c r="AL49" s="174">
        <f t="shared" si="8"/>
        <v>0.25</v>
      </c>
      <c r="AM49" s="172">
        <f t="shared" si="9"/>
        <v>0</v>
      </c>
      <c r="AN49" s="173">
        <f t="shared" si="10"/>
        <v>0</v>
      </c>
      <c r="AO49" s="173">
        <f t="shared" si="11"/>
        <v>0</v>
      </c>
      <c r="AP49" s="172">
        <f>ROUND(AV49*'[1]数据-取费表'!$B$41/(1+'[1]数据-取费表'!$B$42),0)</f>
        <v>0</v>
      </c>
      <c r="AQ49" s="172">
        <f>ROUND(AV49*'[1]数据-取费表'!B$51/(1+'[1]数据-取费表'!C$42),0)</f>
        <v>0</v>
      </c>
      <c r="AR49" s="179">
        <f t="shared" si="12"/>
        <v>0</v>
      </c>
      <c r="AS49" s="173">
        <f t="shared" si="27"/>
        <v>0</v>
      </c>
      <c r="AT49" s="180">
        <f t="shared" si="47"/>
        <v>8.43</v>
      </c>
      <c r="AU49" s="181">
        <f t="shared" si="28"/>
        <v>20.58</v>
      </c>
      <c r="AV49" s="172">
        <f t="shared" si="29"/>
        <v>0</v>
      </c>
      <c r="AW49" s="172">
        <f t="shared" si="30"/>
        <v>0</v>
      </c>
      <c r="AX49" s="172">
        <f t="shared" si="13"/>
        <v>0</v>
      </c>
      <c r="AY49" s="143">
        <f t="shared" si="44"/>
        <v>0</v>
      </c>
      <c r="AZ49" s="182">
        <f t="shared" si="45"/>
        <v>0</v>
      </c>
      <c r="BA49" s="182">
        <f t="shared" si="31"/>
        <v>0</v>
      </c>
      <c r="BB49" s="183">
        <f t="shared" si="16"/>
        <v>0</v>
      </c>
      <c r="BC49" s="183">
        <f t="shared" si="46"/>
        <v>133511</v>
      </c>
      <c r="BD49" s="183">
        <f t="shared" si="33"/>
        <v>873.69</v>
      </c>
      <c r="BE49" s="182">
        <f t="shared" si="34"/>
        <v>0</v>
      </c>
      <c r="BF49" s="182">
        <f t="shared" si="35"/>
        <v>0</v>
      </c>
      <c r="BG49" s="182">
        <f t="shared" si="17"/>
        <v>0</v>
      </c>
      <c r="BH49" s="182">
        <f t="shared" si="18"/>
        <v>0</v>
      </c>
      <c r="BI49" s="182">
        <f>ROUND(BE49*'[1]数据-取费表'!$B$51/(1+'[1]数据-取费表'!$C$42),0)</f>
        <v>0</v>
      </c>
      <c r="BJ49" s="182">
        <f>ROUND(BG49*'[1]数据-取费表'!B$41/(1+'[1]数据-取费表'!C$42),0)</f>
        <v>0</v>
      </c>
      <c r="BK49" s="182">
        <f t="shared" si="19"/>
        <v>0</v>
      </c>
      <c r="BL49" s="182">
        <f t="shared" si="20"/>
        <v>0</v>
      </c>
      <c r="BM49" s="182">
        <f t="shared" si="36"/>
        <v>0</v>
      </c>
      <c r="BN49" s="184">
        <f t="shared" si="21"/>
        <v>0</v>
      </c>
      <c r="BO49" s="183">
        <f t="shared" si="49"/>
        <v>1213.6654869479535</v>
      </c>
      <c r="BP49" s="195"/>
      <c r="BQ49" s="195"/>
      <c r="BR49" s="195"/>
    </row>
    <row r="50" spans="1:85" x14ac:dyDescent="0.2">
      <c r="A50" s="146">
        <v>33</v>
      </c>
      <c r="B50" s="125" t="s">
        <v>82</v>
      </c>
      <c r="C50" s="126" t="s">
        <v>85</v>
      </c>
      <c r="D50" s="127">
        <v>602</v>
      </c>
      <c r="E50" s="127">
        <v>216.1</v>
      </c>
      <c r="F50" s="127" t="s">
        <v>83</v>
      </c>
      <c r="G50" s="127" t="s">
        <v>75</v>
      </c>
      <c r="H50" s="128">
        <v>56009</v>
      </c>
      <c r="I50" s="128">
        <v>44987</v>
      </c>
      <c r="J50" s="127">
        <f>IF(F50="商业",[1]项目基本情况!D$15,[1]项目基本情况!E$15)</f>
        <v>30.19</v>
      </c>
      <c r="K50" s="127" t="s">
        <v>84</v>
      </c>
      <c r="L50" s="127">
        <f>E50</f>
        <v>216.1</v>
      </c>
      <c r="M50" s="127">
        <v>5</v>
      </c>
      <c r="N50" s="127" t="s">
        <v>10</v>
      </c>
      <c r="O50" s="127">
        <v>2008</v>
      </c>
      <c r="P50" s="129">
        <f t="shared" si="0"/>
        <v>40.39</v>
      </c>
      <c r="Q50" s="129">
        <f>ROUND(P50*'[1]数据-取费表'!B$52,0)</f>
        <v>1212</v>
      </c>
      <c r="R50" s="129">
        <f t="shared" si="38"/>
        <v>2448752</v>
      </c>
      <c r="S50" s="130">
        <f t="shared" si="22"/>
        <v>36731</v>
      </c>
      <c r="T50" s="131">
        <v>0.8</v>
      </c>
      <c r="U50" s="129">
        <f t="shared" si="39"/>
        <v>1959002</v>
      </c>
      <c r="V50" s="130">
        <f t="shared" si="2"/>
        <v>1959</v>
      </c>
      <c r="W50" s="130">
        <f t="shared" si="23"/>
        <v>1915</v>
      </c>
      <c r="X50" s="129">
        <f>ROUND(AC50*'[1]数据-取费表'!$B$41/(1+'[1]数据-取费表'!$C$42),0)</f>
        <v>20351</v>
      </c>
      <c r="Y50" s="129">
        <f>ROUND(AC50*'[1]数据-取费表'!$B$51/(1+'[1]数据-取费表'!$C$42),0)</f>
        <v>43609</v>
      </c>
      <c r="Z50" s="129">
        <f t="shared" si="3"/>
        <v>65172</v>
      </c>
      <c r="AA50" s="130">
        <f t="shared" si="4"/>
        <v>105777</v>
      </c>
      <c r="AB50" s="132">
        <f>ROUND(AC50/365/L50,2)</f>
        <v>4.84</v>
      </c>
      <c r="AC50" s="127">
        <v>381577</v>
      </c>
      <c r="AD50" s="129">
        <f t="shared" si="25"/>
        <v>1431</v>
      </c>
      <c r="AE50" s="129">
        <f t="shared" si="26"/>
        <v>383008</v>
      </c>
      <c r="AF50" s="134">
        <v>0</v>
      </c>
      <c r="AG50" s="134"/>
      <c r="AH50" s="145">
        <v>45230</v>
      </c>
      <c r="AI50" s="127">
        <f t="shared" si="43"/>
        <v>0.66</v>
      </c>
      <c r="AJ50" s="130">
        <f t="shared" si="6"/>
        <v>277231</v>
      </c>
      <c r="AK50" s="135">
        <f t="shared" si="7"/>
        <v>175008</v>
      </c>
      <c r="AL50" s="131">
        <f t="shared" si="8"/>
        <v>0.75</v>
      </c>
      <c r="AM50" s="129">
        <f t="shared" si="9"/>
        <v>1836564</v>
      </c>
      <c r="AN50" s="130">
        <f t="shared" si="10"/>
        <v>1837</v>
      </c>
      <c r="AO50" s="130">
        <f t="shared" si="11"/>
        <v>3064</v>
      </c>
      <c r="AP50" s="129">
        <f>ROUND(AV50*'[1]数据-取费表'!$B$41/(1+'[1]数据-取费表'!$B$42),0)</f>
        <v>32560</v>
      </c>
      <c r="AQ50" s="129">
        <f>ROUND(AV50*'[1]数据-取费表'!B$51/(1+'[1]数据-取费表'!C$42),0)</f>
        <v>69772</v>
      </c>
      <c r="AR50" s="136">
        <f t="shared" si="12"/>
        <v>103544</v>
      </c>
      <c r="AS50" s="130">
        <f t="shared" si="27"/>
        <v>145176</v>
      </c>
      <c r="AT50" s="137">
        <f t="shared" si="47"/>
        <v>8.43</v>
      </c>
      <c r="AU50" s="138">
        <f t="shared" si="28"/>
        <v>8.6</v>
      </c>
      <c r="AV50" s="129">
        <f t="shared" si="29"/>
        <v>610504</v>
      </c>
      <c r="AW50" s="129">
        <f t="shared" si="30"/>
        <v>2289</v>
      </c>
      <c r="AX50" s="129">
        <f t="shared" si="13"/>
        <v>612793</v>
      </c>
      <c r="AY50" s="127">
        <f t="shared" si="44"/>
        <v>29.53</v>
      </c>
      <c r="AZ50" s="139">
        <f t="shared" si="45"/>
        <v>467617</v>
      </c>
      <c r="BA50" s="139">
        <f t="shared" si="31"/>
        <v>9491949</v>
      </c>
      <c r="BB50" s="140">
        <f t="shared" si="16"/>
        <v>9162390</v>
      </c>
      <c r="BC50" s="140">
        <f t="shared" si="46"/>
        <v>146300</v>
      </c>
      <c r="BD50" s="140">
        <f t="shared" si="33"/>
        <v>948.37</v>
      </c>
      <c r="BE50" s="139">
        <f t="shared" si="34"/>
        <v>598436</v>
      </c>
      <c r="BF50" s="139">
        <f t="shared" si="35"/>
        <v>2244</v>
      </c>
      <c r="BG50" s="139">
        <f t="shared" si="17"/>
        <v>600680</v>
      </c>
      <c r="BH50" s="139">
        <f t="shared" si="18"/>
        <v>3003</v>
      </c>
      <c r="BI50" s="139">
        <f>ROUND(BE50*'[1]数据-取费表'!$B$51/(1+'[1]数据-取费表'!$C$42),0)</f>
        <v>68393</v>
      </c>
      <c r="BJ50" s="139">
        <f>ROUND(BG50*'[1]数据-取费表'!B$41/(1+'[1]数据-取费表'!C$42),0)</f>
        <v>32036</v>
      </c>
      <c r="BK50" s="139">
        <f t="shared" si="19"/>
        <v>143334</v>
      </c>
      <c r="BL50" s="139">
        <f t="shared" si="20"/>
        <v>457346</v>
      </c>
      <c r="BM50" s="139">
        <f t="shared" si="36"/>
        <v>287277</v>
      </c>
      <c r="BN50" s="165">
        <f t="shared" si="21"/>
        <v>112269</v>
      </c>
      <c r="BO50" s="140">
        <f t="shared" si="49"/>
        <v>1317.4054159448208</v>
      </c>
      <c r="BP50" s="194">
        <f>SUM(BO50:BO54)</f>
        <v>6621.7830120152339</v>
      </c>
      <c r="BQ50" s="194">
        <f>ROUND(BP50*10000/BS50,0)</f>
        <v>61145</v>
      </c>
      <c r="BR50" s="194"/>
      <c r="BS50" s="20">
        <f>SUM(E50:E54)</f>
        <v>1082.9700000000003</v>
      </c>
    </row>
    <row r="51" spans="1:85" x14ac:dyDescent="0.2">
      <c r="A51" s="146">
        <v>34</v>
      </c>
      <c r="B51" s="125" t="s">
        <v>82</v>
      </c>
      <c r="C51" s="126" t="s">
        <v>85</v>
      </c>
      <c r="D51" s="127">
        <v>605</v>
      </c>
      <c r="E51" s="127">
        <v>196.75</v>
      </c>
      <c r="F51" s="127" t="s">
        <v>83</v>
      </c>
      <c r="G51" s="127" t="s">
        <v>75</v>
      </c>
      <c r="H51" s="128">
        <v>56009</v>
      </c>
      <c r="I51" s="128">
        <v>44987</v>
      </c>
      <c r="J51" s="127">
        <f>IF(F51="商业",[1]项目基本情况!D$15,[1]项目基本情况!E$15)</f>
        <v>30.19</v>
      </c>
      <c r="K51" s="127" t="s">
        <v>84</v>
      </c>
      <c r="L51" s="127">
        <f>E51</f>
        <v>196.75</v>
      </c>
      <c r="M51" s="127">
        <v>5</v>
      </c>
      <c r="N51" s="127" t="s">
        <v>10</v>
      </c>
      <c r="O51" s="127">
        <v>2008</v>
      </c>
      <c r="P51" s="129">
        <f t="shared" si="0"/>
        <v>36.78</v>
      </c>
      <c r="Q51" s="129">
        <f>ROUND(P51*'[1]数据-取费表'!B$52,0)</f>
        <v>1103</v>
      </c>
      <c r="R51" s="129">
        <f t="shared" si="38"/>
        <v>2229486</v>
      </c>
      <c r="S51" s="130">
        <f t="shared" si="22"/>
        <v>33442</v>
      </c>
      <c r="T51" s="131">
        <v>0.8</v>
      </c>
      <c r="U51" s="129">
        <f t="shared" si="39"/>
        <v>1783589</v>
      </c>
      <c r="V51" s="130">
        <f t="shared" si="2"/>
        <v>1784</v>
      </c>
      <c r="W51" s="130">
        <f t="shared" si="23"/>
        <v>2304</v>
      </c>
      <c r="X51" s="129">
        <f>ROUND(AC51*'[1]数据-取费表'!$B$41/(1+'[1]数据-取费表'!$C$42),0)</f>
        <v>24486</v>
      </c>
      <c r="Y51" s="129">
        <f>ROUND(AC51*'[1]数据-取费表'!$B$51/(1+'[1]数据-取费表'!$C$42),0)</f>
        <v>52471</v>
      </c>
      <c r="Z51" s="129">
        <f t="shared" si="3"/>
        <v>78060</v>
      </c>
      <c r="AA51" s="130">
        <f t="shared" si="4"/>
        <v>115590</v>
      </c>
      <c r="AB51" s="132">
        <f>ROUND(AC51/365/L51,2)</f>
        <v>6.39</v>
      </c>
      <c r="AC51" s="127">
        <v>459120</v>
      </c>
      <c r="AD51" s="129">
        <f t="shared" si="25"/>
        <v>1722</v>
      </c>
      <c r="AE51" s="129">
        <f t="shared" si="26"/>
        <v>460842</v>
      </c>
      <c r="AF51" s="134">
        <v>0</v>
      </c>
      <c r="AG51" s="134"/>
      <c r="AH51" s="145">
        <v>45473</v>
      </c>
      <c r="AI51" s="127">
        <f t="shared" si="43"/>
        <v>1.33</v>
      </c>
      <c r="AJ51" s="130">
        <f t="shared" si="6"/>
        <v>345252</v>
      </c>
      <c r="AK51" s="135">
        <f t="shared" si="7"/>
        <v>431458</v>
      </c>
      <c r="AL51" s="131">
        <f t="shared" si="8"/>
        <v>0.73</v>
      </c>
      <c r="AM51" s="129">
        <f t="shared" si="9"/>
        <v>1627525</v>
      </c>
      <c r="AN51" s="130">
        <f t="shared" si="10"/>
        <v>1628</v>
      </c>
      <c r="AO51" s="130">
        <f t="shared" si="11"/>
        <v>2845</v>
      </c>
      <c r="AP51" s="129">
        <f>ROUND(AV51*'[1]数据-取费表'!$B$41/(1+'[1]数据-取费表'!$B$42),0)</f>
        <v>30231</v>
      </c>
      <c r="AQ51" s="129">
        <f>ROUND(AV51*'[1]数据-取费表'!B$51/(1+'[1]数据-取费表'!C$42),0)</f>
        <v>64780</v>
      </c>
      <c r="AR51" s="136">
        <f t="shared" si="12"/>
        <v>96114</v>
      </c>
      <c r="AS51" s="130">
        <f t="shared" si="27"/>
        <v>134029</v>
      </c>
      <c r="AT51" s="137">
        <f t="shared" si="47"/>
        <v>8.43</v>
      </c>
      <c r="AU51" s="138">
        <f t="shared" si="28"/>
        <v>8.77</v>
      </c>
      <c r="AV51" s="129">
        <f t="shared" si="29"/>
        <v>566826</v>
      </c>
      <c r="AW51" s="129">
        <f t="shared" si="30"/>
        <v>2126</v>
      </c>
      <c r="AX51" s="129">
        <f t="shared" si="13"/>
        <v>568952</v>
      </c>
      <c r="AY51" s="127">
        <f t="shared" si="44"/>
        <v>28.86</v>
      </c>
      <c r="AZ51" s="139">
        <f t="shared" si="45"/>
        <v>434923</v>
      </c>
      <c r="BA51" s="139">
        <f t="shared" si="31"/>
        <v>8689516</v>
      </c>
      <c r="BB51" s="140">
        <f t="shared" si="16"/>
        <v>8092260</v>
      </c>
      <c r="BC51" s="140">
        <f t="shared" si="46"/>
        <v>133200</v>
      </c>
      <c r="BD51" s="140">
        <f t="shared" si="33"/>
        <v>865.69</v>
      </c>
      <c r="BE51" s="139">
        <f t="shared" si="34"/>
        <v>544851</v>
      </c>
      <c r="BF51" s="139">
        <f t="shared" si="35"/>
        <v>2043</v>
      </c>
      <c r="BG51" s="139">
        <f t="shared" si="17"/>
        <v>546894</v>
      </c>
      <c r="BH51" s="139">
        <f t="shared" si="18"/>
        <v>2734</v>
      </c>
      <c r="BI51" s="139">
        <f>ROUND(BE51*'[1]数据-取费表'!$B$51/(1+'[1]数据-取费表'!$C$42),0)</f>
        <v>62269</v>
      </c>
      <c r="BJ51" s="139">
        <f>ROUND(BG51*'[1]数据-取费表'!B$41/(1+'[1]数据-取费表'!C$42),0)</f>
        <v>29168</v>
      </c>
      <c r="BK51" s="139">
        <f t="shared" si="19"/>
        <v>130500</v>
      </c>
      <c r="BL51" s="139">
        <f t="shared" si="20"/>
        <v>416394</v>
      </c>
      <c r="BM51" s="139">
        <f t="shared" si="36"/>
        <v>522869</v>
      </c>
      <c r="BN51" s="165">
        <f t="shared" si="21"/>
        <v>91411</v>
      </c>
      <c r="BO51" s="140">
        <f t="shared" si="49"/>
        <v>1202.5524790211332</v>
      </c>
      <c r="BP51" s="194"/>
      <c r="BQ51" s="194"/>
      <c r="BR51" s="194"/>
    </row>
    <row r="52" spans="1:85" x14ac:dyDescent="0.2">
      <c r="A52" s="146">
        <v>35</v>
      </c>
      <c r="B52" s="125" t="s">
        <v>82</v>
      </c>
      <c r="C52" s="126" t="s">
        <v>85</v>
      </c>
      <c r="D52" s="127">
        <v>607</v>
      </c>
      <c r="E52" s="127">
        <v>235.3</v>
      </c>
      <c r="F52" s="127" t="s">
        <v>83</v>
      </c>
      <c r="G52" s="127" t="s">
        <v>75</v>
      </c>
      <c r="H52" s="128">
        <v>56009</v>
      </c>
      <c r="I52" s="128">
        <v>44987</v>
      </c>
      <c r="J52" s="127">
        <f>IF(F52="商业",[1]项目基本情况!D$15,[1]项目基本情况!E$15)</f>
        <v>30.19</v>
      </c>
      <c r="K52" s="127" t="s">
        <v>84</v>
      </c>
      <c r="L52" s="127">
        <f>E52</f>
        <v>235.3</v>
      </c>
      <c r="M52" s="127">
        <v>5</v>
      </c>
      <c r="N52" s="127" t="s">
        <v>10</v>
      </c>
      <c r="O52" s="127">
        <v>2008</v>
      </c>
      <c r="P52" s="129">
        <f t="shared" si="0"/>
        <v>43.98</v>
      </c>
      <c r="Q52" s="129">
        <f>ROUND(P52*'[1]数据-取费表'!B$52,0)</f>
        <v>1319</v>
      </c>
      <c r="R52" s="129">
        <f t="shared" si="38"/>
        <v>2666318</v>
      </c>
      <c r="S52" s="130">
        <f t="shared" si="22"/>
        <v>39995</v>
      </c>
      <c r="T52" s="131">
        <v>0.8</v>
      </c>
      <c r="U52" s="129">
        <f t="shared" si="39"/>
        <v>2133054</v>
      </c>
      <c r="V52" s="130">
        <f t="shared" si="2"/>
        <v>2133</v>
      </c>
      <c r="W52" s="130">
        <f t="shared" si="23"/>
        <v>171</v>
      </c>
      <c r="X52" s="129">
        <f>ROUND(AC52*'[1]数据-取费表'!$B$41/(1+'[1]数据-取费表'!$C$42),0)</f>
        <v>1818</v>
      </c>
      <c r="Y52" s="129">
        <f>ROUND(AC52*'[1]数据-取费表'!$B$51/(1+'[1]数据-取费表'!$C$42),0)</f>
        <v>3896</v>
      </c>
      <c r="Z52" s="129">
        <f t="shared" si="3"/>
        <v>7033</v>
      </c>
      <c r="AA52" s="130">
        <f t="shared" si="4"/>
        <v>49332</v>
      </c>
      <c r="AB52" s="132">
        <f>ROUND(AC52/365/L52,2)</f>
        <v>0.4</v>
      </c>
      <c r="AC52" s="127">
        <v>34094</v>
      </c>
      <c r="AD52" s="129">
        <f t="shared" si="25"/>
        <v>128</v>
      </c>
      <c r="AE52" s="129">
        <f t="shared" si="26"/>
        <v>34222</v>
      </c>
      <c r="AF52" s="134">
        <v>0</v>
      </c>
      <c r="AG52" s="134"/>
      <c r="AH52" s="145">
        <v>45016</v>
      </c>
      <c r="AI52" s="127">
        <f t="shared" si="43"/>
        <v>7.0000000000000007E-2</v>
      </c>
      <c r="AJ52" s="130">
        <f t="shared" si="6"/>
        <v>-15110</v>
      </c>
      <c r="AK52" s="135">
        <f t="shared" si="7"/>
        <v>-1028</v>
      </c>
      <c r="AL52" s="131">
        <f t="shared" si="8"/>
        <v>0.75</v>
      </c>
      <c r="AM52" s="129">
        <f t="shared" si="9"/>
        <v>1999739</v>
      </c>
      <c r="AN52" s="130">
        <f t="shared" si="10"/>
        <v>2000</v>
      </c>
      <c r="AO52" s="130">
        <f t="shared" si="11"/>
        <v>3278</v>
      </c>
      <c r="AP52" s="129">
        <f>ROUND(AV52*'[1]数据-取费表'!$B$41/(1+'[1]数据-取费表'!$B$42),0)</f>
        <v>34835</v>
      </c>
      <c r="AQ52" s="129">
        <f>ROUND(AV52*'[1]数据-取费表'!B$51/(1+'[1]数据-取费表'!C$42),0)</f>
        <v>74646</v>
      </c>
      <c r="AR52" s="136">
        <f t="shared" si="12"/>
        <v>110800</v>
      </c>
      <c r="AS52" s="130">
        <f t="shared" si="27"/>
        <v>156073</v>
      </c>
      <c r="AT52" s="137">
        <f t="shared" si="47"/>
        <v>8.43</v>
      </c>
      <c r="AU52" s="138">
        <f t="shared" si="28"/>
        <v>8.4499999999999993</v>
      </c>
      <c r="AV52" s="129">
        <f t="shared" si="29"/>
        <v>653152</v>
      </c>
      <c r="AW52" s="129">
        <f t="shared" si="30"/>
        <v>2449</v>
      </c>
      <c r="AX52" s="129">
        <f t="shared" si="13"/>
        <v>655601</v>
      </c>
      <c r="AY52" s="127">
        <f t="shared" si="44"/>
        <v>30.12</v>
      </c>
      <c r="AZ52" s="139">
        <f t="shared" si="45"/>
        <v>499528</v>
      </c>
      <c r="BA52" s="139">
        <f t="shared" si="31"/>
        <v>10277965</v>
      </c>
      <c r="BB52" s="140">
        <f t="shared" si="16"/>
        <v>10239517</v>
      </c>
      <c r="BC52" s="140">
        <f t="shared" si="46"/>
        <v>159298</v>
      </c>
      <c r="BD52" s="140">
        <f t="shared" si="33"/>
        <v>1039.78</v>
      </c>
      <c r="BE52" s="139">
        <f t="shared" si="34"/>
        <v>651606</v>
      </c>
      <c r="BF52" s="139">
        <f t="shared" si="35"/>
        <v>2444</v>
      </c>
      <c r="BG52" s="139">
        <f t="shared" si="17"/>
        <v>654050</v>
      </c>
      <c r="BH52" s="139">
        <f t="shared" si="18"/>
        <v>3270</v>
      </c>
      <c r="BI52" s="139">
        <f>ROUND(BE52*'[1]数据-取费表'!$B$51/(1+'[1]数据-取费表'!$C$42),0)</f>
        <v>74469</v>
      </c>
      <c r="BJ52" s="139">
        <f>ROUND(BG52*'[1]数据-取费表'!B$41/(1+'[1]数据-取费表'!C$42),0)</f>
        <v>34883</v>
      </c>
      <c r="BK52" s="139">
        <f t="shared" si="19"/>
        <v>156069</v>
      </c>
      <c r="BL52" s="139">
        <f t="shared" si="20"/>
        <v>497981</v>
      </c>
      <c r="BM52" s="139">
        <f t="shared" si="36"/>
        <v>33411</v>
      </c>
      <c r="BN52" s="165">
        <f t="shared" si="21"/>
        <v>34439</v>
      </c>
      <c r="BO52" s="140">
        <f t="shared" si="49"/>
        <v>1444.3854227686513</v>
      </c>
      <c r="BP52" s="194"/>
      <c r="BQ52" s="194"/>
      <c r="BR52" s="194"/>
    </row>
    <row r="53" spans="1:85" x14ac:dyDescent="0.2">
      <c r="A53" s="146">
        <v>36</v>
      </c>
      <c r="B53" s="125" t="s">
        <v>82</v>
      </c>
      <c r="C53" s="126" t="s">
        <v>85</v>
      </c>
      <c r="D53" s="127">
        <v>608</v>
      </c>
      <c r="E53" s="127">
        <v>245.69</v>
      </c>
      <c r="F53" s="127" t="s">
        <v>83</v>
      </c>
      <c r="G53" s="127" t="s">
        <v>75</v>
      </c>
      <c r="H53" s="128">
        <v>56009</v>
      </c>
      <c r="I53" s="128">
        <v>44987</v>
      </c>
      <c r="J53" s="127">
        <f>IF(F53="商业",[1]项目基本情况!D$15,[1]项目基本情况!E$15)</f>
        <v>30.19</v>
      </c>
      <c r="K53" s="127"/>
      <c r="L53" s="127">
        <v>245.69</v>
      </c>
      <c r="M53" s="127">
        <v>5</v>
      </c>
      <c r="N53" s="127" t="s">
        <v>10</v>
      </c>
      <c r="O53" s="127">
        <v>2008</v>
      </c>
      <c r="P53" s="129">
        <f t="shared" si="0"/>
        <v>45.92</v>
      </c>
      <c r="Q53" s="129">
        <f>ROUND(P53*'[1]数据-取费表'!B$52,0)</f>
        <v>1378</v>
      </c>
      <c r="R53" s="129">
        <f t="shared" si="38"/>
        <v>2784053</v>
      </c>
      <c r="S53" s="130">
        <f t="shared" si="22"/>
        <v>41761</v>
      </c>
      <c r="T53" s="131">
        <v>0.8</v>
      </c>
      <c r="U53" s="129">
        <f t="shared" si="39"/>
        <v>2227242</v>
      </c>
      <c r="V53" s="130">
        <f t="shared" si="2"/>
        <v>2227</v>
      </c>
      <c r="W53" s="130">
        <f t="shared" si="23"/>
        <v>3415</v>
      </c>
      <c r="X53" s="129">
        <f>ROUND(AC53*'[1]数据-取费表'!$B$41/(1+'[1]数据-取费表'!$C$42),0)</f>
        <v>36287</v>
      </c>
      <c r="Y53" s="129">
        <f>ROUND(AC53*'[1]数据-取费表'!$B$51/(1+'[1]数据-取费表'!$C$42),0)</f>
        <v>77757</v>
      </c>
      <c r="Z53" s="129">
        <f t="shared" si="3"/>
        <v>115422</v>
      </c>
      <c r="AA53" s="130">
        <f t="shared" si="4"/>
        <v>162825</v>
      </c>
      <c r="AB53" s="132">
        <f t="shared" si="24"/>
        <v>8.43</v>
      </c>
      <c r="AC53" s="129">
        <f>ROUND(AB53*365*L53*(1-I$2),0)</f>
        <v>680378</v>
      </c>
      <c r="AD53" s="129">
        <f t="shared" si="25"/>
        <v>2551</v>
      </c>
      <c r="AE53" s="129">
        <f t="shared" si="26"/>
        <v>682929</v>
      </c>
      <c r="AF53" s="133">
        <f>H$2</f>
        <v>0.03</v>
      </c>
      <c r="AG53" s="134"/>
      <c r="AH53" s="128">
        <f>H53</f>
        <v>56009</v>
      </c>
      <c r="AI53" s="127">
        <f t="shared" si="43"/>
        <v>30.19</v>
      </c>
      <c r="AJ53" s="130">
        <f t="shared" si="6"/>
        <v>520104</v>
      </c>
      <c r="AK53" s="135">
        <f t="shared" si="7"/>
        <v>10718270</v>
      </c>
      <c r="AL53" s="131">
        <f t="shared" si="8"/>
        <v>0.25</v>
      </c>
      <c r="AM53" s="129">
        <f t="shared" si="9"/>
        <v>0</v>
      </c>
      <c r="AN53" s="130">
        <f t="shared" si="10"/>
        <v>0</v>
      </c>
      <c r="AO53" s="130">
        <f t="shared" si="11"/>
        <v>0</v>
      </c>
      <c r="AP53" s="129">
        <f>ROUND(AV53*'[1]数据-取费表'!$B$41/(1+'[1]数据-取费表'!$B$42),0)</f>
        <v>0</v>
      </c>
      <c r="AQ53" s="129">
        <f>ROUND(AV53*'[1]数据-取费表'!B$51/(1+'[1]数据-取费表'!C$42),0)</f>
        <v>0</v>
      </c>
      <c r="AR53" s="136">
        <f t="shared" si="12"/>
        <v>0</v>
      </c>
      <c r="AS53" s="130">
        <f t="shared" si="27"/>
        <v>0</v>
      </c>
      <c r="AT53" s="137">
        <f t="shared" si="47"/>
        <v>8.43</v>
      </c>
      <c r="AU53" s="138">
        <f t="shared" si="28"/>
        <v>20.58</v>
      </c>
      <c r="AV53" s="129">
        <f t="shared" si="29"/>
        <v>0</v>
      </c>
      <c r="AW53" s="129">
        <f t="shared" si="30"/>
        <v>0</v>
      </c>
      <c r="AX53" s="129">
        <f t="shared" si="13"/>
        <v>0</v>
      </c>
      <c r="AY53" s="127">
        <f t="shared" si="44"/>
        <v>0</v>
      </c>
      <c r="AZ53" s="139">
        <f t="shared" si="45"/>
        <v>0</v>
      </c>
      <c r="BA53" s="139">
        <f t="shared" si="31"/>
        <v>0</v>
      </c>
      <c r="BB53" s="140">
        <f t="shared" si="16"/>
        <v>0</v>
      </c>
      <c r="BC53" s="140">
        <f t="shared" si="46"/>
        <v>166332</v>
      </c>
      <c r="BD53" s="140">
        <f t="shared" si="33"/>
        <v>1088.46</v>
      </c>
      <c r="BE53" s="139">
        <f t="shared" si="34"/>
        <v>0</v>
      </c>
      <c r="BF53" s="139">
        <f t="shared" si="35"/>
        <v>0</v>
      </c>
      <c r="BG53" s="139">
        <f t="shared" si="17"/>
        <v>0</v>
      </c>
      <c r="BH53" s="139">
        <f t="shared" si="18"/>
        <v>0</v>
      </c>
      <c r="BI53" s="139">
        <f>ROUND(BE53*'[1]数据-取费表'!$B$51/(1+'[1]数据-取费表'!$C$42),0)</f>
        <v>0</v>
      </c>
      <c r="BJ53" s="139">
        <f>ROUND(BG53*'[1]数据-取费表'!B$41/(1+'[1]数据-取费表'!C$42),0)</f>
        <v>0</v>
      </c>
      <c r="BK53" s="139">
        <f t="shared" si="19"/>
        <v>0</v>
      </c>
      <c r="BL53" s="139">
        <f t="shared" si="20"/>
        <v>0</v>
      </c>
      <c r="BM53" s="139">
        <f t="shared" si="36"/>
        <v>0</v>
      </c>
      <c r="BN53" s="165">
        <f t="shared" si="21"/>
        <v>0</v>
      </c>
      <c r="BO53" s="140">
        <f t="shared" si="49"/>
        <v>1512.0080760033529</v>
      </c>
      <c r="BP53" s="194"/>
      <c r="BQ53" s="194"/>
      <c r="BR53" s="194"/>
    </row>
    <row r="54" spans="1:85" x14ac:dyDescent="0.2">
      <c r="A54" s="146">
        <v>37</v>
      </c>
      <c r="B54" s="125" t="s">
        <v>82</v>
      </c>
      <c r="C54" s="126" t="s">
        <v>85</v>
      </c>
      <c r="D54" s="127">
        <v>609</v>
      </c>
      <c r="E54" s="127">
        <v>189.13</v>
      </c>
      <c r="F54" s="127" t="s">
        <v>83</v>
      </c>
      <c r="G54" s="127" t="s">
        <v>75</v>
      </c>
      <c r="H54" s="128">
        <v>56009</v>
      </c>
      <c r="I54" s="128">
        <v>44987</v>
      </c>
      <c r="J54" s="127">
        <f>IF(F54="商业",[1]项目基本情况!D$15,[1]项目基本情况!E$15)</f>
        <v>30.19</v>
      </c>
      <c r="K54" s="127" t="s">
        <v>84</v>
      </c>
      <c r="L54" s="127">
        <f>E54</f>
        <v>189.13</v>
      </c>
      <c r="M54" s="127">
        <v>5</v>
      </c>
      <c r="N54" s="127" t="s">
        <v>10</v>
      </c>
      <c r="O54" s="127">
        <v>2008</v>
      </c>
      <c r="P54" s="129">
        <f t="shared" si="0"/>
        <v>35.35</v>
      </c>
      <c r="Q54" s="129">
        <f>ROUND(P54*'[1]数据-取费表'!B$52,0)</f>
        <v>1061</v>
      </c>
      <c r="R54" s="129">
        <f t="shared" si="38"/>
        <v>2143140</v>
      </c>
      <c r="S54" s="130">
        <f t="shared" si="22"/>
        <v>32147</v>
      </c>
      <c r="T54" s="131">
        <v>0.8</v>
      </c>
      <c r="U54" s="129">
        <f t="shared" si="39"/>
        <v>1714512</v>
      </c>
      <c r="V54" s="130">
        <f t="shared" si="2"/>
        <v>1715</v>
      </c>
      <c r="W54" s="130">
        <f t="shared" si="23"/>
        <v>785</v>
      </c>
      <c r="X54" s="129">
        <f>ROUND(AC54*'[1]数据-取费表'!$B$41/(1+'[1]数据-取费表'!$C$42),0)</f>
        <v>8337</v>
      </c>
      <c r="Y54" s="129">
        <f>ROUND(AC54*'[1]数据-取费表'!$B$51/(1+'[1]数据-取费表'!$C$42),0)</f>
        <v>17865</v>
      </c>
      <c r="Z54" s="129">
        <f t="shared" si="3"/>
        <v>27263</v>
      </c>
      <c r="AA54" s="130">
        <f t="shared" si="4"/>
        <v>61910</v>
      </c>
      <c r="AB54" s="132">
        <f>ROUND(AC54/365/L54,2)</f>
        <v>2.2599999999999998</v>
      </c>
      <c r="AC54" s="127">
        <v>156320</v>
      </c>
      <c r="AD54" s="129">
        <f t="shared" si="25"/>
        <v>586</v>
      </c>
      <c r="AE54" s="129">
        <f t="shared" si="26"/>
        <v>156906</v>
      </c>
      <c r="AF54" s="134">
        <v>0</v>
      </c>
      <c r="AG54" s="134"/>
      <c r="AH54" s="145">
        <v>45169</v>
      </c>
      <c r="AI54" s="127">
        <f t="shared" si="43"/>
        <v>0.49</v>
      </c>
      <c r="AJ54" s="130">
        <f t="shared" si="6"/>
        <v>94996</v>
      </c>
      <c r="AK54" s="135">
        <f t="shared" si="7"/>
        <v>44724</v>
      </c>
      <c r="AL54" s="131">
        <f t="shared" si="8"/>
        <v>0.75</v>
      </c>
      <c r="AM54" s="129">
        <f t="shared" si="9"/>
        <v>1607355</v>
      </c>
      <c r="AN54" s="130">
        <f t="shared" si="10"/>
        <v>1607</v>
      </c>
      <c r="AO54" s="130">
        <f t="shared" si="11"/>
        <v>2666</v>
      </c>
      <c r="AP54" s="129">
        <f>ROUND(AV54*'[1]数据-取费表'!$B$41/(1+'[1]数据-取费表'!$B$42),0)</f>
        <v>28331</v>
      </c>
      <c r="AQ54" s="129">
        <f>ROUND(AV54*'[1]数据-取费表'!B$51/(1+'[1]数据-取费表'!C$42),0)</f>
        <v>60709</v>
      </c>
      <c r="AR54" s="136">
        <f t="shared" si="12"/>
        <v>90101</v>
      </c>
      <c r="AS54" s="130">
        <f t="shared" si="27"/>
        <v>126521</v>
      </c>
      <c r="AT54" s="137">
        <f t="shared" si="47"/>
        <v>8.43</v>
      </c>
      <c r="AU54" s="138">
        <f t="shared" si="28"/>
        <v>8.5500000000000007</v>
      </c>
      <c r="AV54" s="129">
        <f t="shared" si="29"/>
        <v>531205</v>
      </c>
      <c r="AW54" s="129">
        <f t="shared" si="30"/>
        <v>1992</v>
      </c>
      <c r="AX54" s="129">
        <f t="shared" si="13"/>
        <v>533197</v>
      </c>
      <c r="AY54" s="127">
        <f t="shared" si="44"/>
        <v>29.700000000000003</v>
      </c>
      <c r="AZ54" s="139">
        <f t="shared" si="45"/>
        <v>406676</v>
      </c>
      <c r="BA54" s="139">
        <f t="shared" si="31"/>
        <v>8287533</v>
      </c>
      <c r="BB54" s="140">
        <f t="shared" si="16"/>
        <v>8072937</v>
      </c>
      <c r="BC54" s="140">
        <f t="shared" si="46"/>
        <v>128041</v>
      </c>
      <c r="BD54" s="140">
        <f t="shared" si="33"/>
        <v>824.57</v>
      </c>
      <c r="BE54" s="139">
        <f t="shared" si="34"/>
        <v>523749</v>
      </c>
      <c r="BF54" s="139">
        <f t="shared" si="35"/>
        <v>1964</v>
      </c>
      <c r="BG54" s="139">
        <f t="shared" si="17"/>
        <v>525713</v>
      </c>
      <c r="BH54" s="139">
        <f t="shared" si="18"/>
        <v>2629</v>
      </c>
      <c r="BI54" s="139">
        <f>ROUND(BE54*'[1]数据-取费表'!$B$51/(1+'[1]数据-取费表'!$C$42),0)</f>
        <v>59857</v>
      </c>
      <c r="BJ54" s="139">
        <f>ROUND(BG54*'[1]数据-取费表'!B$41/(1+'[1]数据-取费表'!C$42),0)</f>
        <v>28038</v>
      </c>
      <c r="BK54" s="139">
        <f t="shared" si="19"/>
        <v>125447</v>
      </c>
      <c r="BL54" s="139">
        <f t="shared" si="20"/>
        <v>400266</v>
      </c>
      <c r="BM54" s="139">
        <f t="shared" si="36"/>
        <v>187042</v>
      </c>
      <c r="BN54" s="165">
        <f t="shared" si="21"/>
        <v>142318</v>
      </c>
      <c r="BO54" s="140">
        <f t="shared" si="49"/>
        <v>1145.4316182772768</v>
      </c>
      <c r="BP54" s="194"/>
      <c r="BQ54" s="194"/>
      <c r="BR54" s="194"/>
    </row>
    <row r="55" spans="1:85" x14ac:dyDescent="0.2">
      <c r="A55" s="146">
        <v>38</v>
      </c>
      <c r="B55" s="141" t="s">
        <v>82</v>
      </c>
      <c r="C55" s="142" t="s">
        <v>85</v>
      </c>
      <c r="D55" s="143">
        <v>701</v>
      </c>
      <c r="E55" s="143">
        <v>133.94999999999999</v>
      </c>
      <c r="F55" s="143" t="s">
        <v>83</v>
      </c>
      <c r="G55" s="143" t="s">
        <v>75</v>
      </c>
      <c r="H55" s="144">
        <v>56009</v>
      </c>
      <c r="I55" s="144">
        <v>44987</v>
      </c>
      <c r="J55" s="143">
        <f>IF(F55="商业",[1]项目基本情况!D$15,[1]项目基本情况!E$15)</f>
        <v>30.19</v>
      </c>
      <c r="K55" s="143"/>
      <c r="L55" s="143">
        <v>133.94999999999999</v>
      </c>
      <c r="M55" s="143">
        <v>6</v>
      </c>
      <c r="N55" s="143" t="s">
        <v>10</v>
      </c>
      <c r="O55" s="143">
        <v>2008</v>
      </c>
      <c r="P55" s="172">
        <f t="shared" si="0"/>
        <v>25.04</v>
      </c>
      <c r="Q55" s="172">
        <f>ROUND(P55*'[1]数据-取费表'!B$52,0)</f>
        <v>751</v>
      </c>
      <c r="R55" s="172">
        <f t="shared" si="38"/>
        <v>1517864</v>
      </c>
      <c r="S55" s="173">
        <f t="shared" si="22"/>
        <v>22768</v>
      </c>
      <c r="T55" s="174">
        <v>0.8</v>
      </c>
      <c r="U55" s="172">
        <f t="shared" si="39"/>
        <v>1214291</v>
      </c>
      <c r="V55" s="173">
        <f t="shared" si="2"/>
        <v>1214</v>
      </c>
      <c r="W55" s="173">
        <f t="shared" si="23"/>
        <v>1862</v>
      </c>
      <c r="X55" s="172">
        <f>ROUND(AC55*'[1]数据-取费表'!$B$41/(1+'[1]数据-取费表'!$C$42),0)</f>
        <v>19784</v>
      </c>
      <c r="Y55" s="172">
        <f>ROUND(AC55*'[1]数据-取费表'!$B$51/(1+'[1]数据-取费表'!$C$42),0)</f>
        <v>42393</v>
      </c>
      <c r="Z55" s="172">
        <f t="shared" si="3"/>
        <v>62928</v>
      </c>
      <c r="AA55" s="173">
        <f t="shared" si="4"/>
        <v>88772</v>
      </c>
      <c r="AB55" s="175">
        <f t="shared" si="24"/>
        <v>8.43</v>
      </c>
      <c r="AC55" s="172">
        <f>ROUND(AB55*365*L55*(1-I$2),0)</f>
        <v>370942</v>
      </c>
      <c r="AD55" s="172">
        <f t="shared" si="25"/>
        <v>1391</v>
      </c>
      <c r="AE55" s="172">
        <f t="shared" si="26"/>
        <v>372333</v>
      </c>
      <c r="AF55" s="176">
        <f>H$2</f>
        <v>0.03</v>
      </c>
      <c r="AG55" s="177"/>
      <c r="AH55" s="144">
        <f>H55</f>
        <v>56009</v>
      </c>
      <c r="AI55" s="143">
        <f t="shared" si="43"/>
        <v>30.19</v>
      </c>
      <c r="AJ55" s="173">
        <f t="shared" si="6"/>
        <v>283561</v>
      </c>
      <c r="AK55" s="178">
        <f t="shared" si="7"/>
        <v>5843607</v>
      </c>
      <c r="AL55" s="174">
        <f t="shared" si="8"/>
        <v>0.25</v>
      </c>
      <c r="AM55" s="172">
        <f t="shared" si="9"/>
        <v>0</v>
      </c>
      <c r="AN55" s="173">
        <f t="shared" si="10"/>
        <v>0</v>
      </c>
      <c r="AO55" s="173">
        <f t="shared" si="11"/>
        <v>0</v>
      </c>
      <c r="AP55" s="172">
        <f>ROUND(AV55*'[1]数据-取费表'!$B$41/(1+'[1]数据-取费表'!$B$42),0)</f>
        <v>0</v>
      </c>
      <c r="AQ55" s="172">
        <f>ROUND(AV55*'[1]数据-取费表'!B$51/(1+'[1]数据-取费表'!C$42),0)</f>
        <v>0</v>
      </c>
      <c r="AR55" s="179">
        <f t="shared" si="12"/>
        <v>0</v>
      </c>
      <c r="AS55" s="173">
        <f t="shared" si="27"/>
        <v>0</v>
      </c>
      <c r="AT55" s="180">
        <f t="shared" si="47"/>
        <v>8.43</v>
      </c>
      <c r="AU55" s="181">
        <f t="shared" si="28"/>
        <v>20.58</v>
      </c>
      <c r="AV55" s="172">
        <f t="shared" si="29"/>
        <v>0</v>
      </c>
      <c r="AW55" s="172">
        <f t="shared" si="30"/>
        <v>0</v>
      </c>
      <c r="AX55" s="172">
        <f t="shared" si="13"/>
        <v>0</v>
      </c>
      <c r="AY55" s="143">
        <f t="shared" si="44"/>
        <v>0</v>
      </c>
      <c r="AZ55" s="182">
        <f t="shared" si="45"/>
        <v>0</v>
      </c>
      <c r="BA55" s="182">
        <f t="shared" si="31"/>
        <v>0</v>
      </c>
      <c r="BB55" s="183">
        <f t="shared" si="16"/>
        <v>0</v>
      </c>
      <c r="BC55" s="183">
        <f t="shared" si="46"/>
        <v>90684</v>
      </c>
      <c r="BD55" s="183">
        <f t="shared" si="33"/>
        <v>593.42999999999995</v>
      </c>
      <c r="BE55" s="182">
        <f t="shared" si="34"/>
        <v>0</v>
      </c>
      <c r="BF55" s="182">
        <f t="shared" si="35"/>
        <v>0</v>
      </c>
      <c r="BG55" s="182">
        <f t="shared" si="17"/>
        <v>0</v>
      </c>
      <c r="BH55" s="182">
        <f t="shared" si="18"/>
        <v>0</v>
      </c>
      <c r="BI55" s="182">
        <f>ROUND(BE55*'[1]数据-取费表'!$B$51/(1+'[1]数据-取费表'!$C$42),0)</f>
        <v>0</v>
      </c>
      <c r="BJ55" s="182">
        <f>ROUND(BG55*'[1]数据-取费表'!B$41/(1+'[1]数据-取费表'!C$42),0)</f>
        <v>0</v>
      </c>
      <c r="BK55" s="182">
        <f t="shared" si="19"/>
        <v>0</v>
      </c>
      <c r="BL55" s="182">
        <f t="shared" si="20"/>
        <v>0</v>
      </c>
      <c r="BM55" s="182">
        <f t="shared" si="36"/>
        <v>0</v>
      </c>
      <c r="BN55" s="184">
        <f t="shared" si="21"/>
        <v>0</v>
      </c>
      <c r="BO55" s="183">
        <f t="shared" si="49"/>
        <v>824.34903675162116</v>
      </c>
      <c r="BP55" s="195">
        <f>SUM(BO55:BO61)</f>
        <v>8619.1378179625572</v>
      </c>
      <c r="BQ55" s="195">
        <f>ROUND(BP55*10000/BS55,0)</f>
        <v>61107</v>
      </c>
      <c r="BR55" s="195"/>
      <c r="BS55" s="20">
        <f>SUM(E55:E61)</f>
        <v>1410.4899999999998</v>
      </c>
    </row>
    <row r="56" spans="1:85" x14ac:dyDescent="0.2">
      <c r="A56" s="146">
        <v>39</v>
      </c>
      <c r="B56" s="141" t="s">
        <v>82</v>
      </c>
      <c r="C56" s="142" t="s">
        <v>85</v>
      </c>
      <c r="D56" s="143">
        <v>702</v>
      </c>
      <c r="E56" s="143">
        <v>215.21</v>
      </c>
      <c r="F56" s="143" t="s">
        <v>83</v>
      </c>
      <c r="G56" s="143" t="s">
        <v>75</v>
      </c>
      <c r="H56" s="144">
        <v>56009</v>
      </c>
      <c r="I56" s="144">
        <v>44987</v>
      </c>
      <c r="J56" s="143">
        <f>IF(F56="商业",[1]项目基本情况!D$15,[1]项目基本情况!E$15)</f>
        <v>30.19</v>
      </c>
      <c r="K56" s="143"/>
      <c r="L56" s="143">
        <v>215.21</v>
      </c>
      <c r="M56" s="143">
        <v>6</v>
      </c>
      <c r="N56" s="143" t="s">
        <v>10</v>
      </c>
      <c r="O56" s="143">
        <v>2008</v>
      </c>
      <c r="P56" s="172">
        <f t="shared" si="0"/>
        <v>40.229999999999997</v>
      </c>
      <c r="Q56" s="172">
        <f>ROUND(P56*'[1]数据-取费表'!B$52,0)</f>
        <v>1207</v>
      </c>
      <c r="R56" s="172">
        <f t="shared" si="38"/>
        <v>2438667</v>
      </c>
      <c r="S56" s="173">
        <f t="shared" si="22"/>
        <v>36580</v>
      </c>
      <c r="T56" s="174">
        <v>0.8</v>
      </c>
      <c r="U56" s="172">
        <f t="shared" si="39"/>
        <v>1950934</v>
      </c>
      <c r="V56" s="173">
        <f t="shared" si="2"/>
        <v>1951</v>
      </c>
      <c r="W56" s="173">
        <f t="shared" si="23"/>
        <v>2991</v>
      </c>
      <c r="X56" s="172">
        <f>ROUND(AC56*'[1]数据-取费表'!$B$41/(1+'[1]数据-取费表'!$C$42),0)</f>
        <v>31785</v>
      </c>
      <c r="Y56" s="172">
        <f>ROUND(AC56*'[1]数据-取费表'!$B$51/(1+'[1]数据-取费表'!$C$42),0)</f>
        <v>68111</v>
      </c>
      <c r="Z56" s="172">
        <f t="shared" si="3"/>
        <v>101103</v>
      </c>
      <c r="AA56" s="173">
        <f t="shared" si="4"/>
        <v>142625</v>
      </c>
      <c r="AB56" s="175">
        <f t="shared" si="24"/>
        <v>8.43</v>
      </c>
      <c r="AC56" s="172">
        <f>ROUND(AB56*365*L56*(1-I$2),0)</f>
        <v>595971</v>
      </c>
      <c r="AD56" s="172">
        <f t="shared" si="25"/>
        <v>2235</v>
      </c>
      <c r="AE56" s="172">
        <f t="shared" si="26"/>
        <v>598206</v>
      </c>
      <c r="AF56" s="176">
        <f>H$2</f>
        <v>0.03</v>
      </c>
      <c r="AG56" s="177"/>
      <c r="AH56" s="144">
        <f>H56</f>
        <v>56009</v>
      </c>
      <c r="AI56" s="143">
        <f t="shared" si="43"/>
        <v>30.19</v>
      </c>
      <c r="AJ56" s="173">
        <f t="shared" si="6"/>
        <v>455581</v>
      </c>
      <c r="AK56" s="178">
        <f t="shared" si="7"/>
        <v>9388584</v>
      </c>
      <c r="AL56" s="174">
        <f t="shared" si="8"/>
        <v>0.25</v>
      </c>
      <c r="AM56" s="172">
        <f t="shared" si="9"/>
        <v>0</v>
      </c>
      <c r="AN56" s="173">
        <f t="shared" si="10"/>
        <v>0</v>
      </c>
      <c r="AO56" s="173">
        <f t="shared" si="11"/>
        <v>0</v>
      </c>
      <c r="AP56" s="172">
        <f>ROUND(AV56*'[1]数据-取费表'!$B$41/(1+'[1]数据-取费表'!$B$42),0)</f>
        <v>0</v>
      </c>
      <c r="AQ56" s="172">
        <f>ROUND(AV56*'[1]数据-取费表'!B$51/(1+'[1]数据-取费表'!C$42),0)</f>
        <v>0</v>
      </c>
      <c r="AR56" s="179">
        <f t="shared" si="12"/>
        <v>0</v>
      </c>
      <c r="AS56" s="173">
        <f t="shared" si="27"/>
        <v>0</v>
      </c>
      <c r="AT56" s="180">
        <f t="shared" si="47"/>
        <v>8.43</v>
      </c>
      <c r="AU56" s="181">
        <f t="shared" si="28"/>
        <v>20.58</v>
      </c>
      <c r="AV56" s="172">
        <f t="shared" si="29"/>
        <v>0</v>
      </c>
      <c r="AW56" s="172">
        <f t="shared" si="30"/>
        <v>0</v>
      </c>
      <c r="AX56" s="172">
        <f t="shared" si="13"/>
        <v>0</v>
      </c>
      <c r="AY56" s="143">
        <f t="shared" si="44"/>
        <v>0</v>
      </c>
      <c r="AZ56" s="182">
        <f t="shared" si="45"/>
        <v>0</v>
      </c>
      <c r="BA56" s="182">
        <f t="shared" si="31"/>
        <v>0</v>
      </c>
      <c r="BB56" s="183">
        <f t="shared" si="16"/>
        <v>0</v>
      </c>
      <c r="BC56" s="183">
        <f t="shared" si="46"/>
        <v>145697</v>
      </c>
      <c r="BD56" s="183">
        <f t="shared" si="33"/>
        <v>953.43</v>
      </c>
      <c r="BE56" s="182">
        <f t="shared" si="34"/>
        <v>0</v>
      </c>
      <c r="BF56" s="182">
        <f t="shared" si="35"/>
        <v>0</v>
      </c>
      <c r="BG56" s="182">
        <f t="shared" si="17"/>
        <v>0</v>
      </c>
      <c r="BH56" s="182">
        <f t="shared" si="18"/>
        <v>0</v>
      </c>
      <c r="BI56" s="182">
        <f>ROUND(BE56*'[1]数据-取费表'!$B$51/(1+'[1]数据-取费表'!$C$42),0)</f>
        <v>0</v>
      </c>
      <c r="BJ56" s="182">
        <f>ROUND(BG56*'[1]数据-取费表'!B$41/(1+'[1]数据-取费表'!C$42),0)</f>
        <v>0</v>
      </c>
      <c r="BK56" s="182">
        <f t="shared" si="19"/>
        <v>0</v>
      </c>
      <c r="BL56" s="182">
        <f t="shared" si="20"/>
        <v>0</v>
      </c>
      <c r="BM56" s="182">
        <f t="shared" si="36"/>
        <v>0</v>
      </c>
      <c r="BN56" s="184">
        <f t="shared" si="21"/>
        <v>0</v>
      </c>
      <c r="BO56" s="183">
        <f t="shared" si="49"/>
        <v>1324.4343934585347</v>
      </c>
      <c r="BP56" s="195"/>
      <c r="BQ56" s="195"/>
      <c r="BR56" s="195"/>
    </row>
    <row r="57" spans="1:85" x14ac:dyDescent="0.2">
      <c r="A57" s="146">
        <v>40</v>
      </c>
      <c r="B57" s="141" t="s">
        <v>82</v>
      </c>
      <c r="C57" s="142" t="s">
        <v>85</v>
      </c>
      <c r="D57" s="143">
        <v>705</v>
      </c>
      <c r="E57" s="143">
        <v>245.95</v>
      </c>
      <c r="F57" s="143" t="s">
        <v>83</v>
      </c>
      <c r="G57" s="143" t="s">
        <v>75</v>
      </c>
      <c r="H57" s="144">
        <v>56009</v>
      </c>
      <c r="I57" s="144">
        <v>44987</v>
      </c>
      <c r="J57" s="143">
        <f>IF(F57="商业",[1]项目基本情况!D$15,[1]项目基本情况!E$15)</f>
        <v>30.19</v>
      </c>
      <c r="K57" s="143" t="s">
        <v>84</v>
      </c>
      <c r="L57" s="143">
        <f>E57</f>
        <v>245.95</v>
      </c>
      <c r="M57" s="143">
        <v>6</v>
      </c>
      <c r="N57" s="143" t="s">
        <v>10</v>
      </c>
      <c r="O57" s="143">
        <v>2008</v>
      </c>
      <c r="P57" s="172">
        <f t="shared" si="0"/>
        <v>45.97</v>
      </c>
      <c r="Q57" s="172">
        <f>ROUND(P57*'[1]数据-取费表'!B$52,0)</f>
        <v>1379</v>
      </c>
      <c r="R57" s="172">
        <f t="shared" si="38"/>
        <v>2787000</v>
      </c>
      <c r="S57" s="173">
        <f t="shared" si="22"/>
        <v>41805</v>
      </c>
      <c r="T57" s="174">
        <v>0.8</v>
      </c>
      <c r="U57" s="172">
        <f t="shared" si="39"/>
        <v>2229600</v>
      </c>
      <c r="V57" s="173">
        <f t="shared" si="2"/>
        <v>2230</v>
      </c>
      <c r="W57" s="173">
        <f t="shared" si="23"/>
        <v>743</v>
      </c>
      <c r="X57" s="172">
        <f>ROUND(AC57*'[1]数据-取费表'!$B$41/(1+'[1]数据-取费表'!$C$42),0)</f>
        <v>7892</v>
      </c>
      <c r="Y57" s="172">
        <f>ROUND(AC57*'[1]数据-取费表'!$B$51/(1+'[1]数据-取费表'!$C$42),0)</f>
        <v>16911</v>
      </c>
      <c r="Z57" s="172">
        <f t="shared" si="3"/>
        <v>26182</v>
      </c>
      <c r="AA57" s="173">
        <f t="shared" si="4"/>
        <v>70960</v>
      </c>
      <c r="AB57" s="175">
        <f>ROUND(AC57/365/L57,2)</f>
        <v>1.65</v>
      </c>
      <c r="AC57" s="143">
        <v>147975</v>
      </c>
      <c r="AD57" s="172">
        <f t="shared" si="25"/>
        <v>555</v>
      </c>
      <c r="AE57" s="172">
        <f t="shared" si="26"/>
        <v>148530</v>
      </c>
      <c r="AF57" s="177">
        <v>0</v>
      </c>
      <c r="AG57" s="177"/>
      <c r="AH57" s="185">
        <v>45077</v>
      </c>
      <c r="AI57" s="143">
        <f t="shared" si="43"/>
        <v>0.24</v>
      </c>
      <c r="AJ57" s="173">
        <f t="shared" si="6"/>
        <v>77570</v>
      </c>
      <c r="AK57" s="178">
        <f t="shared" si="7"/>
        <v>18007</v>
      </c>
      <c r="AL57" s="174">
        <f t="shared" si="8"/>
        <v>0.75</v>
      </c>
      <c r="AM57" s="172">
        <f t="shared" si="9"/>
        <v>2090250</v>
      </c>
      <c r="AN57" s="173">
        <f t="shared" si="10"/>
        <v>2090</v>
      </c>
      <c r="AO57" s="173">
        <f t="shared" si="11"/>
        <v>3443</v>
      </c>
      <c r="AP57" s="172">
        <f>ROUND(AV57*'[1]数据-取费表'!$B$41/(1+'[1]数据-取费表'!$B$42),0)</f>
        <v>36584</v>
      </c>
      <c r="AQ57" s="172">
        <f>ROUND(AV57*'[1]数据-取费表'!B$51/(1+'[1]数据-取费表'!C$42),0)</f>
        <v>78394</v>
      </c>
      <c r="AR57" s="179">
        <f t="shared" si="12"/>
        <v>116357</v>
      </c>
      <c r="AS57" s="173">
        <f t="shared" si="27"/>
        <v>163695</v>
      </c>
      <c r="AT57" s="180">
        <f t="shared" si="47"/>
        <v>8.43</v>
      </c>
      <c r="AU57" s="181">
        <f t="shared" si="28"/>
        <v>8.49</v>
      </c>
      <c r="AV57" s="172">
        <f t="shared" si="29"/>
        <v>685946</v>
      </c>
      <c r="AW57" s="172">
        <f t="shared" si="30"/>
        <v>2572</v>
      </c>
      <c r="AX57" s="172">
        <f t="shared" si="13"/>
        <v>688518</v>
      </c>
      <c r="AY57" s="143">
        <f t="shared" si="44"/>
        <v>29.950000000000003</v>
      </c>
      <c r="AZ57" s="182">
        <f t="shared" si="45"/>
        <v>524823</v>
      </c>
      <c r="BA57" s="182">
        <f t="shared" si="31"/>
        <v>10756772</v>
      </c>
      <c r="BB57" s="183">
        <f t="shared" si="16"/>
        <v>10619434</v>
      </c>
      <c r="BC57" s="183">
        <f t="shared" si="46"/>
        <v>166508</v>
      </c>
      <c r="BD57" s="183">
        <f t="shared" si="33"/>
        <v>1080.3900000000001</v>
      </c>
      <c r="BE57" s="182">
        <f t="shared" si="34"/>
        <v>681098</v>
      </c>
      <c r="BF57" s="182">
        <f t="shared" si="35"/>
        <v>2554</v>
      </c>
      <c r="BG57" s="182">
        <f t="shared" si="17"/>
        <v>683652</v>
      </c>
      <c r="BH57" s="182">
        <f t="shared" si="18"/>
        <v>3418</v>
      </c>
      <c r="BI57" s="182">
        <f>ROUND(BE57*'[1]数据-取费表'!$B$51/(1+'[1]数据-取费表'!$C$42),0)</f>
        <v>77840</v>
      </c>
      <c r="BJ57" s="182">
        <f>ROUND(BG57*'[1]数据-取费表'!B$41/(1+'[1]数据-取费表'!C$42),0)</f>
        <v>36461</v>
      </c>
      <c r="BK57" s="182">
        <f t="shared" si="19"/>
        <v>163133</v>
      </c>
      <c r="BL57" s="182">
        <f t="shared" si="20"/>
        <v>520519</v>
      </c>
      <c r="BM57" s="182">
        <f t="shared" si="36"/>
        <v>119493</v>
      </c>
      <c r="BN57" s="184">
        <f t="shared" si="21"/>
        <v>101486</v>
      </c>
      <c r="BO57" s="183">
        <f t="shared" si="49"/>
        <v>1500.7978292571729</v>
      </c>
      <c r="BP57" s="195"/>
      <c r="BQ57" s="195"/>
      <c r="BR57" s="195"/>
    </row>
    <row r="58" spans="1:85" x14ac:dyDescent="0.2">
      <c r="A58" s="146">
        <v>41</v>
      </c>
      <c r="B58" s="141" t="s">
        <v>82</v>
      </c>
      <c r="C58" s="142" t="s">
        <v>85</v>
      </c>
      <c r="D58" s="143">
        <v>706</v>
      </c>
      <c r="E58" s="143">
        <v>145.26</v>
      </c>
      <c r="F58" s="143" t="s">
        <v>83</v>
      </c>
      <c r="G58" s="143" t="s">
        <v>75</v>
      </c>
      <c r="H58" s="144">
        <v>56009</v>
      </c>
      <c r="I58" s="144">
        <v>44987</v>
      </c>
      <c r="J58" s="143">
        <f>IF(F58="商业",[1]项目基本情况!D$15,[1]项目基本情况!E$15)</f>
        <v>30.19</v>
      </c>
      <c r="K58" s="143" t="s">
        <v>84</v>
      </c>
      <c r="L58" s="143">
        <f>E58</f>
        <v>145.26</v>
      </c>
      <c r="M58" s="143">
        <v>6</v>
      </c>
      <c r="N58" s="143" t="s">
        <v>10</v>
      </c>
      <c r="O58" s="143">
        <v>2008</v>
      </c>
      <c r="P58" s="172">
        <f t="shared" si="0"/>
        <v>27.15</v>
      </c>
      <c r="Q58" s="172">
        <f>ROUND(P58*'[1]数据-取费表'!B$52,0)</f>
        <v>815</v>
      </c>
      <c r="R58" s="172">
        <f t="shared" si="38"/>
        <v>1646024</v>
      </c>
      <c r="S58" s="173">
        <f t="shared" si="22"/>
        <v>24690</v>
      </c>
      <c r="T58" s="174">
        <v>0.8</v>
      </c>
      <c r="U58" s="172">
        <f t="shared" si="39"/>
        <v>1316819</v>
      </c>
      <c r="V58" s="173">
        <f t="shared" si="2"/>
        <v>1317</v>
      </c>
      <c r="W58" s="173">
        <f t="shared" si="23"/>
        <v>1441</v>
      </c>
      <c r="X58" s="172">
        <f>ROUND(AC58*'[1]数据-取费表'!$B$41/(1+'[1]数据-取费表'!$C$42),0)</f>
        <v>15312</v>
      </c>
      <c r="Y58" s="172">
        <f>ROUND(AC58*'[1]数据-取费表'!$B$51/(1+'[1]数据-取费表'!$C$42),0)</f>
        <v>32810</v>
      </c>
      <c r="Z58" s="172">
        <f t="shared" si="3"/>
        <v>48937</v>
      </c>
      <c r="AA58" s="173">
        <f t="shared" si="4"/>
        <v>76385</v>
      </c>
      <c r="AB58" s="175">
        <f>ROUND(AC58/365/L58,2)</f>
        <v>5.41</v>
      </c>
      <c r="AC58" s="143">
        <v>287091</v>
      </c>
      <c r="AD58" s="172">
        <f t="shared" si="25"/>
        <v>1077</v>
      </c>
      <c r="AE58" s="172">
        <f t="shared" si="26"/>
        <v>288168</v>
      </c>
      <c r="AF58" s="177">
        <v>0</v>
      </c>
      <c r="AG58" s="177"/>
      <c r="AH58" s="185">
        <v>45260</v>
      </c>
      <c r="AI58" s="143">
        <f t="shared" si="43"/>
        <v>0.74</v>
      </c>
      <c r="AJ58" s="173">
        <f t="shared" si="6"/>
        <v>211783</v>
      </c>
      <c r="AK58" s="178">
        <f t="shared" si="7"/>
        <v>149579</v>
      </c>
      <c r="AL58" s="174">
        <f t="shared" si="8"/>
        <v>0.75</v>
      </c>
      <c r="AM58" s="172">
        <f t="shared" si="9"/>
        <v>1234518</v>
      </c>
      <c r="AN58" s="173">
        <f t="shared" si="10"/>
        <v>1235</v>
      </c>
      <c r="AO58" s="173">
        <f t="shared" si="11"/>
        <v>2064</v>
      </c>
      <c r="AP58" s="172">
        <f>ROUND(AV58*'[1]数据-取费表'!$B$41/(1+'[1]数据-取费表'!$B$42),0)</f>
        <v>21937</v>
      </c>
      <c r="AQ58" s="172">
        <f>ROUND(AV58*'[1]数据-取费表'!B$51/(1+'[1]数据-取费表'!C$42),0)</f>
        <v>47009</v>
      </c>
      <c r="AR58" s="179">
        <f t="shared" si="12"/>
        <v>69761</v>
      </c>
      <c r="AS58" s="173">
        <f t="shared" si="27"/>
        <v>97750</v>
      </c>
      <c r="AT58" s="180">
        <f t="shared" si="47"/>
        <v>8.43</v>
      </c>
      <c r="AU58" s="181">
        <f t="shared" si="28"/>
        <v>8.6199999999999992</v>
      </c>
      <c r="AV58" s="172">
        <f t="shared" si="29"/>
        <v>411328</v>
      </c>
      <c r="AW58" s="172">
        <f t="shared" si="30"/>
        <v>1542</v>
      </c>
      <c r="AX58" s="172">
        <f t="shared" si="13"/>
        <v>412870</v>
      </c>
      <c r="AY58" s="143">
        <f t="shared" si="44"/>
        <v>29.450000000000003</v>
      </c>
      <c r="AZ58" s="182">
        <f t="shared" si="45"/>
        <v>315120</v>
      </c>
      <c r="BA58" s="182">
        <f t="shared" si="31"/>
        <v>6384558</v>
      </c>
      <c r="BB58" s="183">
        <f t="shared" si="16"/>
        <v>6136546</v>
      </c>
      <c r="BC58" s="183">
        <f t="shared" si="46"/>
        <v>98341</v>
      </c>
      <c r="BD58" s="183">
        <f t="shared" si="33"/>
        <v>638.45000000000005</v>
      </c>
      <c r="BE58" s="182">
        <f t="shared" si="34"/>
        <v>402262</v>
      </c>
      <c r="BF58" s="182">
        <f t="shared" si="35"/>
        <v>1508</v>
      </c>
      <c r="BG58" s="182">
        <f t="shared" si="17"/>
        <v>403770</v>
      </c>
      <c r="BH58" s="182">
        <f t="shared" si="18"/>
        <v>2019</v>
      </c>
      <c r="BI58" s="182">
        <f>ROUND(BE58*'[1]数据-取费表'!$B$51/(1+'[1]数据-取费表'!$C$42),0)</f>
        <v>45973</v>
      </c>
      <c r="BJ58" s="182">
        <f>ROUND(BG58*'[1]数据-取费表'!B$41/(1+'[1]数据-取费表'!C$42),0)</f>
        <v>21534</v>
      </c>
      <c r="BK58" s="182">
        <f t="shared" si="19"/>
        <v>96348</v>
      </c>
      <c r="BL58" s="182">
        <f t="shared" si="20"/>
        <v>307422</v>
      </c>
      <c r="BM58" s="182">
        <f t="shared" si="36"/>
        <v>216303</v>
      </c>
      <c r="BN58" s="184">
        <f t="shared" si="21"/>
        <v>66724</v>
      </c>
      <c r="BO58" s="183">
        <f t="shared" si="49"/>
        <v>886.88748885980249</v>
      </c>
      <c r="BP58" s="195"/>
      <c r="BQ58" s="195"/>
      <c r="BR58" s="195"/>
    </row>
    <row r="59" spans="1:85" x14ac:dyDescent="0.2">
      <c r="A59" s="146">
        <v>42</v>
      </c>
      <c r="B59" s="141" t="s">
        <v>82</v>
      </c>
      <c r="C59" s="142" t="s">
        <v>85</v>
      </c>
      <c r="D59" s="143">
        <v>707</v>
      </c>
      <c r="E59" s="143">
        <v>235.3</v>
      </c>
      <c r="F59" s="143" t="s">
        <v>83</v>
      </c>
      <c r="G59" s="143" t="s">
        <v>75</v>
      </c>
      <c r="H59" s="144">
        <v>56009</v>
      </c>
      <c r="I59" s="144">
        <v>44987</v>
      </c>
      <c r="J59" s="143">
        <f>IF(F59="商业",[1]项目基本情况!D$15,[1]项目基本情况!E$15)</f>
        <v>30.19</v>
      </c>
      <c r="K59" s="143" t="s">
        <v>84</v>
      </c>
      <c r="L59" s="143">
        <f>E59</f>
        <v>235.3</v>
      </c>
      <c r="M59" s="143">
        <v>6</v>
      </c>
      <c r="N59" s="143" t="s">
        <v>10</v>
      </c>
      <c r="O59" s="143">
        <v>2008</v>
      </c>
      <c r="P59" s="172">
        <f t="shared" si="0"/>
        <v>43.98</v>
      </c>
      <c r="Q59" s="172">
        <f>ROUND(P59*'[1]数据-取费表'!B$52,0)</f>
        <v>1319</v>
      </c>
      <c r="R59" s="172">
        <f t="shared" si="38"/>
        <v>2666318</v>
      </c>
      <c r="S59" s="173">
        <f t="shared" si="22"/>
        <v>39995</v>
      </c>
      <c r="T59" s="174">
        <v>0.8</v>
      </c>
      <c r="U59" s="172">
        <f t="shared" si="39"/>
        <v>2133054</v>
      </c>
      <c r="V59" s="173">
        <f t="shared" si="2"/>
        <v>2133</v>
      </c>
      <c r="W59" s="173">
        <f t="shared" si="23"/>
        <v>1737</v>
      </c>
      <c r="X59" s="172">
        <f>ROUND(AC59*'[1]数据-取费表'!$B$41/(1+'[1]数据-取费表'!$C$42),0)</f>
        <v>18459</v>
      </c>
      <c r="Y59" s="172">
        <f>ROUND(AC59*'[1]数据-取费表'!$B$51/(1+'[1]数据-取费表'!$C$42),0)</f>
        <v>39554</v>
      </c>
      <c r="Z59" s="172">
        <f t="shared" si="3"/>
        <v>59332</v>
      </c>
      <c r="AA59" s="173">
        <f t="shared" si="4"/>
        <v>103197</v>
      </c>
      <c r="AB59" s="175">
        <f>ROUND(AC59/365/L59,2)</f>
        <v>4.03</v>
      </c>
      <c r="AC59" s="143">
        <v>346100</v>
      </c>
      <c r="AD59" s="172">
        <f t="shared" si="25"/>
        <v>1298</v>
      </c>
      <c r="AE59" s="172">
        <f t="shared" si="26"/>
        <v>347398</v>
      </c>
      <c r="AF59" s="177">
        <v>4.4499999999999998E-2</v>
      </c>
      <c r="AG59" s="177"/>
      <c r="AH59" s="185">
        <v>45504</v>
      </c>
      <c r="AI59" s="143">
        <f t="shared" si="43"/>
        <v>1.41</v>
      </c>
      <c r="AJ59" s="173">
        <f t="shared" si="6"/>
        <v>244201</v>
      </c>
      <c r="AK59" s="178">
        <f t="shared" si="7"/>
        <v>325706</v>
      </c>
      <c r="AL59" s="174">
        <f t="shared" si="8"/>
        <v>0.73</v>
      </c>
      <c r="AM59" s="172">
        <f t="shared" si="9"/>
        <v>1946412</v>
      </c>
      <c r="AN59" s="173">
        <f t="shared" si="10"/>
        <v>1946</v>
      </c>
      <c r="AO59" s="173">
        <f t="shared" si="11"/>
        <v>3410</v>
      </c>
      <c r="AP59" s="172">
        <f>ROUND(AV59*'[1]数据-取费表'!$B$41/(1+'[1]数据-取费表'!$B$42),0)</f>
        <v>36236</v>
      </c>
      <c r="AQ59" s="172">
        <f>ROUND(AV59*'[1]数据-取费表'!B$51/(1+'[1]数据-取费表'!C$42),0)</f>
        <v>77649</v>
      </c>
      <c r="AR59" s="179">
        <f t="shared" si="12"/>
        <v>115204</v>
      </c>
      <c r="AS59" s="173">
        <f t="shared" si="27"/>
        <v>160555</v>
      </c>
      <c r="AT59" s="180">
        <f t="shared" si="47"/>
        <v>8.43</v>
      </c>
      <c r="AU59" s="181">
        <f t="shared" si="28"/>
        <v>8.7899999999999991</v>
      </c>
      <c r="AV59" s="172">
        <f t="shared" si="29"/>
        <v>679432</v>
      </c>
      <c r="AW59" s="172">
        <f t="shared" si="30"/>
        <v>2548</v>
      </c>
      <c r="AX59" s="172">
        <f t="shared" si="13"/>
        <v>681980</v>
      </c>
      <c r="AY59" s="143">
        <f t="shared" si="44"/>
        <v>28.78</v>
      </c>
      <c r="AZ59" s="182">
        <f t="shared" si="45"/>
        <v>521425</v>
      </c>
      <c r="BA59" s="182">
        <f t="shared" si="31"/>
        <v>10397730</v>
      </c>
      <c r="BB59" s="183">
        <f t="shared" si="16"/>
        <v>9641677</v>
      </c>
      <c r="BC59" s="183">
        <f t="shared" si="46"/>
        <v>159298</v>
      </c>
      <c r="BD59" s="183">
        <f t="shared" si="33"/>
        <v>1012.67</v>
      </c>
      <c r="BE59" s="182">
        <f t="shared" si="34"/>
        <v>651606</v>
      </c>
      <c r="BF59" s="182">
        <f t="shared" si="35"/>
        <v>2444</v>
      </c>
      <c r="BG59" s="182">
        <f t="shared" si="17"/>
        <v>654050</v>
      </c>
      <c r="BH59" s="182">
        <f t="shared" si="18"/>
        <v>3270</v>
      </c>
      <c r="BI59" s="182">
        <f>ROUND(BE59*'[1]数据-取费表'!$B$51/(1+'[1]数据-取费表'!$C$42),0)</f>
        <v>74469</v>
      </c>
      <c r="BJ59" s="182">
        <f>ROUND(BG59*'[1]数据-取费表'!B$41/(1+'[1]数据-取费表'!C$42),0)</f>
        <v>34883</v>
      </c>
      <c r="BK59" s="182">
        <f t="shared" si="19"/>
        <v>156069</v>
      </c>
      <c r="BL59" s="182">
        <f t="shared" si="20"/>
        <v>497981</v>
      </c>
      <c r="BM59" s="182">
        <f t="shared" si="36"/>
        <v>662300</v>
      </c>
      <c r="BN59" s="184">
        <f t="shared" si="21"/>
        <v>336594</v>
      </c>
      <c r="BO59" s="183">
        <f t="shared" si="49"/>
        <v>1406.726217156639</v>
      </c>
      <c r="BP59" s="195"/>
      <c r="BQ59" s="195"/>
      <c r="BR59" s="195"/>
    </row>
    <row r="60" spans="1:85" x14ac:dyDescent="0.2">
      <c r="A60" s="146">
        <v>43</v>
      </c>
      <c r="B60" s="141" t="s">
        <v>82</v>
      </c>
      <c r="C60" s="142" t="s">
        <v>85</v>
      </c>
      <c r="D60" s="143">
        <v>708</v>
      </c>
      <c r="E60" s="143">
        <v>245.69</v>
      </c>
      <c r="F60" s="143" t="s">
        <v>83</v>
      </c>
      <c r="G60" s="143" t="s">
        <v>75</v>
      </c>
      <c r="H60" s="144">
        <v>56009</v>
      </c>
      <c r="I60" s="144">
        <v>44987</v>
      </c>
      <c r="J60" s="143">
        <f>IF(F60="商业",[1]项目基本情况!D$15,[1]项目基本情况!E$15)</f>
        <v>30.19</v>
      </c>
      <c r="K60" s="143"/>
      <c r="L60" s="143">
        <v>245.69</v>
      </c>
      <c r="M60" s="143">
        <v>6</v>
      </c>
      <c r="N60" s="143" t="s">
        <v>10</v>
      </c>
      <c r="O60" s="143">
        <v>2008</v>
      </c>
      <c r="P60" s="172">
        <f t="shared" si="0"/>
        <v>45.92</v>
      </c>
      <c r="Q60" s="172">
        <f>ROUND(P60*'[1]数据-取费表'!B$52,0)</f>
        <v>1378</v>
      </c>
      <c r="R60" s="172">
        <f t="shared" si="38"/>
        <v>2784053</v>
      </c>
      <c r="S60" s="173">
        <f t="shared" si="22"/>
        <v>41761</v>
      </c>
      <c r="T60" s="174">
        <v>0.8</v>
      </c>
      <c r="U60" s="172">
        <f t="shared" si="39"/>
        <v>2227242</v>
      </c>
      <c r="V60" s="173">
        <f t="shared" si="2"/>
        <v>2227</v>
      </c>
      <c r="W60" s="173">
        <f t="shared" si="23"/>
        <v>3415</v>
      </c>
      <c r="X60" s="172">
        <f>ROUND(AC60*'[1]数据-取费表'!$B$41/(1+'[1]数据-取费表'!$C$42),0)</f>
        <v>36287</v>
      </c>
      <c r="Y60" s="172">
        <f>ROUND(AC60*'[1]数据-取费表'!$B$51/(1+'[1]数据-取费表'!$C$42),0)</f>
        <v>77757</v>
      </c>
      <c r="Z60" s="172">
        <f t="shared" si="3"/>
        <v>115422</v>
      </c>
      <c r="AA60" s="173">
        <f t="shared" si="4"/>
        <v>162825</v>
      </c>
      <c r="AB60" s="175">
        <f t="shared" si="24"/>
        <v>8.43</v>
      </c>
      <c r="AC60" s="172">
        <f>ROUND(AB60*365*E60*(1-I$2),0)</f>
        <v>680378</v>
      </c>
      <c r="AD60" s="172">
        <f t="shared" si="25"/>
        <v>2551</v>
      </c>
      <c r="AE60" s="172">
        <f t="shared" si="26"/>
        <v>682929</v>
      </c>
      <c r="AF60" s="176">
        <f>H$2</f>
        <v>0.03</v>
      </c>
      <c r="AG60" s="177"/>
      <c r="AH60" s="144">
        <f>H60</f>
        <v>56009</v>
      </c>
      <c r="AI60" s="143">
        <f t="shared" si="43"/>
        <v>30.19</v>
      </c>
      <c r="AJ60" s="173">
        <f t="shared" si="6"/>
        <v>520104</v>
      </c>
      <c r="AK60" s="178">
        <f t="shared" si="7"/>
        <v>10718270</v>
      </c>
      <c r="AL60" s="174">
        <f t="shared" si="8"/>
        <v>0.25</v>
      </c>
      <c r="AM60" s="172">
        <f t="shared" si="9"/>
        <v>0</v>
      </c>
      <c r="AN60" s="173">
        <f t="shared" si="10"/>
        <v>0</v>
      </c>
      <c r="AO60" s="173">
        <f t="shared" si="11"/>
        <v>0</v>
      </c>
      <c r="AP60" s="172">
        <f>ROUND(AV60*'[1]数据-取费表'!$B$41/(1+'[1]数据-取费表'!$B$42),0)</f>
        <v>0</v>
      </c>
      <c r="AQ60" s="172">
        <f>ROUND(AV60*'[1]数据-取费表'!B$51/(1+'[1]数据-取费表'!C$42),0)</f>
        <v>0</v>
      </c>
      <c r="AR60" s="179">
        <f t="shared" si="12"/>
        <v>0</v>
      </c>
      <c r="AS60" s="173">
        <f t="shared" si="27"/>
        <v>0</v>
      </c>
      <c r="AT60" s="180">
        <f t="shared" si="47"/>
        <v>8.43</v>
      </c>
      <c r="AU60" s="181">
        <f t="shared" si="28"/>
        <v>20.58</v>
      </c>
      <c r="AV60" s="172">
        <f t="shared" si="29"/>
        <v>0</v>
      </c>
      <c r="AW60" s="172">
        <f t="shared" si="30"/>
        <v>0</v>
      </c>
      <c r="AX60" s="172">
        <f t="shared" si="13"/>
        <v>0</v>
      </c>
      <c r="AY60" s="143">
        <f t="shared" si="44"/>
        <v>0</v>
      </c>
      <c r="AZ60" s="182">
        <f t="shared" si="45"/>
        <v>0</v>
      </c>
      <c r="BA60" s="182">
        <f t="shared" si="31"/>
        <v>0</v>
      </c>
      <c r="BB60" s="183">
        <f t="shared" si="16"/>
        <v>0</v>
      </c>
      <c r="BC60" s="183">
        <f t="shared" si="46"/>
        <v>166332</v>
      </c>
      <c r="BD60" s="183">
        <f t="shared" si="33"/>
        <v>1088.46</v>
      </c>
      <c r="BE60" s="182">
        <f t="shared" si="34"/>
        <v>0</v>
      </c>
      <c r="BF60" s="182">
        <f t="shared" si="35"/>
        <v>0</v>
      </c>
      <c r="BG60" s="182">
        <f t="shared" si="17"/>
        <v>0</v>
      </c>
      <c r="BH60" s="182">
        <f t="shared" si="18"/>
        <v>0</v>
      </c>
      <c r="BI60" s="182">
        <f>ROUND(BE60*'[1]数据-取费表'!$B$51/(1+'[1]数据-取费表'!$C$42),0)</f>
        <v>0</v>
      </c>
      <c r="BJ60" s="182">
        <f>ROUND(BG60*'[1]数据-取费表'!B$41/(1+'[1]数据-取费表'!C$42),0)</f>
        <v>0</v>
      </c>
      <c r="BK60" s="182">
        <f t="shared" si="19"/>
        <v>0</v>
      </c>
      <c r="BL60" s="182">
        <f t="shared" si="20"/>
        <v>0</v>
      </c>
      <c r="BM60" s="182">
        <f t="shared" si="36"/>
        <v>0</v>
      </c>
      <c r="BN60" s="184">
        <f t="shared" si="21"/>
        <v>0</v>
      </c>
      <c r="BO60" s="183">
        <f t="shared" si="49"/>
        <v>1512.0080760033529</v>
      </c>
      <c r="BP60" s="195"/>
      <c r="BQ60" s="195"/>
      <c r="BR60" s="195"/>
    </row>
    <row r="61" spans="1:85" x14ac:dyDescent="0.2">
      <c r="A61" s="146">
        <v>44</v>
      </c>
      <c r="B61" s="141" t="s">
        <v>82</v>
      </c>
      <c r="C61" s="142" t="s">
        <v>85</v>
      </c>
      <c r="D61" s="143">
        <v>709</v>
      </c>
      <c r="E61" s="143">
        <v>189.13</v>
      </c>
      <c r="F61" s="143" t="s">
        <v>83</v>
      </c>
      <c r="G61" s="143" t="s">
        <v>75</v>
      </c>
      <c r="H61" s="144">
        <v>56009</v>
      </c>
      <c r="I61" s="144">
        <v>44987</v>
      </c>
      <c r="J61" s="143">
        <f>IF(F61="商业",[1]项目基本情况!D$15,[1]项目基本情况!E$15)</f>
        <v>30.19</v>
      </c>
      <c r="K61" s="143"/>
      <c r="L61" s="143">
        <v>189.13</v>
      </c>
      <c r="M61" s="143">
        <v>6</v>
      </c>
      <c r="N61" s="143" t="s">
        <v>10</v>
      </c>
      <c r="O61" s="143">
        <v>2008</v>
      </c>
      <c r="P61" s="172">
        <f t="shared" si="0"/>
        <v>35.35</v>
      </c>
      <c r="Q61" s="172">
        <f>ROUND(P61*'[1]数据-取费表'!B$52,0)</f>
        <v>1061</v>
      </c>
      <c r="R61" s="172">
        <f t="shared" si="38"/>
        <v>2143140</v>
      </c>
      <c r="S61" s="173">
        <f t="shared" si="22"/>
        <v>32147</v>
      </c>
      <c r="T61" s="174">
        <v>0.8</v>
      </c>
      <c r="U61" s="172">
        <f t="shared" si="39"/>
        <v>1714512</v>
      </c>
      <c r="V61" s="173">
        <f t="shared" si="2"/>
        <v>1715</v>
      </c>
      <c r="W61" s="173">
        <f t="shared" si="23"/>
        <v>2629</v>
      </c>
      <c r="X61" s="172">
        <f>ROUND(AC61*'[1]数据-取费表'!$B$41/(1+'[1]数据-取费表'!$C$42),0)</f>
        <v>27933</v>
      </c>
      <c r="Y61" s="172">
        <f>ROUND(AC61*'[1]数据-取费表'!$B$51/(1+'[1]数据-取费表'!$C$42),0)</f>
        <v>59857</v>
      </c>
      <c r="Z61" s="172">
        <f t="shared" si="3"/>
        <v>88851</v>
      </c>
      <c r="AA61" s="173">
        <f t="shared" si="4"/>
        <v>125342</v>
      </c>
      <c r="AB61" s="175">
        <f t="shared" si="24"/>
        <v>8.43</v>
      </c>
      <c r="AC61" s="172">
        <f>ROUND(AB61*365*E61*(1-I$2),0)</f>
        <v>523749</v>
      </c>
      <c r="AD61" s="172">
        <f t="shared" si="25"/>
        <v>1964</v>
      </c>
      <c r="AE61" s="172">
        <f t="shared" si="26"/>
        <v>525713</v>
      </c>
      <c r="AF61" s="176">
        <f>H$2</f>
        <v>0.03</v>
      </c>
      <c r="AG61" s="177"/>
      <c r="AH61" s="144">
        <f>H61</f>
        <v>56009</v>
      </c>
      <c r="AI61" s="143">
        <f t="shared" si="43"/>
        <v>30.19</v>
      </c>
      <c r="AJ61" s="173">
        <f t="shared" si="6"/>
        <v>400371</v>
      </c>
      <c r="AK61" s="178">
        <f t="shared" si="7"/>
        <v>8250820</v>
      </c>
      <c r="AL61" s="174">
        <f t="shared" si="8"/>
        <v>0.25</v>
      </c>
      <c r="AM61" s="172">
        <f t="shared" si="9"/>
        <v>0</v>
      </c>
      <c r="AN61" s="173">
        <f t="shared" si="10"/>
        <v>0</v>
      </c>
      <c r="AO61" s="173">
        <f t="shared" si="11"/>
        <v>0</v>
      </c>
      <c r="AP61" s="172">
        <f>ROUND(AV61*'[1]数据-取费表'!$B$41/(1+'[1]数据-取费表'!$B$42),0)</f>
        <v>0</v>
      </c>
      <c r="AQ61" s="172">
        <f>ROUND(AV61*'[1]数据-取费表'!B$51/(1+'[1]数据-取费表'!C$42),0)</f>
        <v>0</v>
      </c>
      <c r="AR61" s="179">
        <f t="shared" si="12"/>
        <v>0</v>
      </c>
      <c r="AS61" s="173">
        <f t="shared" si="27"/>
        <v>0</v>
      </c>
      <c r="AT61" s="180">
        <f t="shared" si="47"/>
        <v>8.43</v>
      </c>
      <c r="AU61" s="181">
        <f t="shared" si="28"/>
        <v>20.58</v>
      </c>
      <c r="AV61" s="172">
        <f t="shared" si="29"/>
        <v>0</v>
      </c>
      <c r="AW61" s="172">
        <f t="shared" si="30"/>
        <v>0</v>
      </c>
      <c r="AX61" s="172">
        <f t="shared" si="13"/>
        <v>0</v>
      </c>
      <c r="AY61" s="143">
        <f t="shared" si="44"/>
        <v>0</v>
      </c>
      <c r="AZ61" s="182">
        <f t="shared" si="45"/>
        <v>0</v>
      </c>
      <c r="BA61" s="182">
        <f t="shared" si="31"/>
        <v>0</v>
      </c>
      <c r="BB61" s="183">
        <f t="shared" si="16"/>
        <v>0</v>
      </c>
      <c r="BC61" s="183">
        <f t="shared" si="46"/>
        <v>128041</v>
      </c>
      <c r="BD61" s="183">
        <f t="shared" si="33"/>
        <v>837.89</v>
      </c>
      <c r="BE61" s="182">
        <f t="shared" si="34"/>
        <v>0</v>
      </c>
      <c r="BF61" s="182">
        <f t="shared" si="35"/>
        <v>0</v>
      </c>
      <c r="BG61" s="182">
        <f t="shared" si="17"/>
        <v>0</v>
      </c>
      <c r="BH61" s="182">
        <f t="shared" si="18"/>
        <v>0</v>
      </c>
      <c r="BI61" s="182">
        <f>ROUND(BE61*'[1]数据-取费表'!$B$51/(1+'[1]数据-取费表'!$C$42),0)</f>
        <v>0</v>
      </c>
      <c r="BJ61" s="182">
        <f>ROUND(BG61*'[1]数据-取费表'!B$41/(1+'[1]数据-取费表'!C$42),0)</f>
        <v>0</v>
      </c>
      <c r="BK61" s="182">
        <f t="shared" si="19"/>
        <v>0</v>
      </c>
      <c r="BL61" s="182">
        <f t="shared" si="20"/>
        <v>0</v>
      </c>
      <c r="BM61" s="182">
        <f t="shared" si="36"/>
        <v>0</v>
      </c>
      <c r="BN61" s="184">
        <f t="shared" si="21"/>
        <v>0</v>
      </c>
      <c r="BO61" s="183">
        <f t="shared" si="49"/>
        <v>1163.9347764754327</v>
      </c>
      <c r="BP61" s="195"/>
      <c r="BQ61" s="195"/>
      <c r="BR61" s="195"/>
    </row>
    <row r="62" spans="1:85" x14ac:dyDescent="0.2">
      <c r="A62" s="146">
        <v>45</v>
      </c>
      <c r="B62" s="125" t="s">
        <v>82</v>
      </c>
      <c r="C62" s="126" t="s">
        <v>85</v>
      </c>
      <c r="D62" s="127">
        <v>801</v>
      </c>
      <c r="E62" s="127">
        <v>134.94</v>
      </c>
      <c r="F62" s="127" t="s">
        <v>83</v>
      </c>
      <c r="G62" s="127" t="s">
        <v>75</v>
      </c>
      <c r="H62" s="128">
        <v>56009</v>
      </c>
      <c r="I62" s="128">
        <v>44987</v>
      </c>
      <c r="J62" s="127">
        <f>IF(F62="商业",[1]项目基本情况!D$15,[1]项目基本情况!E$15)</f>
        <v>30.19</v>
      </c>
      <c r="K62" s="127"/>
      <c r="L62" s="127">
        <v>134.94</v>
      </c>
      <c r="M62" s="127">
        <v>7</v>
      </c>
      <c r="N62" s="127" t="s">
        <v>11</v>
      </c>
      <c r="O62" s="127">
        <v>2008</v>
      </c>
      <c r="P62" s="129">
        <f t="shared" si="0"/>
        <v>25.22</v>
      </c>
      <c r="Q62" s="129">
        <f>ROUND(P62*'[1]数据-取费表'!B$52,0)</f>
        <v>757</v>
      </c>
      <c r="R62" s="129">
        <f t="shared" si="38"/>
        <v>1529082</v>
      </c>
      <c r="S62" s="130">
        <f t="shared" si="22"/>
        <v>22936</v>
      </c>
      <c r="T62" s="131">
        <v>0.8</v>
      </c>
      <c r="U62" s="129">
        <f t="shared" si="39"/>
        <v>1223266</v>
      </c>
      <c r="V62" s="130">
        <f t="shared" si="2"/>
        <v>1223</v>
      </c>
      <c r="W62" s="130">
        <f t="shared" si="23"/>
        <v>1913</v>
      </c>
      <c r="X62" s="129">
        <f>ROUND(AC62*'[1]数据-取费表'!$B$41/(1+'[1]数据-取费表'!$C$42),0)</f>
        <v>20332</v>
      </c>
      <c r="Y62" s="129">
        <f>ROUND(AC62*'[1]数据-取费表'!$B$51/(1+'[1]数据-取费表'!$C$42),0)</f>
        <v>43568</v>
      </c>
      <c r="Z62" s="129">
        <f t="shared" si="3"/>
        <v>64657</v>
      </c>
      <c r="AA62" s="130">
        <f t="shared" si="4"/>
        <v>90729</v>
      </c>
      <c r="AB62" s="132">
        <f t="shared" si="24"/>
        <v>8.6</v>
      </c>
      <c r="AC62" s="129">
        <f>ROUND(AB62*365*E62*(1-I$2),0)</f>
        <v>381219</v>
      </c>
      <c r="AD62" s="129">
        <f t="shared" si="25"/>
        <v>1430</v>
      </c>
      <c r="AE62" s="129">
        <f t="shared" si="26"/>
        <v>382649</v>
      </c>
      <c r="AF62" s="133">
        <f>H$2</f>
        <v>0.03</v>
      </c>
      <c r="AG62" s="134"/>
      <c r="AH62" s="128">
        <f>H62</f>
        <v>56009</v>
      </c>
      <c r="AI62" s="127">
        <f t="shared" si="43"/>
        <v>30.19</v>
      </c>
      <c r="AJ62" s="130">
        <f t="shared" si="6"/>
        <v>291920</v>
      </c>
      <c r="AK62" s="135">
        <f t="shared" si="7"/>
        <v>6015869</v>
      </c>
      <c r="AL62" s="131">
        <f t="shared" si="8"/>
        <v>0.25</v>
      </c>
      <c r="AM62" s="129">
        <f t="shared" si="9"/>
        <v>0</v>
      </c>
      <c r="AN62" s="130">
        <f t="shared" si="10"/>
        <v>0</v>
      </c>
      <c r="AO62" s="130">
        <f t="shared" si="11"/>
        <v>0</v>
      </c>
      <c r="AP62" s="129">
        <f>ROUND(AV62*'[1]数据-取费表'!$B$41/(1+'[1]数据-取费表'!$B$42),0)</f>
        <v>0</v>
      </c>
      <c r="AQ62" s="129">
        <f>ROUND(AV62*'[1]数据-取费表'!B$51/(1+'[1]数据-取费表'!C$42),0)</f>
        <v>0</v>
      </c>
      <c r="AR62" s="136">
        <f t="shared" si="12"/>
        <v>0</v>
      </c>
      <c r="AS62" s="130">
        <f t="shared" si="27"/>
        <v>0</v>
      </c>
      <c r="AT62" s="137">
        <f t="shared" si="47"/>
        <v>8.6</v>
      </c>
      <c r="AU62" s="138">
        <f t="shared" si="28"/>
        <v>20.99</v>
      </c>
      <c r="AV62" s="129">
        <f t="shared" si="29"/>
        <v>0</v>
      </c>
      <c r="AW62" s="129">
        <f t="shared" si="30"/>
        <v>0</v>
      </c>
      <c r="AX62" s="129">
        <f t="shared" si="13"/>
        <v>0</v>
      </c>
      <c r="AY62" s="127">
        <f t="shared" si="44"/>
        <v>0</v>
      </c>
      <c r="AZ62" s="139">
        <f t="shared" si="45"/>
        <v>0</v>
      </c>
      <c r="BA62" s="139">
        <f t="shared" si="31"/>
        <v>0</v>
      </c>
      <c r="BB62" s="140">
        <f t="shared" si="16"/>
        <v>0</v>
      </c>
      <c r="BC62" s="140">
        <f t="shared" si="46"/>
        <v>91354</v>
      </c>
      <c r="BD62" s="140">
        <f t="shared" si="33"/>
        <v>610.72</v>
      </c>
      <c r="BE62" s="139">
        <f t="shared" si="34"/>
        <v>0</v>
      </c>
      <c r="BF62" s="139">
        <f t="shared" si="35"/>
        <v>0</v>
      </c>
      <c r="BG62" s="139">
        <f t="shared" si="17"/>
        <v>0</v>
      </c>
      <c r="BH62" s="139">
        <f t="shared" si="18"/>
        <v>0</v>
      </c>
      <c r="BI62" s="139">
        <f>ROUND(BE62*'[1]数据-取费表'!$B$51/(1+'[1]数据-取费表'!$C$42),0)</f>
        <v>0</v>
      </c>
      <c r="BJ62" s="139">
        <f>ROUND(BG62*'[1]数据-取费表'!B$41/(1+'[1]数据-取费表'!C$42),0)</f>
        <v>0</v>
      </c>
      <c r="BK62" s="139">
        <f t="shared" si="19"/>
        <v>0</v>
      </c>
      <c r="BL62" s="139">
        <f t="shared" si="20"/>
        <v>0</v>
      </c>
      <c r="BM62" s="139">
        <f t="shared" si="36"/>
        <v>0</v>
      </c>
      <c r="BN62" s="165">
        <f t="shared" si="21"/>
        <v>0</v>
      </c>
      <c r="BO62" s="140">
        <f t="shared" si="49"/>
        <v>848.36702513346165</v>
      </c>
      <c r="BP62" s="194">
        <f>SUM(BO62:BO71)</f>
        <v>12153.949488065648</v>
      </c>
      <c r="BQ62" s="194">
        <f>ROUND(BP62*10000/BS62,0)</f>
        <v>62168</v>
      </c>
      <c r="BR62" s="194"/>
      <c r="BS62" s="20">
        <f>SUM(E62:E71)</f>
        <v>1955.0200000000002</v>
      </c>
    </row>
    <row r="63" spans="1:85" s="87" customFormat="1" x14ac:dyDescent="0.2">
      <c r="A63" s="146">
        <v>46</v>
      </c>
      <c r="B63" s="125" t="s">
        <v>82</v>
      </c>
      <c r="C63" s="126" t="s">
        <v>85</v>
      </c>
      <c r="D63" s="127">
        <v>802</v>
      </c>
      <c r="E63" s="127">
        <v>216.1</v>
      </c>
      <c r="F63" s="127" t="s">
        <v>83</v>
      </c>
      <c r="G63" s="127" t="s">
        <v>75</v>
      </c>
      <c r="H63" s="128">
        <v>56009</v>
      </c>
      <c r="I63" s="128">
        <v>44987</v>
      </c>
      <c r="J63" s="127">
        <f>IF(F63="商业",[1]项目基本情况!D$15,[1]项目基本情况!E$15)</f>
        <v>30.19</v>
      </c>
      <c r="K63" s="127" t="s">
        <v>84</v>
      </c>
      <c r="L63" s="218">
        <f>SUM(E63:E67)</f>
        <v>1008.27</v>
      </c>
      <c r="M63" s="127">
        <v>7</v>
      </c>
      <c r="N63" s="127" t="s">
        <v>11</v>
      </c>
      <c r="O63" s="127">
        <v>2008</v>
      </c>
      <c r="P63" s="218">
        <f t="shared" si="0"/>
        <v>188.46</v>
      </c>
      <c r="Q63" s="218">
        <f>ROUND(P63*'[1]数据-取费表'!B$52,0)</f>
        <v>5654</v>
      </c>
      <c r="R63" s="218">
        <f t="shared" si="38"/>
        <v>11425282</v>
      </c>
      <c r="S63" s="218">
        <f t="shared" si="22"/>
        <v>171379</v>
      </c>
      <c r="T63" s="220">
        <v>0.8</v>
      </c>
      <c r="U63" s="218">
        <f t="shared" si="39"/>
        <v>9140226</v>
      </c>
      <c r="V63" s="218">
        <f t="shared" si="2"/>
        <v>9140</v>
      </c>
      <c r="W63" s="218">
        <f t="shared" si="23"/>
        <v>9840</v>
      </c>
      <c r="X63" s="218">
        <f>ROUND(AC63*'[1]数据-取费表'!$B$41/(1+'[1]数据-取费表'!$C$42),0)</f>
        <v>104570</v>
      </c>
      <c r="Y63" s="218">
        <f>ROUND(AC63*'[1]数据-取费表'!$B$51/(1+'[1]数据-取费表'!$C$42),0)</f>
        <v>224078</v>
      </c>
      <c r="Z63" s="218">
        <f t="shared" si="3"/>
        <v>334302</v>
      </c>
      <c r="AA63" s="218">
        <f t="shared" si="4"/>
        <v>524661</v>
      </c>
      <c r="AB63" s="240">
        <f>ROUND(AC63/365/L63,2)</f>
        <v>5.33</v>
      </c>
      <c r="AC63" s="218">
        <v>1960680</v>
      </c>
      <c r="AD63" s="218">
        <f t="shared" si="25"/>
        <v>7353</v>
      </c>
      <c r="AE63" s="218">
        <f t="shared" si="26"/>
        <v>1968033</v>
      </c>
      <c r="AF63" s="225">
        <v>4.8000000000000001E-2</v>
      </c>
      <c r="AG63" s="218"/>
      <c r="AH63" s="226">
        <v>45626</v>
      </c>
      <c r="AI63" s="218">
        <f t="shared" si="43"/>
        <v>1.75</v>
      </c>
      <c r="AJ63" s="218">
        <f t="shared" si="6"/>
        <v>1443372</v>
      </c>
      <c r="AK63" s="224">
        <f t="shared" si="7"/>
        <v>2388258</v>
      </c>
      <c r="AL63" s="220">
        <f t="shared" si="8"/>
        <v>0.73</v>
      </c>
      <c r="AM63" s="218">
        <f t="shared" si="9"/>
        <v>8340456</v>
      </c>
      <c r="AN63" s="218">
        <f t="shared" si="10"/>
        <v>8340</v>
      </c>
      <c r="AO63" s="218">
        <f t="shared" si="11"/>
        <v>15060</v>
      </c>
      <c r="AP63" s="218">
        <f>ROUND(AV63*'[1]数据-取费表'!$B$41/(1+'[1]数据-取费表'!$B$42),0)</f>
        <v>160044</v>
      </c>
      <c r="AQ63" s="218">
        <f>ROUND(AV63*'[1]数据-取费表'!B$51/(1+'[1]数据-取费表'!C$42),0)</f>
        <v>342951</v>
      </c>
      <c r="AR63" s="218">
        <f t="shared" si="12"/>
        <v>508649</v>
      </c>
      <c r="AS63" s="218">
        <f t="shared" si="27"/>
        <v>703428</v>
      </c>
      <c r="AT63" s="223">
        <f t="shared" si="47"/>
        <v>8.6</v>
      </c>
      <c r="AU63" s="224">
        <f t="shared" si="28"/>
        <v>9.06</v>
      </c>
      <c r="AV63" s="218">
        <f t="shared" si="29"/>
        <v>3000823</v>
      </c>
      <c r="AW63" s="218">
        <f t="shared" si="30"/>
        <v>11253</v>
      </c>
      <c r="AX63" s="218">
        <f t="shared" si="13"/>
        <v>3012076</v>
      </c>
      <c r="AY63" s="218">
        <f t="shared" si="44"/>
        <v>28.44</v>
      </c>
      <c r="AZ63" s="227">
        <f t="shared" si="45"/>
        <v>2308648</v>
      </c>
      <c r="BA63" s="227">
        <f t="shared" si="31"/>
        <v>45657580</v>
      </c>
      <c r="BB63" s="229">
        <f t="shared" si="16"/>
        <v>41573930</v>
      </c>
      <c r="BC63" s="229">
        <f t="shared" si="46"/>
        <v>682599</v>
      </c>
      <c r="BD63" s="229">
        <f t="shared" si="33"/>
        <v>4464.4799999999996</v>
      </c>
      <c r="BE63" s="227">
        <f t="shared" si="34"/>
        <v>2848464</v>
      </c>
      <c r="BF63" s="227">
        <f t="shared" si="35"/>
        <v>10682</v>
      </c>
      <c r="BG63" s="227">
        <f t="shared" si="17"/>
        <v>2859146</v>
      </c>
      <c r="BH63" s="227">
        <f t="shared" si="18"/>
        <v>14296</v>
      </c>
      <c r="BI63" s="227">
        <f>ROUND(BE63*'[1]数据-取费表'!$B$51/(1+'[1]数据-取费表'!$C$42),0)</f>
        <v>325539</v>
      </c>
      <c r="BJ63" s="227">
        <f>ROUND(BG63*'[1]数据-取费表'!B$41/(1+'[1]数据-取费表'!C$42),0)</f>
        <v>152488</v>
      </c>
      <c r="BK63" s="227">
        <f t="shared" si="19"/>
        <v>678496</v>
      </c>
      <c r="BL63" s="227">
        <f t="shared" si="20"/>
        <v>2180650</v>
      </c>
      <c r="BM63" s="227">
        <f t="shared" si="36"/>
        <v>3584985</v>
      </c>
      <c r="BN63" s="228">
        <f t="shared" si="21"/>
        <v>1196727</v>
      </c>
      <c r="BO63" s="229">
        <f t="shared" si="49"/>
        <v>6201.7252036413356</v>
      </c>
      <c r="BP63" s="194"/>
      <c r="BQ63" s="194"/>
      <c r="BR63" s="194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</row>
    <row r="64" spans="1:85" s="87" customFormat="1" x14ac:dyDescent="0.2">
      <c r="A64" s="146">
        <v>47</v>
      </c>
      <c r="B64" s="125" t="s">
        <v>82</v>
      </c>
      <c r="C64" s="126" t="s">
        <v>85</v>
      </c>
      <c r="D64" s="127">
        <v>803</v>
      </c>
      <c r="E64" s="127">
        <v>133.08000000000001</v>
      </c>
      <c r="F64" s="127" t="s">
        <v>83</v>
      </c>
      <c r="G64" s="127" t="s">
        <v>75</v>
      </c>
      <c r="H64" s="128">
        <v>56009</v>
      </c>
      <c r="I64" s="128">
        <v>44987</v>
      </c>
      <c r="J64" s="127">
        <f>IF(F64="商业",[1]项目基本情况!D$15,[1]项目基本情况!E$15)</f>
        <v>30.19</v>
      </c>
      <c r="K64" s="127" t="s">
        <v>84</v>
      </c>
      <c r="L64" s="218"/>
      <c r="M64" s="127">
        <v>7</v>
      </c>
      <c r="N64" s="127" t="s">
        <v>11</v>
      </c>
      <c r="O64" s="127">
        <v>2008</v>
      </c>
      <c r="P64" s="218">
        <f t="shared" si="0"/>
        <v>0</v>
      </c>
      <c r="Q64" s="218">
        <f>ROUND(P64*'[1]数据-取费表'!B$52,0)</f>
        <v>0</v>
      </c>
      <c r="R64" s="218">
        <f t="shared" si="38"/>
        <v>0</v>
      </c>
      <c r="S64" s="218">
        <f t="shared" si="22"/>
        <v>0</v>
      </c>
      <c r="T64" s="220">
        <v>0.8</v>
      </c>
      <c r="U64" s="218">
        <f t="shared" si="39"/>
        <v>0</v>
      </c>
      <c r="V64" s="218">
        <f t="shared" si="2"/>
        <v>0</v>
      </c>
      <c r="W64" s="218">
        <f t="shared" si="23"/>
        <v>0</v>
      </c>
      <c r="X64" s="218">
        <f>ROUND(AC64*'[1]数据-取费表'!$B$41/(1+'[1]数据-取费表'!$C$42),0)</f>
        <v>0</v>
      </c>
      <c r="Y64" s="218">
        <f>ROUND(AC64*'[1]数据-取费表'!$B$51/(1+'[1]数据-取费表'!$C$42),0)</f>
        <v>0</v>
      </c>
      <c r="Z64" s="218">
        <f t="shared" si="3"/>
        <v>0</v>
      </c>
      <c r="AA64" s="218">
        <f t="shared" si="4"/>
        <v>0</v>
      </c>
      <c r="AB64" s="240">
        <f t="shared" si="24"/>
        <v>8.6</v>
      </c>
      <c r="AC64" s="218"/>
      <c r="AD64" s="218">
        <f t="shared" si="25"/>
        <v>0</v>
      </c>
      <c r="AE64" s="218">
        <f t="shared" si="26"/>
        <v>0</v>
      </c>
      <c r="AF64" s="225"/>
      <c r="AG64" s="218"/>
      <c r="AH64" s="226"/>
      <c r="AI64" s="218">
        <f t="shared" si="43"/>
        <v>-123.25</v>
      </c>
      <c r="AJ64" s="218">
        <f t="shared" si="6"/>
        <v>0</v>
      </c>
      <c r="AK64" s="224">
        <f t="shared" si="7"/>
        <v>0</v>
      </c>
      <c r="AL64" s="220">
        <f t="shared" si="8"/>
        <v>2.8</v>
      </c>
      <c r="AM64" s="218">
        <f t="shared" si="9"/>
        <v>0</v>
      </c>
      <c r="AN64" s="218">
        <f t="shared" si="10"/>
        <v>0</v>
      </c>
      <c r="AO64" s="218">
        <f t="shared" si="11"/>
        <v>0</v>
      </c>
      <c r="AP64" s="218">
        <f>ROUND(AV64*'[1]数据-取费表'!$B$41/(1+'[1]数据-取费表'!$B$42),0)</f>
        <v>0</v>
      </c>
      <c r="AQ64" s="218">
        <f>ROUND(AV64*'[1]数据-取费表'!B$51/(1+'[1]数据-取费表'!C$42),0)</f>
        <v>0</v>
      </c>
      <c r="AR64" s="218">
        <f t="shared" si="12"/>
        <v>0</v>
      </c>
      <c r="AS64" s="218">
        <f t="shared" si="27"/>
        <v>0</v>
      </c>
      <c r="AT64" s="223">
        <f t="shared" si="47"/>
        <v>8.6</v>
      </c>
      <c r="AU64" s="224">
        <f t="shared" si="28"/>
        <v>0.23</v>
      </c>
      <c r="AV64" s="218">
        <f t="shared" si="29"/>
        <v>0</v>
      </c>
      <c r="AW64" s="218">
        <f t="shared" si="30"/>
        <v>0</v>
      </c>
      <c r="AX64" s="218">
        <f t="shared" si="13"/>
        <v>0</v>
      </c>
      <c r="AY64" s="218">
        <f t="shared" si="44"/>
        <v>153.44</v>
      </c>
      <c r="AZ64" s="227">
        <f t="shared" si="45"/>
        <v>0</v>
      </c>
      <c r="BA64" s="227">
        <f t="shared" si="31"/>
        <v>0</v>
      </c>
      <c r="BB64" s="229">
        <f t="shared" si="16"/>
        <v>0</v>
      </c>
      <c r="BC64" s="229">
        <f t="shared" si="46"/>
        <v>0</v>
      </c>
      <c r="BD64" s="229">
        <f t="shared" si="33"/>
        <v>0</v>
      </c>
      <c r="BE64" s="227">
        <f t="shared" si="34"/>
        <v>0</v>
      </c>
      <c r="BF64" s="227">
        <f t="shared" si="35"/>
        <v>0</v>
      </c>
      <c r="BG64" s="227">
        <f t="shared" si="17"/>
        <v>0</v>
      </c>
      <c r="BH64" s="227">
        <f t="shared" si="18"/>
        <v>0</v>
      </c>
      <c r="BI64" s="227">
        <f>ROUND(BE64*'[1]数据-取费表'!$B$51/(1+'[1]数据-取费表'!$C$42),0)</f>
        <v>0</v>
      </c>
      <c r="BJ64" s="227">
        <f>ROUND(BG64*'[1]数据-取费表'!B$41/(1+'[1]数据-取费表'!C$42),0)</f>
        <v>0</v>
      </c>
      <c r="BK64" s="227">
        <f t="shared" si="19"/>
        <v>0</v>
      </c>
      <c r="BL64" s="227">
        <f t="shared" si="20"/>
        <v>0</v>
      </c>
      <c r="BM64" s="227">
        <f t="shared" si="36"/>
        <v>0</v>
      </c>
      <c r="BN64" s="228">
        <f t="shared" si="21"/>
        <v>0</v>
      </c>
      <c r="BO64" s="229"/>
      <c r="BP64" s="194"/>
      <c r="BQ64" s="194"/>
      <c r="BR64" s="194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</row>
    <row r="65" spans="1:85" s="87" customFormat="1" x14ac:dyDescent="0.2">
      <c r="A65" s="146">
        <v>48</v>
      </c>
      <c r="B65" s="125" t="s">
        <v>82</v>
      </c>
      <c r="C65" s="126" t="s">
        <v>85</v>
      </c>
      <c r="D65" s="127">
        <v>805</v>
      </c>
      <c r="E65" s="127">
        <v>196.75</v>
      </c>
      <c r="F65" s="127" t="s">
        <v>83</v>
      </c>
      <c r="G65" s="127" t="s">
        <v>75</v>
      </c>
      <c r="H65" s="128">
        <v>56009</v>
      </c>
      <c r="I65" s="128">
        <v>44987</v>
      </c>
      <c r="J65" s="127">
        <f>IF(F65="商业",[1]项目基本情况!D$15,[1]项目基本情况!E$15)</f>
        <v>30.19</v>
      </c>
      <c r="K65" s="127" t="s">
        <v>84</v>
      </c>
      <c r="L65" s="218"/>
      <c r="M65" s="127">
        <v>7</v>
      </c>
      <c r="N65" s="127" t="s">
        <v>11</v>
      </c>
      <c r="O65" s="127">
        <v>2008</v>
      </c>
      <c r="P65" s="218">
        <f t="shared" si="0"/>
        <v>0</v>
      </c>
      <c r="Q65" s="218">
        <f>ROUND(P65*'[1]数据-取费表'!B$52,0)</f>
        <v>0</v>
      </c>
      <c r="R65" s="218">
        <f t="shared" si="38"/>
        <v>0</v>
      </c>
      <c r="S65" s="218">
        <f t="shared" si="22"/>
        <v>0</v>
      </c>
      <c r="T65" s="220">
        <v>0.8</v>
      </c>
      <c r="U65" s="218">
        <f t="shared" si="39"/>
        <v>0</v>
      </c>
      <c r="V65" s="218">
        <f t="shared" si="2"/>
        <v>0</v>
      </c>
      <c r="W65" s="218">
        <f t="shared" si="23"/>
        <v>0</v>
      </c>
      <c r="X65" s="218">
        <f>ROUND(AC65*'[1]数据-取费表'!$B$41/(1+'[1]数据-取费表'!$C$42),0)</f>
        <v>0</v>
      </c>
      <c r="Y65" s="218">
        <f>ROUND(AC65*'[1]数据-取费表'!$B$51/(1+'[1]数据-取费表'!$C$42),0)</f>
        <v>0</v>
      </c>
      <c r="Z65" s="218">
        <f t="shared" si="3"/>
        <v>0</v>
      </c>
      <c r="AA65" s="218">
        <f t="shared" si="4"/>
        <v>0</v>
      </c>
      <c r="AB65" s="240">
        <f t="shared" si="24"/>
        <v>8.6</v>
      </c>
      <c r="AC65" s="218"/>
      <c r="AD65" s="218">
        <f t="shared" si="25"/>
        <v>0</v>
      </c>
      <c r="AE65" s="218">
        <f t="shared" si="26"/>
        <v>0</v>
      </c>
      <c r="AF65" s="225"/>
      <c r="AG65" s="218"/>
      <c r="AH65" s="226"/>
      <c r="AI65" s="218">
        <f t="shared" si="43"/>
        <v>-123.25</v>
      </c>
      <c r="AJ65" s="218">
        <f t="shared" si="6"/>
        <v>0</v>
      </c>
      <c r="AK65" s="224">
        <f t="shared" si="7"/>
        <v>0</v>
      </c>
      <c r="AL65" s="220">
        <f t="shared" si="8"/>
        <v>2.8</v>
      </c>
      <c r="AM65" s="218">
        <f t="shared" si="9"/>
        <v>0</v>
      </c>
      <c r="AN65" s="218">
        <f t="shared" si="10"/>
        <v>0</v>
      </c>
      <c r="AO65" s="218">
        <f t="shared" si="11"/>
        <v>0</v>
      </c>
      <c r="AP65" s="218">
        <f>ROUND(AV65*'[1]数据-取费表'!$B$41/(1+'[1]数据-取费表'!$B$42),0)</f>
        <v>0</v>
      </c>
      <c r="AQ65" s="218">
        <f>ROUND(AV65*'[1]数据-取费表'!B$51/(1+'[1]数据-取费表'!C$42),0)</f>
        <v>0</v>
      </c>
      <c r="AR65" s="218">
        <f t="shared" si="12"/>
        <v>0</v>
      </c>
      <c r="AS65" s="218">
        <f t="shared" si="27"/>
        <v>0</v>
      </c>
      <c r="AT65" s="223">
        <f t="shared" si="47"/>
        <v>8.6</v>
      </c>
      <c r="AU65" s="224">
        <f t="shared" si="28"/>
        <v>0.23</v>
      </c>
      <c r="AV65" s="218">
        <f t="shared" si="29"/>
        <v>0</v>
      </c>
      <c r="AW65" s="218">
        <f t="shared" si="30"/>
        <v>0</v>
      </c>
      <c r="AX65" s="218">
        <f t="shared" si="13"/>
        <v>0</v>
      </c>
      <c r="AY65" s="218">
        <f t="shared" si="44"/>
        <v>153.44</v>
      </c>
      <c r="AZ65" s="227">
        <f t="shared" si="45"/>
        <v>0</v>
      </c>
      <c r="BA65" s="227">
        <f t="shared" si="31"/>
        <v>0</v>
      </c>
      <c r="BB65" s="229">
        <f t="shared" si="16"/>
        <v>0</v>
      </c>
      <c r="BC65" s="229">
        <f t="shared" si="46"/>
        <v>0</v>
      </c>
      <c r="BD65" s="229">
        <f t="shared" si="33"/>
        <v>0</v>
      </c>
      <c r="BE65" s="227">
        <f t="shared" si="34"/>
        <v>0</v>
      </c>
      <c r="BF65" s="227">
        <f t="shared" si="35"/>
        <v>0</v>
      </c>
      <c r="BG65" s="227">
        <f t="shared" si="17"/>
        <v>0</v>
      </c>
      <c r="BH65" s="227">
        <f t="shared" si="18"/>
        <v>0</v>
      </c>
      <c r="BI65" s="227">
        <f>ROUND(BE65*'[1]数据-取费表'!$B$51/(1+'[1]数据-取费表'!$C$42),0)</f>
        <v>0</v>
      </c>
      <c r="BJ65" s="227">
        <f>ROUND(BG65*'[1]数据-取费表'!B$41/(1+'[1]数据-取费表'!C$42),0)</f>
        <v>0</v>
      </c>
      <c r="BK65" s="227">
        <f t="shared" si="19"/>
        <v>0</v>
      </c>
      <c r="BL65" s="227">
        <f t="shared" si="20"/>
        <v>0</v>
      </c>
      <c r="BM65" s="227">
        <f t="shared" si="36"/>
        <v>0</v>
      </c>
      <c r="BN65" s="228">
        <f t="shared" si="21"/>
        <v>0</v>
      </c>
      <c r="BO65" s="229"/>
      <c r="BP65" s="194"/>
      <c r="BQ65" s="194"/>
      <c r="BR65" s="194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</row>
    <row r="66" spans="1:85" s="87" customFormat="1" x14ac:dyDescent="0.2">
      <c r="A66" s="146">
        <v>49</v>
      </c>
      <c r="B66" s="125" t="s">
        <v>82</v>
      </c>
      <c r="C66" s="126" t="s">
        <v>85</v>
      </c>
      <c r="D66" s="127">
        <v>806</v>
      </c>
      <c r="E66" s="127">
        <v>145.26</v>
      </c>
      <c r="F66" s="127" t="s">
        <v>83</v>
      </c>
      <c r="G66" s="127" t="s">
        <v>75</v>
      </c>
      <c r="H66" s="128">
        <v>56009</v>
      </c>
      <c r="I66" s="128">
        <v>44987</v>
      </c>
      <c r="J66" s="127">
        <f>IF(F66="商业",[1]项目基本情况!D$15,[1]项目基本情况!E$15)</f>
        <v>30.19</v>
      </c>
      <c r="K66" s="127" t="s">
        <v>84</v>
      </c>
      <c r="L66" s="218"/>
      <c r="M66" s="127">
        <v>7</v>
      </c>
      <c r="N66" s="127" t="s">
        <v>11</v>
      </c>
      <c r="O66" s="127">
        <v>2008</v>
      </c>
      <c r="P66" s="218">
        <f t="shared" si="0"/>
        <v>0</v>
      </c>
      <c r="Q66" s="218">
        <f>ROUND(P66*'[1]数据-取费表'!B$52,0)</f>
        <v>0</v>
      </c>
      <c r="R66" s="218">
        <f t="shared" si="38"/>
        <v>0</v>
      </c>
      <c r="S66" s="218">
        <f t="shared" si="22"/>
        <v>0</v>
      </c>
      <c r="T66" s="220">
        <v>0.8</v>
      </c>
      <c r="U66" s="218">
        <f t="shared" si="39"/>
        <v>0</v>
      </c>
      <c r="V66" s="218">
        <f t="shared" si="2"/>
        <v>0</v>
      </c>
      <c r="W66" s="218">
        <f t="shared" si="23"/>
        <v>0</v>
      </c>
      <c r="X66" s="218">
        <f>ROUND(AC66*'[1]数据-取费表'!$B$41/(1+'[1]数据-取费表'!$C$42),0)</f>
        <v>0</v>
      </c>
      <c r="Y66" s="218">
        <f>ROUND(AC66*'[1]数据-取费表'!$B$51/(1+'[1]数据-取费表'!$C$42),0)</f>
        <v>0</v>
      </c>
      <c r="Z66" s="218">
        <f t="shared" si="3"/>
        <v>0</v>
      </c>
      <c r="AA66" s="218">
        <f t="shared" si="4"/>
        <v>0</v>
      </c>
      <c r="AB66" s="240">
        <f t="shared" si="24"/>
        <v>8.6</v>
      </c>
      <c r="AC66" s="218"/>
      <c r="AD66" s="218">
        <f t="shared" si="25"/>
        <v>0</v>
      </c>
      <c r="AE66" s="218">
        <f t="shared" si="26"/>
        <v>0</v>
      </c>
      <c r="AF66" s="225"/>
      <c r="AG66" s="218"/>
      <c r="AH66" s="226"/>
      <c r="AI66" s="218">
        <f t="shared" si="43"/>
        <v>-123.25</v>
      </c>
      <c r="AJ66" s="218">
        <f t="shared" si="6"/>
        <v>0</v>
      </c>
      <c r="AK66" s="224">
        <f t="shared" si="7"/>
        <v>0</v>
      </c>
      <c r="AL66" s="220">
        <f t="shared" si="8"/>
        <v>2.8</v>
      </c>
      <c r="AM66" s="218">
        <f t="shared" si="9"/>
        <v>0</v>
      </c>
      <c r="AN66" s="218">
        <f t="shared" si="10"/>
        <v>0</v>
      </c>
      <c r="AO66" s="218">
        <f t="shared" si="11"/>
        <v>0</v>
      </c>
      <c r="AP66" s="218">
        <f>ROUND(AV66*'[1]数据-取费表'!$B$41/(1+'[1]数据-取费表'!$B$42),0)</f>
        <v>0</v>
      </c>
      <c r="AQ66" s="218">
        <f>ROUND(AV66*'[1]数据-取费表'!B$51/(1+'[1]数据-取费表'!C$42),0)</f>
        <v>0</v>
      </c>
      <c r="AR66" s="218">
        <f t="shared" si="12"/>
        <v>0</v>
      </c>
      <c r="AS66" s="218">
        <f t="shared" si="27"/>
        <v>0</v>
      </c>
      <c r="AT66" s="223">
        <f t="shared" si="47"/>
        <v>8.6</v>
      </c>
      <c r="AU66" s="224">
        <f t="shared" si="28"/>
        <v>0.23</v>
      </c>
      <c r="AV66" s="218">
        <f t="shared" si="29"/>
        <v>0</v>
      </c>
      <c r="AW66" s="218">
        <f t="shared" si="30"/>
        <v>0</v>
      </c>
      <c r="AX66" s="218">
        <f t="shared" si="13"/>
        <v>0</v>
      </c>
      <c r="AY66" s="218">
        <f t="shared" si="44"/>
        <v>153.44</v>
      </c>
      <c r="AZ66" s="227">
        <f t="shared" si="45"/>
        <v>0</v>
      </c>
      <c r="BA66" s="227">
        <f t="shared" si="31"/>
        <v>0</v>
      </c>
      <c r="BB66" s="229">
        <f t="shared" si="16"/>
        <v>0</v>
      </c>
      <c r="BC66" s="229">
        <f t="shared" si="46"/>
        <v>0</v>
      </c>
      <c r="BD66" s="229">
        <f t="shared" si="33"/>
        <v>0</v>
      </c>
      <c r="BE66" s="227">
        <f t="shared" si="34"/>
        <v>0</v>
      </c>
      <c r="BF66" s="227">
        <f t="shared" si="35"/>
        <v>0</v>
      </c>
      <c r="BG66" s="227">
        <f t="shared" si="17"/>
        <v>0</v>
      </c>
      <c r="BH66" s="227">
        <f t="shared" si="18"/>
        <v>0</v>
      </c>
      <c r="BI66" s="227">
        <f>ROUND(BE66*'[1]数据-取费表'!$B$51/(1+'[1]数据-取费表'!$C$42),0)</f>
        <v>0</v>
      </c>
      <c r="BJ66" s="227">
        <f>ROUND(BG66*'[1]数据-取费表'!B$41/(1+'[1]数据-取费表'!C$42),0)</f>
        <v>0</v>
      </c>
      <c r="BK66" s="227">
        <f t="shared" si="19"/>
        <v>0</v>
      </c>
      <c r="BL66" s="227">
        <f t="shared" si="20"/>
        <v>0</v>
      </c>
      <c r="BM66" s="227">
        <f t="shared" si="36"/>
        <v>0</v>
      </c>
      <c r="BN66" s="228">
        <f t="shared" si="21"/>
        <v>0</v>
      </c>
      <c r="BO66" s="229"/>
      <c r="BP66" s="194"/>
      <c r="BQ66" s="194"/>
      <c r="BR66" s="194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</row>
    <row r="67" spans="1:85" s="87" customFormat="1" x14ac:dyDescent="0.2">
      <c r="A67" s="146">
        <v>50</v>
      </c>
      <c r="B67" s="125" t="s">
        <v>82</v>
      </c>
      <c r="C67" s="126" t="s">
        <v>85</v>
      </c>
      <c r="D67" s="127">
        <v>807</v>
      </c>
      <c r="E67" s="127">
        <v>317.08</v>
      </c>
      <c r="F67" s="127" t="s">
        <v>83</v>
      </c>
      <c r="G67" s="127" t="s">
        <v>75</v>
      </c>
      <c r="H67" s="128">
        <v>56009</v>
      </c>
      <c r="I67" s="128">
        <v>44987</v>
      </c>
      <c r="J67" s="127">
        <f>IF(F67="商业",[1]项目基本情况!D$15,[1]项目基本情况!E$15)</f>
        <v>30.19</v>
      </c>
      <c r="K67" s="127" t="s">
        <v>84</v>
      </c>
      <c r="L67" s="218"/>
      <c r="M67" s="127">
        <v>7</v>
      </c>
      <c r="N67" s="127" t="s">
        <v>11</v>
      </c>
      <c r="O67" s="127">
        <v>2008</v>
      </c>
      <c r="P67" s="218">
        <f t="shared" si="0"/>
        <v>0</v>
      </c>
      <c r="Q67" s="218">
        <f>ROUND(P67*'[1]数据-取费表'!B$52,0)</f>
        <v>0</v>
      </c>
      <c r="R67" s="218">
        <f t="shared" si="38"/>
        <v>0</v>
      </c>
      <c r="S67" s="218">
        <f t="shared" si="22"/>
        <v>0</v>
      </c>
      <c r="T67" s="220">
        <v>0.8</v>
      </c>
      <c r="U67" s="218">
        <f t="shared" si="39"/>
        <v>0</v>
      </c>
      <c r="V67" s="218">
        <f t="shared" si="2"/>
        <v>0</v>
      </c>
      <c r="W67" s="218">
        <f t="shared" si="23"/>
        <v>0</v>
      </c>
      <c r="X67" s="218">
        <f>ROUND(AC67*'[1]数据-取费表'!$B$41/(1+'[1]数据-取费表'!$C$42),0)</f>
        <v>0</v>
      </c>
      <c r="Y67" s="218">
        <f>ROUND(AC67*'[1]数据-取费表'!$B$51/(1+'[1]数据-取费表'!$C$42),0)</f>
        <v>0</v>
      </c>
      <c r="Z67" s="218">
        <f t="shared" si="3"/>
        <v>0</v>
      </c>
      <c r="AA67" s="218">
        <f t="shared" si="4"/>
        <v>0</v>
      </c>
      <c r="AB67" s="240">
        <f t="shared" si="24"/>
        <v>8.6</v>
      </c>
      <c r="AC67" s="218"/>
      <c r="AD67" s="218">
        <f t="shared" si="25"/>
        <v>0</v>
      </c>
      <c r="AE67" s="218">
        <f t="shared" si="26"/>
        <v>0</v>
      </c>
      <c r="AF67" s="225"/>
      <c r="AG67" s="218"/>
      <c r="AH67" s="226"/>
      <c r="AI67" s="218">
        <f t="shared" si="43"/>
        <v>-123.25</v>
      </c>
      <c r="AJ67" s="218">
        <f t="shared" si="6"/>
        <v>0</v>
      </c>
      <c r="AK67" s="224">
        <f t="shared" si="7"/>
        <v>0</v>
      </c>
      <c r="AL67" s="220">
        <f t="shared" si="8"/>
        <v>2.8</v>
      </c>
      <c r="AM67" s="218">
        <f t="shared" si="9"/>
        <v>0</v>
      </c>
      <c r="AN67" s="218">
        <f t="shared" si="10"/>
        <v>0</v>
      </c>
      <c r="AO67" s="218">
        <f t="shared" si="11"/>
        <v>0</v>
      </c>
      <c r="AP67" s="218">
        <f>ROUND(AV67*'[1]数据-取费表'!$B$41/(1+'[1]数据-取费表'!$B$42),0)</f>
        <v>0</v>
      </c>
      <c r="AQ67" s="218">
        <f>ROUND(AV67*'[1]数据-取费表'!B$51/(1+'[1]数据-取费表'!C$42),0)</f>
        <v>0</v>
      </c>
      <c r="AR67" s="218">
        <f t="shared" si="12"/>
        <v>0</v>
      </c>
      <c r="AS67" s="218">
        <f t="shared" si="27"/>
        <v>0</v>
      </c>
      <c r="AT67" s="223">
        <f t="shared" si="47"/>
        <v>8.6</v>
      </c>
      <c r="AU67" s="224">
        <f t="shared" si="28"/>
        <v>0.23</v>
      </c>
      <c r="AV67" s="218">
        <f t="shared" si="29"/>
        <v>0</v>
      </c>
      <c r="AW67" s="218">
        <f t="shared" si="30"/>
        <v>0</v>
      </c>
      <c r="AX67" s="218">
        <f t="shared" si="13"/>
        <v>0</v>
      </c>
      <c r="AY67" s="218">
        <f t="shared" si="44"/>
        <v>153.44</v>
      </c>
      <c r="AZ67" s="227">
        <f t="shared" si="45"/>
        <v>0</v>
      </c>
      <c r="BA67" s="227">
        <f t="shared" si="31"/>
        <v>0</v>
      </c>
      <c r="BB67" s="229">
        <f t="shared" si="16"/>
        <v>0</v>
      </c>
      <c r="BC67" s="229">
        <f t="shared" si="46"/>
        <v>0</v>
      </c>
      <c r="BD67" s="229">
        <f t="shared" si="33"/>
        <v>0</v>
      </c>
      <c r="BE67" s="227">
        <f t="shared" si="34"/>
        <v>0</v>
      </c>
      <c r="BF67" s="227">
        <f t="shared" si="35"/>
        <v>0</v>
      </c>
      <c r="BG67" s="227">
        <f t="shared" si="17"/>
        <v>0</v>
      </c>
      <c r="BH67" s="227">
        <f t="shared" si="18"/>
        <v>0</v>
      </c>
      <c r="BI67" s="227">
        <f>ROUND(BE67*'[1]数据-取费表'!$B$51/(1+'[1]数据-取费表'!$C$42),0)</f>
        <v>0</v>
      </c>
      <c r="BJ67" s="227">
        <f>ROUND(BG67*'[1]数据-取费表'!B$41/(1+'[1]数据-取费表'!C$42),0)</f>
        <v>0</v>
      </c>
      <c r="BK67" s="227">
        <f t="shared" si="19"/>
        <v>0</v>
      </c>
      <c r="BL67" s="227">
        <f t="shared" si="20"/>
        <v>0</v>
      </c>
      <c r="BM67" s="227">
        <f t="shared" si="36"/>
        <v>0</v>
      </c>
      <c r="BN67" s="228">
        <f t="shared" si="21"/>
        <v>0</v>
      </c>
      <c r="BO67" s="229"/>
      <c r="BP67" s="194"/>
      <c r="BQ67" s="194"/>
      <c r="BR67" s="194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</row>
    <row r="68" spans="1:85" x14ac:dyDescent="0.2">
      <c r="A68" s="146">
        <v>51</v>
      </c>
      <c r="B68" s="125" t="s">
        <v>82</v>
      </c>
      <c r="C68" s="126" t="s">
        <v>85</v>
      </c>
      <c r="D68" s="127">
        <v>808</v>
      </c>
      <c r="E68" s="127">
        <v>208.27</v>
      </c>
      <c r="F68" s="127" t="s">
        <v>83</v>
      </c>
      <c r="G68" s="127" t="s">
        <v>75</v>
      </c>
      <c r="H68" s="128">
        <v>56009</v>
      </c>
      <c r="I68" s="128">
        <v>44987</v>
      </c>
      <c r="J68" s="127">
        <f>IF(F68="商业",[1]项目基本情况!D$15,[1]项目基本情况!E$15)</f>
        <v>30.19</v>
      </c>
      <c r="K68" s="127"/>
      <c r="L68" s="127">
        <v>208.27</v>
      </c>
      <c r="M68" s="127">
        <v>7</v>
      </c>
      <c r="N68" s="127" t="s">
        <v>11</v>
      </c>
      <c r="O68" s="127">
        <v>2008</v>
      </c>
      <c r="P68" s="129">
        <f t="shared" si="0"/>
        <v>38.93</v>
      </c>
      <c r="Q68" s="129">
        <f>ROUND(P68*'[1]数据-取费表'!B$52,0)</f>
        <v>1168</v>
      </c>
      <c r="R68" s="129">
        <f t="shared" si="38"/>
        <v>2360026</v>
      </c>
      <c r="S68" s="130">
        <f t="shared" si="22"/>
        <v>35400</v>
      </c>
      <c r="T68" s="131">
        <v>0.8</v>
      </c>
      <c r="U68" s="129">
        <f t="shared" si="39"/>
        <v>1888021</v>
      </c>
      <c r="V68" s="130">
        <f t="shared" si="2"/>
        <v>1888</v>
      </c>
      <c r="W68" s="130">
        <f t="shared" si="23"/>
        <v>2953</v>
      </c>
      <c r="X68" s="129">
        <f>ROUND(AC68*'[1]数据-取费表'!$B$41/(1+'[1]数据-取费表'!$C$42),0)</f>
        <v>31380</v>
      </c>
      <c r="Y68" s="129">
        <f>ROUND(AC68*'[1]数据-取费表'!$B$51/(1+'[1]数据-取费表'!$C$42),0)</f>
        <v>67244</v>
      </c>
      <c r="Z68" s="129">
        <f t="shared" si="3"/>
        <v>99792</v>
      </c>
      <c r="AA68" s="130">
        <f t="shared" si="4"/>
        <v>140033</v>
      </c>
      <c r="AB68" s="132">
        <f t="shared" si="24"/>
        <v>8.6</v>
      </c>
      <c r="AC68" s="129">
        <f t="shared" ref="AC68:AC75" si="50">ROUND(AB68*365*L68*(1-I$2),0)</f>
        <v>588384</v>
      </c>
      <c r="AD68" s="129">
        <f t="shared" si="25"/>
        <v>2206</v>
      </c>
      <c r="AE68" s="129">
        <f t="shared" si="26"/>
        <v>590590</v>
      </c>
      <c r="AF68" s="133">
        <f t="shared" ref="AF68:AF75" si="51">H$2</f>
        <v>0.03</v>
      </c>
      <c r="AG68" s="134"/>
      <c r="AH68" s="128">
        <f t="shared" ref="AH68:AH75" si="52">H68</f>
        <v>56009</v>
      </c>
      <c r="AI68" s="127">
        <f t="shared" si="43"/>
        <v>30.19</v>
      </c>
      <c r="AJ68" s="130">
        <f t="shared" si="6"/>
        <v>450557</v>
      </c>
      <c r="AK68" s="135">
        <f t="shared" si="7"/>
        <v>9285050</v>
      </c>
      <c r="AL68" s="131">
        <f t="shared" si="8"/>
        <v>0.25</v>
      </c>
      <c r="AM68" s="129">
        <f t="shared" si="9"/>
        <v>0</v>
      </c>
      <c r="AN68" s="130">
        <f t="shared" si="10"/>
        <v>0</v>
      </c>
      <c r="AO68" s="130">
        <f t="shared" si="11"/>
        <v>0</v>
      </c>
      <c r="AP68" s="129">
        <f>ROUND(AV68*'[1]数据-取费表'!$B$41/(1+'[1]数据-取费表'!$B$42),0)</f>
        <v>0</v>
      </c>
      <c r="AQ68" s="129">
        <f>ROUND(AV68*'[1]数据-取费表'!B$51/(1+'[1]数据-取费表'!C$42),0)</f>
        <v>0</v>
      </c>
      <c r="AR68" s="136">
        <f t="shared" si="12"/>
        <v>0</v>
      </c>
      <c r="AS68" s="130">
        <f t="shared" si="27"/>
        <v>0</v>
      </c>
      <c r="AT68" s="137">
        <f t="shared" si="47"/>
        <v>8.6</v>
      </c>
      <c r="AU68" s="138">
        <f t="shared" si="28"/>
        <v>20.99</v>
      </c>
      <c r="AV68" s="129">
        <f t="shared" si="29"/>
        <v>0</v>
      </c>
      <c r="AW68" s="129">
        <f t="shared" si="30"/>
        <v>0</v>
      </c>
      <c r="AX68" s="129">
        <f t="shared" si="13"/>
        <v>0</v>
      </c>
      <c r="AY68" s="127">
        <f t="shared" si="44"/>
        <v>0</v>
      </c>
      <c r="AZ68" s="139">
        <f t="shared" si="45"/>
        <v>0</v>
      </c>
      <c r="BA68" s="139">
        <f t="shared" si="31"/>
        <v>0</v>
      </c>
      <c r="BB68" s="140">
        <f t="shared" si="16"/>
        <v>0</v>
      </c>
      <c r="BC68" s="140">
        <f t="shared" si="46"/>
        <v>140999</v>
      </c>
      <c r="BD68" s="140">
        <f t="shared" si="33"/>
        <v>942.6</v>
      </c>
      <c r="BE68" s="139">
        <f t="shared" si="34"/>
        <v>0</v>
      </c>
      <c r="BF68" s="139">
        <f t="shared" si="35"/>
        <v>0</v>
      </c>
      <c r="BG68" s="139">
        <f t="shared" si="17"/>
        <v>0</v>
      </c>
      <c r="BH68" s="139">
        <f t="shared" si="18"/>
        <v>0</v>
      </c>
      <c r="BI68" s="139">
        <f>ROUND(BE68*'[1]数据-取费表'!$B$51/(1+'[1]数据-取费表'!$C$42),0)</f>
        <v>0</v>
      </c>
      <c r="BJ68" s="139">
        <f>ROUND(BG68*'[1]数据-取费表'!B$41/(1+'[1]数据-取费表'!C$42),0)</f>
        <v>0</v>
      </c>
      <c r="BK68" s="139">
        <f t="shared" si="19"/>
        <v>0</v>
      </c>
      <c r="BL68" s="139">
        <f t="shared" si="20"/>
        <v>0</v>
      </c>
      <c r="BM68" s="139">
        <f t="shared" si="36"/>
        <v>0</v>
      </c>
      <c r="BN68" s="165">
        <f t="shared" si="21"/>
        <v>0</v>
      </c>
      <c r="BO68" s="140">
        <f t="shared" ref="BO68:BO76" si="53">BD68/$BD$234*$BS$3</f>
        <v>1309.3901589776017</v>
      </c>
      <c r="BP68" s="194"/>
      <c r="BQ68" s="194"/>
      <c r="BR68" s="194"/>
    </row>
    <row r="69" spans="1:85" x14ac:dyDescent="0.2">
      <c r="A69" s="146">
        <v>52</v>
      </c>
      <c r="B69" s="125" t="s">
        <v>82</v>
      </c>
      <c r="C69" s="126" t="s">
        <v>85</v>
      </c>
      <c r="D69" s="127">
        <v>809</v>
      </c>
      <c r="E69" s="127">
        <v>189.13</v>
      </c>
      <c r="F69" s="127" t="s">
        <v>83</v>
      </c>
      <c r="G69" s="127" t="s">
        <v>75</v>
      </c>
      <c r="H69" s="128">
        <v>56009</v>
      </c>
      <c r="I69" s="128">
        <v>44987</v>
      </c>
      <c r="J69" s="127">
        <f>IF(F69="商业",[1]项目基本情况!D$15,[1]项目基本情况!E$15)</f>
        <v>30.19</v>
      </c>
      <c r="K69" s="127"/>
      <c r="L69" s="127">
        <v>189.13</v>
      </c>
      <c r="M69" s="127">
        <v>7</v>
      </c>
      <c r="N69" s="127" t="s">
        <v>11</v>
      </c>
      <c r="O69" s="127">
        <v>2008</v>
      </c>
      <c r="P69" s="129">
        <f t="shared" si="0"/>
        <v>35.35</v>
      </c>
      <c r="Q69" s="129">
        <f>ROUND(P69*'[1]数据-取费表'!B$52,0)</f>
        <v>1061</v>
      </c>
      <c r="R69" s="129">
        <f t="shared" si="38"/>
        <v>2143140</v>
      </c>
      <c r="S69" s="130">
        <f t="shared" si="22"/>
        <v>32147</v>
      </c>
      <c r="T69" s="131">
        <v>0.8</v>
      </c>
      <c r="U69" s="129">
        <f t="shared" si="39"/>
        <v>1714512</v>
      </c>
      <c r="V69" s="130">
        <f t="shared" si="2"/>
        <v>1715</v>
      </c>
      <c r="W69" s="130">
        <f t="shared" si="23"/>
        <v>2682</v>
      </c>
      <c r="X69" s="129">
        <f>ROUND(AC69*'[1]数据-取费表'!$B$41/(1+'[1]数据-取费表'!$C$42),0)</f>
        <v>28497</v>
      </c>
      <c r="Y69" s="129">
        <f>ROUND(AC69*'[1]数据-取费表'!$B$51/(1+'[1]数据-取费表'!$C$42),0)</f>
        <v>61064</v>
      </c>
      <c r="Z69" s="129">
        <f t="shared" si="3"/>
        <v>90622</v>
      </c>
      <c r="AA69" s="130">
        <f t="shared" si="4"/>
        <v>127166</v>
      </c>
      <c r="AB69" s="132">
        <f t="shared" si="24"/>
        <v>8.6</v>
      </c>
      <c r="AC69" s="129">
        <f t="shared" si="50"/>
        <v>534311</v>
      </c>
      <c r="AD69" s="129">
        <f t="shared" si="25"/>
        <v>2004</v>
      </c>
      <c r="AE69" s="129">
        <f t="shared" si="26"/>
        <v>536315</v>
      </c>
      <c r="AF69" s="133">
        <f t="shared" si="51"/>
        <v>0.03</v>
      </c>
      <c r="AG69" s="134"/>
      <c r="AH69" s="128">
        <f t="shared" si="52"/>
        <v>56009</v>
      </c>
      <c r="AI69" s="127">
        <f t="shared" si="43"/>
        <v>30.19</v>
      </c>
      <c r="AJ69" s="130">
        <f t="shared" si="6"/>
        <v>409149</v>
      </c>
      <c r="AK69" s="135">
        <f t="shared" si="7"/>
        <v>8431716</v>
      </c>
      <c r="AL69" s="131">
        <f t="shared" si="8"/>
        <v>0.25</v>
      </c>
      <c r="AM69" s="129">
        <f t="shared" si="9"/>
        <v>0</v>
      </c>
      <c r="AN69" s="130">
        <f t="shared" si="10"/>
        <v>0</v>
      </c>
      <c r="AO69" s="130">
        <f t="shared" si="11"/>
        <v>0</v>
      </c>
      <c r="AP69" s="129">
        <f>ROUND(AV69*'[1]数据-取费表'!$B$41/(1+'[1]数据-取费表'!$B$42),0)</f>
        <v>0</v>
      </c>
      <c r="AQ69" s="129">
        <f>ROUND(AV69*'[1]数据-取费表'!B$51/(1+'[1]数据-取费表'!C$42),0)</f>
        <v>0</v>
      </c>
      <c r="AR69" s="136">
        <f t="shared" si="12"/>
        <v>0</v>
      </c>
      <c r="AS69" s="130">
        <f t="shared" si="27"/>
        <v>0</v>
      </c>
      <c r="AT69" s="137">
        <f t="shared" si="47"/>
        <v>8.6</v>
      </c>
      <c r="AU69" s="138">
        <f t="shared" si="28"/>
        <v>20.99</v>
      </c>
      <c r="AV69" s="129">
        <f t="shared" si="29"/>
        <v>0</v>
      </c>
      <c r="AW69" s="129">
        <f t="shared" si="30"/>
        <v>0</v>
      </c>
      <c r="AX69" s="129">
        <f t="shared" si="13"/>
        <v>0</v>
      </c>
      <c r="AY69" s="127">
        <f t="shared" si="44"/>
        <v>0</v>
      </c>
      <c r="AZ69" s="139">
        <f t="shared" si="45"/>
        <v>0</v>
      </c>
      <c r="BA69" s="139">
        <f t="shared" si="31"/>
        <v>0</v>
      </c>
      <c r="BB69" s="140">
        <f t="shared" si="16"/>
        <v>0</v>
      </c>
      <c r="BC69" s="140">
        <f t="shared" si="46"/>
        <v>128041</v>
      </c>
      <c r="BD69" s="140">
        <f t="shared" si="33"/>
        <v>855.98</v>
      </c>
      <c r="BE69" s="139">
        <f t="shared" si="34"/>
        <v>0</v>
      </c>
      <c r="BF69" s="139">
        <f t="shared" si="35"/>
        <v>0</v>
      </c>
      <c r="BG69" s="139">
        <f t="shared" si="17"/>
        <v>0</v>
      </c>
      <c r="BH69" s="139">
        <f t="shared" si="18"/>
        <v>0</v>
      </c>
      <c r="BI69" s="139">
        <f>ROUND(BE69*'[1]数据-取费表'!$B$51/(1+'[1]数据-取费表'!$C$42),0)</f>
        <v>0</v>
      </c>
      <c r="BJ69" s="139">
        <f>ROUND(BG69*'[1]数据-取费表'!B$41/(1+'[1]数据-取费表'!C$42),0)</f>
        <v>0</v>
      </c>
      <c r="BK69" s="139">
        <f t="shared" si="19"/>
        <v>0</v>
      </c>
      <c r="BL69" s="139">
        <f t="shared" si="20"/>
        <v>0</v>
      </c>
      <c r="BM69" s="139">
        <f t="shared" si="36"/>
        <v>0</v>
      </c>
      <c r="BN69" s="165">
        <f t="shared" si="21"/>
        <v>0</v>
      </c>
      <c r="BO69" s="140">
        <f t="shared" si="53"/>
        <v>1189.064065649955</v>
      </c>
      <c r="BP69" s="194"/>
      <c r="BQ69" s="194"/>
      <c r="BR69" s="194"/>
    </row>
    <row r="70" spans="1:85" x14ac:dyDescent="0.2">
      <c r="A70" s="146">
        <v>53</v>
      </c>
      <c r="B70" s="125" t="s">
        <v>82</v>
      </c>
      <c r="C70" s="126" t="s">
        <v>85</v>
      </c>
      <c r="D70" s="127">
        <v>810</v>
      </c>
      <c r="E70" s="127">
        <v>203.74</v>
      </c>
      <c r="F70" s="127" t="s">
        <v>83</v>
      </c>
      <c r="G70" s="127" t="s">
        <v>75</v>
      </c>
      <c r="H70" s="128">
        <v>56009</v>
      </c>
      <c r="I70" s="128">
        <v>44987</v>
      </c>
      <c r="J70" s="127">
        <f>IF(F70="商业",[1]项目基本情况!D$15,[1]项目基本情况!E$15)</f>
        <v>30.19</v>
      </c>
      <c r="K70" s="127"/>
      <c r="L70" s="127">
        <v>203.74</v>
      </c>
      <c r="M70" s="127">
        <v>7</v>
      </c>
      <c r="N70" s="127" t="s">
        <v>11</v>
      </c>
      <c r="O70" s="127">
        <v>2008</v>
      </c>
      <c r="P70" s="129">
        <f t="shared" ref="P70:P133" si="54">ROUND(L70/A$2,2)</f>
        <v>38.08</v>
      </c>
      <c r="Q70" s="129">
        <f>ROUND(P70*'[1]数据-取费表'!B$52,0)</f>
        <v>1142</v>
      </c>
      <c r="R70" s="129">
        <f t="shared" si="38"/>
        <v>2308694</v>
      </c>
      <c r="S70" s="130">
        <f t="shared" si="22"/>
        <v>34630</v>
      </c>
      <c r="T70" s="131">
        <v>0.8</v>
      </c>
      <c r="U70" s="129">
        <f t="shared" si="39"/>
        <v>1846955</v>
      </c>
      <c r="V70" s="130">
        <f t="shared" ref="V70:V133" si="55">ROUND(U70*D$2,0)</f>
        <v>1847</v>
      </c>
      <c r="W70" s="130">
        <f t="shared" si="23"/>
        <v>2889</v>
      </c>
      <c r="X70" s="129">
        <f>ROUND(AC70*'[1]数据-取费表'!$B$41/(1+'[1]数据-取费表'!$C$42),0)</f>
        <v>30698</v>
      </c>
      <c r="Y70" s="129">
        <f>ROUND(AC70*'[1]数据-取费表'!$B$51/(1+'[1]数据-取费表'!$C$42),0)</f>
        <v>65781</v>
      </c>
      <c r="Z70" s="129">
        <f t="shared" ref="Z70:Z133" si="56">ROUND(X70+Y70+Q70,0)</f>
        <v>97621</v>
      </c>
      <c r="AA70" s="130">
        <f t="shared" ref="AA70:AA133" si="57">ROUND(Z70+S70+V70+W70,0)</f>
        <v>136987</v>
      </c>
      <c r="AB70" s="132">
        <f t="shared" si="24"/>
        <v>8.6</v>
      </c>
      <c r="AC70" s="129">
        <f t="shared" si="50"/>
        <v>575586</v>
      </c>
      <c r="AD70" s="129">
        <f t="shared" si="25"/>
        <v>2158</v>
      </c>
      <c r="AE70" s="129">
        <f t="shared" si="26"/>
        <v>577744</v>
      </c>
      <c r="AF70" s="133">
        <f t="shared" si="51"/>
        <v>0.03</v>
      </c>
      <c r="AG70" s="134"/>
      <c r="AH70" s="128">
        <f t="shared" si="52"/>
        <v>56009</v>
      </c>
      <c r="AI70" s="127">
        <f t="shared" si="43"/>
        <v>30.19</v>
      </c>
      <c r="AJ70" s="130">
        <f t="shared" ref="AJ70:AJ133" si="58">ROUND(AE70-AA70,0)</f>
        <v>440757</v>
      </c>
      <c r="AK70" s="135">
        <f t="shared" ref="AK70:AK133" si="59">ROUND(AJ70*(1-((1+AF70)/(1+J$2))^AI70)/(J$2-AF70),0)</f>
        <v>9083092</v>
      </c>
      <c r="AL70" s="131">
        <f t="shared" ref="AL70:AL133" si="60">ROUND(1-(YEAR(AH70)-O70)/60,2)</f>
        <v>0.25</v>
      </c>
      <c r="AM70" s="129">
        <f t="shared" ref="AM70:AM133" si="61">ROUND(IF(AY70=0,0,R70*AL70),0)</f>
        <v>0</v>
      </c>
      <c r="AN70" s="130">
        <f t="shared" ref="AN70:AN133" si="62">ROUND(AM70*D$2,0)</f>
        <v>0</v>
      </c>
      <c r="AO70" s="130">
        <f t="shared" ref="AO70:AO133" si="63">ROUND(AX70*E$2,0)</f>
        <v>0</v>
      </c>
      <c r="AP70" s="129">
        <f>ROUND(AV70*'[1]数据-取费表'!$B$41/(1+'[1]数据-取费表'!$B$42),0)</f>
        <v>0</v>
      </c>
      <c r="AQ70" s="129">
        <f>ROUND(AV70*'[1]数据-取费表'!B$51/(1+'[1]数据-取费表'!C$42),0)</f>
        <v>0</v>
      </c>
      <c r="AR70" s="136">
        <f t="shared" ref="AR70:AR133" si="64">IF(AY70=0,0,ROUND(AP70+AQ70+Q70,0))</f>
        <v>0</v>
      </c>
      <c r="AS70" s="130">
        <f t="shared" si="27"/>
        <v>0</v>
      </c>
      <c r="AT70" s="137">
        <f t="shared" si="47"/>
        <v>8.6</v>
      </c>
      <c r="AU70" s="138">
        <f t="shared" si="28"/>
        <v>20.99</v>
      </c>
      <c r="AV70" s="129">
        <f t="shared" si="29"/>
        <v>0</v>
      </c>
      <c r="AW70" s="129">
        <f t="shared" si="30"/>
        <v>0</v>
      </c>
      <c r="AX70" s="129">
        <f t="shared" ref="AX70:AX133" si="65">AV70+AW70</f>
        <v>0</v>
      </c>
      <c r="AY70" s="127">
        <f t="shared" si="44"/>
        <v>0</v>
      </c>
      <c r="AZ70" s="139">
        <f t="shared" si="45"/>
        <v>0</v>
      </c>
      <c r="BA70" s="139">
        <f t="shared" si="31"/>
        <v>0</v>
      </c>
      <c r="BB70" s="140">
        <f t="shared" ref="BB70:BB133" si="66">ROUND(BA70/(1+J$2)^AI70,0)</f>
        <v>0</v>
      </c>
      <c r="BC70" s="140">
        <f t="shared" si="46"/>
        <v>137932</v>
      </c>
      <c r="BD70" s="140">
        <f t="shared" si="33"/>
        <v>922.1</v>
      </c>
      <c r="BE70" s="139">
        <f t="shared" si="34"/>
        <v>0</v>
      </c>
      <c r="BF70" s="139">
        <f t="shared" si="35"/>
        <v>0</v>
      </c>
      <c r="BG70" s="139">
        <f t="shared" ref="BG70:BG133" si="67">ROUND(BE70+BF70,0)</f>
        <v>0</v>
      </c>
      <c r="BH70" s="139">
        <f t="shared" ref="BH70:BH133" si="68">ROUND(BG70*E$2,0)</f>
        <v>0</v>
      </c>
      <c r="BI70" s="139">
        <f>ROUND(BE70*'[1]数据-取费表'!$B$51/(1+'[1]数据-取费表'!$C$42),0)</f>
        <v>0</v>
      </c>
      <c r="BJ70" s="139">
        <f>ROUND(BG70*'[1]数据-取费表'!B$41/(1+'[1]数据-取费表'!C$42),0)</f>
        <v>0</v>
      </c>
      <c r="BK70" s="139">
        <f t="shared" ref="BK70:BK133" si="69">IF(AY70=0,0,ROUND(BJ70+BI70+BH70+Q70+S70+V70,0))</f>
        <v>0</v>
      </c>
      <c r="BL70" s="139">
        <f t="shared" ref="BL70:BL133" si="70">BG70-BK70</f>
        <v>0</v>
      </c>
      <c r="BM70" s="139">
        <f t="shared" si="36"/>
        <v>0</v>
      </c>
      <c r="BN70" s="165">
        <f t="shared" ref="BN70:BN133" si="71">IF(AY70=0,0,ROUND(BM70-AK70,0))</f>
        <v>0</v>
      </c>
      <c r="BO70" s="140">
        <f t="shared" si="53"/>
        <v>1280.9130761651247</v>
      </c>
      <c r="BP70" s="194"/>
      <c r="BQ70" s="194"/>
      <c r="BR70" s="194"/>
    </row>
    <row r="71" spans="1:85" x14ac:dyDescent="0.2">
      <c r="A71" s="146">
        <v>54</v>
      </c>
      <c r="B71" s="125" t="s">
        <v>82</v>
      </c>
      <c r="C71" s="126" t="s">
        <v>85</v>
      </c>
      <c r="D71" s="127">
        <v>811</v>
      </c>
      <c r="E71" s="127">
        <v>210.67</v>
      </c>
      <c r="F71" s="127" t="s">
        <v>83</v>
      </c>
      <c r="G71" s="127" t="s">
        <v>75</v>
      </c>
      <c r="H71" s="128">
        <v>56009</v>
      </c>
      <c r="I71" s="128">
        <v>44987</v>
      </c>
      <c r="J71" s="127">
        <f>IF(F71="商业",[1]项目基本情况!D$15,[1]项目基本情况!E$15)</f>
        <v>30.19</v>
      </c>
      <c r="K71" s="127"/>
      <c r="L71" s="127">
        <v>210.67</v>
      </c>
      <c r="M71" s="127">
        <v>7</v>
      </c>
      <c r="N71" s="127" t="s">
        <v>11</v>
      </c>
      <c r="O71" s="127">
        <v>2008</v>
      </c>
      <c r="P71" s="129">
        <f t="shared" si="54"/>
        <v>39.380000000000003</v>
      </c>
      <c r="Q71" s="129">
        <f>ROUND(P71*'[1]数据-取费表'!B$52,0)</f>
        <v>1181</v>
      </c>
      <c r="R71" s="129">
        <f t="shared" si="38"/>
        <v>2387222</v>
      </c>
      <c r="S71" s="130">
        <f t="shared" ref="S71:S134" si="72">ROUND(R71*C$2,0)</f>
        <v>35808</v>
      </c>
      <c r="T71" s="131">
        <v>0.8</v>
      </c>
      <c r="U71" s="129">
        <f t="shared" si="39"/>
        <v>1909778</v>
      </c>
      <c r="V71" s="130">
        <f t="shared" si="55"/>
        <v>1910</v>
      </c>
      <c r="W71" s="130">
        <f t="shared" ref="W71:W134" si="73">ROUND(AE71*E$2,0)</f>
        <v>2987</v>
      </c>
      <c r="X71" s="129">
        <f>ROUND(AC71*'[1]数据-取费表'!$B$41/(1+'[1]数据-取费表'!$C$42),0)</f>
        <v>31742</v>
      </c>
      <c r="Y71" s="129">
        <f>ROUND(AC71*'[1]数据-取费表'!$B$51/(1+'[1]数据-取费表'!$C$42),0)</f>
        <v>68019</v>
      </c>
      <c r="Z71" s="129">
        <f t="shared" si="56"/>
        <v>100942</v>
      </c>
      <c r="AA71" s="130">
        <f t="shared" si="57"/>
        <v>141647</v>
      </c>
      <c r="AB71" s="132">
        <f t="shared" ref="AB71:AB131" si="74">IF(N71="低区",K$2,IF(N71="中区",L$2,M$2))</f>
        <v>8.6</v>
      </c>
      <c r="AC71" s="129">
        <f t="shared" si="50"/>
        <v>595164</v>
      </c>
      <c r="AD71" s="129">
        <f t="shared" ref="AD71:AD134" si="75">ROUND(IF(F$2="押一",AC71/12*G$2,IF(F$2="押二",AC71/12*2*G$2,IF(F$2="押三",AC71/12*3*G$2,0*G$2))),0)</f>
        <v>2232</v>
      </c>
      <c r="AE71" s="129">
        <f t="shared" ref="AE71:AE134" si="76">ROUND(AC71+AD71,0)</f>
        <v>597396</v>
      </c>
      <c r="AF71" s="133">
        <f t="shared" si="51"/>
        <v>0.03</v>
      </c>
      <c r="AG71" s="134"/>
      <c r="AH71" s="128">
        <f t="shared" si="52"/>
        <v>56009</v>
      </c>
      <c r="AI71" s="127">
        <f t="shared" si="43"/>
        <v>30.19</v>
      </c>
      <c r="AJ71" s="130">
        <f t="shared" si="58"/>
        <v>455749</v>
      </c>
      <c r="AK71" s="135">
        <f t="shared" si="59"/>
        <v>9392046</v>
      </c>
      <c r="AL71" s="131">
        <f t="shared" si="60"/>
        <v>0.25</v>
      </c>
      <c r="AM71" s="129">
        <f t="shared" si="61"/>
        <v>0</v>
      </c>
      <c r="AN71" s="130">
        <f t="shared" si="62"/>
        <v>0</v>
      </c>
      <c r="AO71" s="130">
        <f t="shared" si="63"/>
        <v>0</v>
      </c>
      <c r="AP71" s="129">
        <f>ROUND(AV71*'[1]数据-取费表'!$B$41/(1+'[1]数据-取费表'!$B$42),0)</f>
        <v>0</v>
      </c>
      <c r="AQ71" s="129">
        <f>ROUND(AV71*'[1]数据-取费表'!B$51/(1+'[1]数据-取费表'!C$42),0)</f>
        <v>0</v>
      </c>
      <c r="AR71" s="136">
        <f t="shared" si="64"/>
        <v>0</v>
      </c>
      <c r="AS71" s="130">
        <f t="shared" ref="AS71:AS134" si="77">IF(AY71=0,0,ROUND(AR71+S71+AN71+AO71,0))</f>
        <v>0</v>
      </c>
      <c r="AT71" s="137">
        <f t="shared" si="47"/>
        <v>8.6</v>
      </c>
      <c r="AU71" s="138">
        <f t="shared" ref="AU71:AU134" si="78">ROUND(AT71*(1+H$2)^AI71,2)</f>
        <v>20.99</v>
      </c>
      <c r="AV71" s="129">
        <f t="shared" ref="AV71:AV134" si="79">ROUND(IF(AY71=0,0,AU71*365*L71*(1-I$2)),0)</f>
        <v>0</v>
      </c>
      <c r="AW71" s="129">
        <f t="shared" ref="AW71:AW134" si="80">ROUND(IF(F$2="押一",AV71/12*G$2,IF(F$2="押二",AV71/12*2*G$2,IF(F$2="押三",AV71/12*3*G$2,0*G$2))),0)</f>
        <v>0</v>
      </c>
      <c r="AX71" s="129">
        <f t="shared" si="65"/>
        <v>0</v>
      </c>
      <c r="AY71" s="127">
        <f t="shared" si="44"/>
        <v>0</v>
      </c>
      <c r="AZ71" s="139">
        <f t="shared" si="45"/>
        <v>0</v>
      </c>
      <c r="BA71" s="139">
        <f t="shared" ref="BA71:BA134" si="81">ROUND(AZ71*(1-((1+H$2)/(1+J$2))^AY71)/(J$2-H$2),0)</f>
        <v>0</v>
      </c>
      <c r="BB71" s="140">
        <f t="shared" si="66"/>
        <v>0</v>
      </c>
      <c r="BC71" s="140">
        <f t="shared" si="46"/>
        <v>142624</v>
      </c>
      <c r="BD71" s="140">
        <f t="shared" ref="BD71:BD134" si="82">ROUND((AK71+BB71+BC71)/10000,2)</f>
        <v>953.47</v>
      </c>
      <c r="BE71" s="139">
        <f t="shared" ref="BE71:BE134" si="83">IF(AY71=0,0,ROUND(AT71*365*L71*(1-I$2),0))</f>
        <v>0</v>
      </c>
      <c r="BF71" s="139">
        <f t="shared" ref="BF71:BF134" si="84">ROUND(IF(F$2="押一",BE71/12*G$2,IF(F$2="押二",BE71/12*2*G$2,IF(F$2="押三",BE71/12*3*G$2,0*G$2))),0)</f>
        <v>0</v>
      </c>
      <c r="BG71" s="139">
        <f t="shared" si="67"/>
        <v>0</v>
      </c>
      <c r="BH71" s="139">
        <f t="shared" si="68"/>
        <v>0</v>
      </c>
      <c r="BI71" s="139">
        <f>ROUND(BE71*'[1]数据-取费表'!$B$51/(1+'[1]数据-取费表'!$C$42),0)</f>
        <v>0</v>
      </c>
      <c r="BJ71" s="139">
        <f>ROUND(BG71*'[1]数据-取费表'!B$41/(1+'[1]数据-取费表'!C$42),0)</f>
        <v>0</v>
      </c>
      <c r="BK71" s="139">
        <f t="shared" si="69"/>
        <v>0</v>
      </c>
      <c r="BL71" s="139">
        <f t="shared" si="70"/>
        <v>0</v>
      </c>
      <c r="BM71" s="139">
        <f t="shared" ref="BM71:BM134" si="85">ROUND(BL71*(1-((1+H$2)/(1+J$2))^AI71)/(J$2-H$2),0)</f>
        <v>0</v>
      </c>
      <c r="BN71" s="165">
        <f t="shared" si="71"/>
        <v>0</v>
      </c>
      <c r="BO71" s="140">
        <f t="shared" si="53"/>
        <v>1324.489958498169</v>
      </c>
      <c r="BP71" s="194"/>
      <c r="BQ71" s="194"/>
      <c r="BR71" s="194"/>
    </row>
    <row r="72" spans="1:85" x14ac:dyDescent="0.2">
      <c r="A72" s="146">
        <v>55</v>
      </c>
      <c r="B72" s="141" t="s">
        <v>82</v>
      </c>
      <c r="C72" s="142" t="s">
        <v>85</v>
      </c>
      <c r="D72" s="143">
        <v>901</v>
      </c>
      <c r="E72" s="143">
        <v>134.94</v>
      </c>
      <c r="F72" s="143" t="s">
        <v>83</v>
      </c>
      <c r="G72" s="143" t="s">
        <v>75</v>
      </c>
      <c r="H72" s="144">
        <v>56009</v>
      </c>
      <c r="I72" s="144">
        <v>44987</v>
      </c>
      <c r="J72" s="143">
        <f>IF(F72="商业",[1]项目基本情况!D$15,[1]项目基本情况!E$15)</f>
        <v>30.19</v>
      </c>
      <c r="K72" s="143"/>
      <c r="L72" s="143">
        <v>134.94</v>
      </c>
      <c r="M72" s="143">
        <v>8</v>
      </c>
      <c r="N72" s="143" t="s">
        <v>11</v>
      </c>
      <c r="O72" s="143">
        <v>2008</v>
      </c>
      <c r="P72" s="172">
        <f t="shared" si="54"/>
        <v>25.22</v>
      </c>
      <c r="Q72" s="172">
        <f>ROUND(P72*'[1]数据-取费表'!B$52,0)</f>
        <v>757</v>
      </c>
      <c r="R72" s="172">
        <f t="shared" si="38"/>
        <v>1529082</v>
      </c>
      <c r="S72" s="173">
        <f t="shared" si="72"/>
        <v>22936</v>
      </c>
      <c r="T72" s="174">
        <v>0.8</v>
      </c>
      <c r="U72" s="172">
        <f t="shared" si="39"/>
        <v>1223266</v>
      </c>
      <c r="V72" s="173">
        <f t="shared" si="55"/>
        <v>1223</v>
      </c>
      <c r="W72" s="173">
        <f t="shared" si="73"/>
        <v>1913</v>
      </c>
      <c r="X72" s="172">
        <f>ROUND(AC72*'[1]数据-取费表'!$B$41/(1+'[1]数据-取费表'!$C$42),0)</f>
        <v>20332</v>
      </c>
      <c r="Y72" s="172">
        <f>ROUND(AC72*'[1]数据-取费表'!$B$51/(1+'[1]数据-取费表'!$C$42),0)</f>
        <v>43568</v>
      </c>
      <c r="Z72" s="172">
        <f t="shared" si="56"/>
        <v>64657</v>
      </c>
      <c r="AA72" s="173">
        <f t="shared" si="57"/>
        <v>90729</v>
      </c>
      <c r="AB72" s="175">
        <f t="shared" si="74"/>
        <v>8.6</v>
      </c>
      <c r="AC72" s="172">
        <f t="shared" si="50"/>
        <v>381219</v>
      </c>
      <c r="AD72" s="172">
        <f t="shared" si="75"/>
        <v>1430</v>
      </c>
      <c r="AE72" s="172">
        <f t="shared" si="76"/>
        <v>382649</v>
      </c>
      <c r="AF72" s="176">
        <f t="shared" si="51"/>
        <v>0.03</v>
      </c>
      <c r="AG72" s="177"/>
      <c r="AH72" s="144">
        <f t="shared" si="52"/>
        <v>56009</v>
      </c>
      <c r="AI72" s="143">
        <f t="shared" si="43"/>
        <v>30.19</v>
      </c>
      <c r="AJ72" s="173">
        <f t="shared" si="58"/>
        <v>291920</v>
      </c>
      <c r="AK72" s="178">
        <f t="shared" si="59"/>
        <v>6015869</v>
      </c>
      <c r="AL72" s="174">
        <f t="shared" si="60"/>
        <v>0.25</v>
      </c>
      <c r="AM72" s="172">
        <f t="shared" si="61"/>
        <v>0</v>
      </c>
      <c r="AN72" s="173">
        <f t="shared" si="62"/>
        <v>0</v>
      </c>
      <c r="AO72" s="173">
        <f t="shared" si="63"/>
        <v>0</v>
      </c>
      <c r="AP72" s="172">
        <f>ROUND(AV72*'[1]数据-取费表'!$B$41/(1+'[1]数据-取费表'!$B$42),0)</f>
        <v>0</v>
      </c>
      <c r="AQ72" s="172">
        <f>ROUND(AV72*'[1]数据-取费表'!B$51/(1+'[1]数据-取费表'!C$42),0)</f>
        <v>0</v>
      </c>
      <c r="AR72" s="179">
        <f t="shared" si="64"/>
        <v>0</v>
      </c>
      <c r="AS72" s="173">
        <f t="shared" si="77"/>
        <v>0</v>
      </c>
      <c r="AT72" s="180">
        <f t="shared" si="47"/>
        <v>8.6</v>
      </c>
      <c r="AU72" s="181">
        <f t="shared" si="78"/>
        <v>20.99</v>
      </c>
      <c r="AV72" s="172">
        <f t="shared" si="79"/>
        <v>0</v>
      </c>
      <c r="AW72" s="172">
        <f t="shared" si="80"/>
        <v>0</v>
      </c>
      <c r="AX72" s="172">
        <f t="shared" si="65"/>
        <v>0</v>
      </c>
      <c r="AY72" s="143">
        <f t="shared" si="44"/>
        <v>0</v>
      </c>
      <c r="AZ72" s="182">
        <f t="shared" si="45"/>
        <v>0</v>
      </c>
      <c r="BA72" s="182">
        <f t="shared" si="81"/>
        <v>0</v>
      </c>
      <c r="BB72" s="183">
        <f t="shared" si="66"/>
        <v>0</v>
      </c>
      <c r="BC72" s="183">
        <f t="shared" si="46"/>
        <v>91354</v>
      </c>
      <c r="BD72" s="183">
        <f t="shared" si="82"/>
        <v>610.72</v>
      </c>
      <c r="BE72" s="182">
        <f t="shared" si="83"/>
        <v>0</v>
      </c>
      <c r="BF72" s="182">
        <f t="shared" si="84"/>
        <v>0</v>
      </c>
      <c r="BG72" s="182">
        <f t="shared" si="67"/>
        <v>0</v>
      </c>
      <c r="BH72" s="182">
        <f t="shared" si="68"/>
        <v>0</v>
      </c>
      <c r="BI72" s="182">
        <f>ROUND(BE72*'[1]数据-取费表'!$B$51/(1+'[1]数据-取费表'!$C$42),0)</f>
        <v>0</v>
      </c>
      <c r="BJ72" s="182">
        <f>ROUND(BG72*'[1]数据-取费表'!B$41/(1+'[1]数据-取费表'!C$42),0)</f>
        <v>0</v>
      </c>
      <c r="BK72" s="182">
        <f t="shared" si="69"/>
        <v>0</v>
      </c>
      <c r="BL72" s="182">
        <f t="shared" si="70"/>
        <v>0</v>
      </c>
      <c r="BM72" s="182">
        <f t="shared" si="85"/>
        <v>0</v>
      </c>
      <c r="BN72" s="184">
        <f t="shared" si="71"/>
        <v>0</v>
      </c>
      <c r="BO72" s="183">
        <f t="shared" si="53"/>
        <v>848.36702513346165</v>
      </c>
      <c r="BP72" s="195">
        <f>SUM(BO72:BO82)</f>
        <v>10767.351706516463</v>
      </c>
      <c r="BQ72" s="195">
        <f>ROUND(BP72*10000/BS72,0)</f>
        <v>62440</v>
      </c>
      <c r="BR72" s="195"/>
      <c r="BS72" s="20">
        <f>SUM(E72:E82)</f>
        <v>1724.44</v>
      </c>
    </row>
    <row r="73" spans="1:85" x14ac:dyDescent="0.2">
      <c r="A73" s="146">
        <v>56</v>
      </c>
      <c r="B73" s="141" t="s">
        <v>82</v>
      </c>
      <c r="C73" s="142" t="s">
        <v>85</v>
      </c>
      <c r="D73" s="143">
        <v>902</v>
      </c>
      <c r="E73" s="143">
        <v>216.1</v>
      </c>
      <c r="F73" s="143" t="s">
        <v>83</v>
      </c>
      <c r="G73" s="143" t="s">
        <v>75</v>
      </c>
      <c r="H73" s="144">
        <v>56009</v>
      </c>
      <c r="I73" s="144">
        <v>44987</v>
      </c>
      <c r="J73" s="143">
        <f>IF(F73="商业",[1]项目基本情况!D$15,[1]项目基本情况!E$15)</f>
        <v>30.19</v>
      </c>
      <c r="K73" s="143"/>
      <c r="L73" s="143">
        <v>216.1</v>
      </c>
      <c r="M73" s="143">
        <v>8</v>
      </c>
      <c r="N73" s="143" t="s">
        <v>11</v>
      </c>
      <c r="O73" s="143">
        <v>2008</v>
      </c>
      <c r="P73" s="172">
        <f t="shared" si="54"/>
        <v>40.39</v>
      </c>
      <c r="Q73" s="172">
        <f>ROUND(P73*'[1]数据-取费表'!B$52,0)</f>
        <v>1212</v>
      </c>
      <c r="R73" s="172">
        <f t="shared" ref="R73:R136" si="86">ROUND(L73*B$2,0)</f>
        <v>2448752</v>
      </c>
      <c r="S73" s="173">
        <f t="shared" si="72"/>
        <v>36731</v>
      </c>
      <c r="T73" s="174">
        <v>0.8</v>
      </c>
      <c r="U73" s="172">
        <f t="shared" ref="U73:U136" si="87">ROUND(R73*T73,0)</f>
        <v>1959002</v>
      </c>
      <c r="V73" s="173">
        <f t="shared" si="55"/>
        <v>1959</v>
      </c>
      <c r="W73" s="173">
        <f t="shared" si="73"/>
        <v>3064</v>
      </c>
      <c r="X73" s="172">
        <f>ROUND(AC73*'[1]数据-取费表'!$B$41/(1+'[1]数据-取费表'!$C$42),0)</f>
        <v>32560</v>
      </c>
      <c r="Y73" s="172">
        <f>ROUND(AC73*'[1]数据-取费表'!$B$51/(1+'[1]数据-取费表'!$C$42),0)</f>
        <v>69772</v>
      </c>
      <c r="Z73" s="172">
        <f t="shared" si="56"/>
        <v>103544</v>
      </c>
      <c r="AA73" s="173">
        <f t="shared" si="57"/>
        <v>145298</v>
      </c>
      <c r="AB73" s="175">
        <f t="shared" si="74"/>
        <v>8.6</v>
      </c>
      <c r="AC73" s="172">
        <f t="shared" si="50"/>
        <v>610504</v>
      </c>
      <c r="AD73" s="172">
        <f t="shared" si="75"/>
        <v>2289</v>
      </c>
      <c r="AE73" s="172">
        <f t="shared" si="76"/>
        <v>612793</v>
      </c>
      <c r="AF73" s="176">
        <f t="shared" si="51"/>
        <v>0.03</v>
      </c>
      <c r="AG73" s="177"/>
      <c r="AH73" s="144">
        <f t="shared" si="52"/>
        <v>56009</v>
      </c>
      <c r="AI73" s="143">
        <f t="shared" ref="AI73:AI136" si="88">ROUNDDOWN((AH73-I73)/365,2)</f>
        <v>30.19</v>
      </c>
      <c r="AJ73" s="173">
        <f t="shared" si="58"/>
        <v>467495</v>
      </c>
      <c r="AK73" s="178">
        <f t="shared" si="59"/>
        <v>9634107</v>
      </c>
      <c r="AL73" s="174">
        <f t="shared" si="60"/>
        <v>0.25</v>
      </c>
      <c r="AM73" s="172">
        <f t="shared" si="61"/>
        <v>0</v>
      </c>
      <c r="AN73" s="173">
        <f t="shared" si="62"/>
        <v>0</v>
      </c>
      <c r="AO73" s="173">
        <f t="shared" si="63"/>
        <v>0</v>
      </c>
      <c r="AP73" s="172">
        <f>ROUND(AV73*'[1]数据-取费表'!$B$41/(1+'[1]数据-取费表'!$B$42),0)</f>
        <v>0</v>
      </c>
      <c r="AQ73" s="172">
        <f>ROUND(AV73*'[1]数据-取费表'!B$51/(1+'[1]数据-取费表'!C$42),0)</f>
        <v>0</v>
      </c>
      <c r="AR73" s="179">
        <f t="shared" si="64"/>
        <v>0</v>
      </c>
      <c r="AS73" s="173">
        <f t="shared" si="77"/>
        <v>0</v>
      </c>
      <c r="AT73" s="180">
        <f t="shared" si="47"/>
        <v>8.6</v>
      </c>
      <c r="AU73" s="181">
        <f t="shared" si="78"/>
        <v>20.99</v>
      </c>
      <c r="AV73" s="172">
        <f t="shared" si="79"/>
        <v>0</v>
      </c>
      <c r="AW73" s="172">
        <f t="shared" si="80"/>
        <v>0</v>
      </c>
      <c r="AX73" s="172">
        <f t="shared" si="65"/>
        <v>0</v>
      </c>
      <c r="AY73" s="143">
        <f t="shared" ref="AY73:AY136" si="89">J73-AI73</f>
        <v>0</v>
      </c>
      <c r="AZ73" s="182">
        <f t="shared" ref="AZ73:AZ136" si="90">AX73-AS73</f>
        <v>0</v>
      </c>
      <c r="BA73" s="182">
        <f t="shared" si="81"/>
        <v>0</v>
      </c>
      <c r="BB73" s="183">
        <f t="shared" si="66"/>
        <v>0</v>
      </c>
      <c r="BC73" s="183">
        <f t="shared" si="46"/>
        <v>146300</v>
      </c>
      <c r="BD73" s="183">
        <f t="shared" si="82"/>
        <v>978.04</v>
      </c>
      <c r="BE73" s="182">
        <f t="shared" si="83"/>
        <v>0</v>
      </c>
      <c r="BF73" s="182">
        <f t="shared" si="84"/>
        <v>0</v>
      </c>
      <c r="BG73" s="182">
        <f t="shared" si="67"/>
        <v>0</v>
      </c>
      <c r="BH73" s="182">
        <f t="shared" si="68"/>
        <v>0</v>
      </c>
      <c r="BI73" s="182">
        <f>ROUND(BE73*'[1]数据-取费表'!$B$51/(1+'[1]数据-取费表'!$C$42),0)</f>
        <v>0</v>
      </c>
      <c r="BJ73" s="182">
        <f>ROUND(BG73*'[1]数据-取费表'!B$41/(1+'[1]数据-取费表'!C$42),0)</f>
        <v>0</v>
      </c>
      <c r="BK73" s="182">
        <f t="shared" si="69"/>
        <v>0</v>
      </c>
      <c r="BL73" s="182">
        <f t="shared" si="70"/>
        <v>0</v>
      </c>
      <c r="BM73" s="182">
        <f t="shared" si="85"/>
        <v>0</v>
      </c>
      <c r="BN73" s="184">
        <f t="shared" si="71"/>
        <v>0</v>
      </c>
      <c r="BO73" s="183">
        <f t="shared" si="53"/>
        <v>1358.6207840934155</v>
      </c>
      <c r="BP73" s="195"/>
      <c r="BQ73" s="195"/>
      <c r="BR73" s="195"/>
    </row>
    <row r="74" spans="1:85" x14ac:dyDescent="0.2">
      <c r="A74" s="146">
        <v>57</v>
      </c>
      <c r="B74" s="141" t="s">
        <v>82</v>
      </c>
      <c r="C74" s="142" t="s">
        <v>85</v>
      </c>
      <c r="D74" s="143">
        <v>903</v>
      </c>
      <c r="E74" s="143">
        <v>129.54</v>
      </c>
      <c r="F74" s="143" t="s">
        <v>83</v>
      </c>
      <c r="G74" s="143" t="s">
        <v>75</v>
      </c>
      <c r="H74" s="144">
        <v>56009</v>
      </c>
      <c r="I74" s="144">
        <v>44987</v>
      </c>
      <c r="J74" s="143">
        <f>IF(F74="商业",[1]项目基本情况!D$15,[1]项目基本情况!E$15)</f>
        <v>30.19</v>
      </c>
      <c r="K74" s="143"/>
      <c r="L74" s="143">
        <v>129.54</v>
      </c>
      <c r="M74" s="143">
        <v>8</v>
      </c>
      <c r="N74" s="143" t="s">
        <v>11</v>
      </c>
      <c r="O74" s="143">
        <v>2008</v>
      </c>
      <c r="P74" s="172">
        <f t="shared" si="54"/>
        <v>24.21</v>
      </c>
      <c r="Q74" s="172">
        <f>ROUND(P74*'[1]数据-取费表'!B$52,0)</f>
        <v>726</v>
      </c>
      <c r="R74" s="172">
        <f t="shared" si="86"/>
        <v>1467892</v>
      </c>
      <c r="S74" s="173">
        <f t="shared" si="72"/>
        <v>22018</v>
      </c>
      <c r="T74" s="174">
        <v>0.8</v>
      </c>
      <c r="U74" s="172">
        <f t="shared" si="87"/>
        <v>1174314</v>
      </c>
      <c r="V74" s="173">
        <f t="shared" si="55"/>
        <v>1174</v>
      </c>
      <c r="W74" s="173">
        <f t="shared" si="73"/>
        <v>1837</v>
      </c>
      <c r="X74" s="172">
        <f>ROUND(AC74*'[1]数据-取费表'!$B$41/(1+'[1]数据-取费表'!$C$42),0)</f>
        <v>19518</v>
      </c>
      <c r="Y74" s="172">
        <f>ROUND(AC74*'[1]数据-取费表'!$B$51/(1+'[1]数据-取费表'!$C$42),0)</f>
        <v>41824</v>
      </c>
      <c r="Z74" s="172">
        <f t="shared" si="56"/>
        <v>62068</v>
      </c>
      <c r="AA74" s="173">
        <f t="shared" si="57"/>
        <v>87097</v>
      </c>
      <c r="AB74" s="175">
        <f t="shared" si="74"/>
        <v>8.6</v>
      </c>
      <c r="AC74" s="172">
        <f t="shared" si="50"/>
        <v>365963</v>
      </c>
      <c r="AD74" s="172">
        <f t="shared" si="75"/>
        <v>1372</v>
      </c>
      <c r="AE74" s="172">
        <f t="shared" si="76"/>
        <v>367335</v>
      </c>
      <c r="AF74" s="176">
        <f t="shared" si="51"/>
        <v>0.03</v>
      </c>
      <c r="AG74" s="177"/>
      <c r="AH74" s="144">
        <f t="shared" si="52"/>
        <v>56009</v>
      </c>
      <c r="AI74" s="143">
        <f t="shared" si="88"/>
        <v>30.19</v>
      </c>
      <c r="AJ74" s="173">
        <f t="shared" si="58"/>
        <v>280238</v>
      </c>
      <c r="AK74" s="178">
        <f t="shared" si="59"/>
        <v>5775127</v>
      </c>
      <c r="AL74" s="174">
        <f t="shared" si="60"/>
        <v>0.25</v>
      </c>
      <c r="AM74" s="172">
        <f t="shared" si="61"/>
        <v>0</v>
      </c>
      <c r="AN74" s="173">
        <f t="shared" si="62"/>
        <v>0</v>
      </c>
      <c r="AO74" s="173">
        <f t="shared" si="63"/>
        <v>0</v>
      </c>
      <c r="AP74" s="172">
        <f>ROUND(AV74*'[1]数据-取费表'!$B$41/(1+'[1]数据-取费表'!$B$42),0)</f>
        <v>0</v>
      </c>
      <c r="AQ74" s="172">
        <f>ROUND(AV74*'[1]数据-取费表'!B$51/(1+'[1]数据-取费表'!C$42),0)</f>
        <v>0</v>
      </c>
      <c r="AR74" s="179">
        <f t="shared" si="64"/>
        <v>0</v>
      </c>
      <c r="AS74" s="173">
        <f t="shared" si="77"/>
        <v>0</v>
      </c>
      <c r="AT74" s="180">
        <f t="shared" si="47"/>
        <v>8.6</v>
      </c>
      <c r="AU74" s="181">
        <f t="shared" si="78"/>
        <v>20.99</v>
      </c>
      <c r="AV74" s="172">
        <f t="shared" si="79"/>
        <v>0</v>
      </c>
      <c r="AW74" s="172">
        <f t="shared" si="80"/>
        <v>0</v>
      </c>
      <c r="AX74" s="172">
        <f t="shared" si="65"/>
        <v>0</v>
      </c>
      <c r="AY74" s="143">
        <f t="shared" si="89"/>
        <v>0</v>
      </c>
      <c r="AZ74" s="182">
        <f t="shared" si="90"/>
        <v>0</v>
      </c>
      <c r="BA74" s="182">
        <f t="shared" si="81"/>
        <v>0</v>
      </c>
      <c r="BB74" s="183">
        <f t="shared" si="66"/>
        <v>0</v>
      </c>
      <c r="BC74" s="183">
        <f t="shared" ref="BC74:BC137" si="91">ROUND(Q$2*L74,0)</f>
        <v>87699</v>
      </c>
      <c r="BD74" s="183">
        <f t="shared" si="82"/>
        <v>586.28</v>
      </c>
      <c r="BE74" s="182">
        <f t="shared" si="83"/>
        <v>0</v>
      </c>
      <c r="BF74" s="182">
        <f t="shared" si="84"/>
        <v>0</v>
      </c>
      <c r="BG74" s="182">
        <f t="shared" si="67"/>
        <v>0</v>
      </c>
      <c r="BH74" s="182">
        <f t="shared" si="68"/>
        <v>0</v>
      </c>
      <c r="BI74" s="182">
        <f>ROUND(BE74*'[1]数据-取费表'!$B$51/(1+'[1]数据-取费表'!$C$42),0)</f>
        <v>0</v>
      </c>
      <c r="BJ74" s="182">
        <f>ROUND(BG74*'[1]数据-取费表'!B$41/(1+'[1]数据-取费表'!C$42),0)</f>
        <v>0</v>
      </c>
      <c r="BK74" s="182">
        <f t="shared" si="69"/>
        <v>0</v>
      </c>
      <c r="BL74" s="182">
        <f t="shared" si="70"/>
        <v>0</v>
      </c>
      <c r="BM74" s="182">
        <f t="shared" si="85"/>
        <v>0</v>
      </c>
      <c r="BN74" s="184">
        <f t="shared" si="71"/>
        <v>0</v>
      </c>
      <c r="BO74" s="183">
        <f t="shared" si="53"/>
        <v>814.41678591702555</v>
      </c>
      <c r="BP74" s="195"/>
      <c r="BQ74" s="195"/>
      <c r="BR74" s="195"/>
    </row>
    <row r="75" spans="1:85" x14ac:dyDescent="0.2">
      <c r="A75" s="146">
        <v>58</v>
      </c>
      <c r="B75" s="141" t="s">
        <v>82</v>
      </c>
      <c r="C75" s="142" t="s">
        <v>85</v>
      </c>
      <c r="D75" s="143">
        <v>905</v>
      </c>
      <c r="E75" s="143">
        <v>196.75</v>
      </c>
      <c r="F75" s="143" t="s">
        <v>83</v>
      </c>
      <c r="G75" s="143" t="s">
        <v>75</v>
      </c>
      <c r="H75" s="144">
        <v>56009</v>
      </c>
      <c r="I75" s="144">
        <v>44987</v>
      </c>
      <c r="J75" s="143">
        <f>IF(F75="商业",[1]项目基本情况!D$15,[1]项目基本情况!E$15)</f>
        <v>30.19</v>
      </c>
      <c r="K75" s="143"/>
      <c r="L75" s="143">
        <v>196.75</v>
      </c>
      <c r="M75" s="143">
        <v>8</v>
      </c>
      <c r="N75" s="143" t="s">
        <v>11</v>
      </c>
      <c r="O75" s="143">
        <v>2008</v>
      </c>
      <c r="P75" s="172">
        <f t="shared" si="54"/>
        <v>36.78</v>
      </c>
      <c r="Q75" s="172">
        <f>ROUND(P75*'[1]数据-取费表'!B$52,0)</f>
        <v>1103</v>
      </c>
      <c r="R75" s="172">
        <f t="shared" si="86"/>
        <v>2229486</v>
      </c>
      <c r="S75" s="173">
        <f t="shared" si="72"/>
        <v>33442</v>
      </c>
      <c r="T75" s="174">
        <v>0.8</v>
      </c>
      <c r="U75" s="172">
        <f t="shared" si="87"/>
        <v>1783589</v>
      </c>
      <c r="V75" s="173">
        <f t="shared" si="55"/>
        <v>1784</v>
      </c>
      <c r="W75" s="173">
        <f t="shared" si="73"/>
        <v>2790</v>
      </c>
      <c r="X75" s="172">
        <f>ROUND(AC75*'[1]数据-取费表'!$B$41/(1+'[1]数据-取费表'!$C$42),0)</f>
        <v>29645</v>
      </c>
      <c r="Y75" s="172">
        <f>ROUND(AC75*'[1]数据-取费表'!$B$51/(1+'[1]数据-取费表'!$C$42),0)</f>
        <v>63524</v>
      </c>
      <c r="Z75" s="172">
        <f t="shared" si="56"/>
        <v>94272</v>
      </c>
      <c r="AA75" s="173">
        <f t="shared" si="57"/>
        <v>132288</v>
      </c>
      <c r="AB75" s="175">
        <f t="shared" si="74"/>
        <v>8.6</v>
      </c>
      <c r="AC75" s="172">
        <f t="shared" si="50"/>
        <v>555838</v>
      </c>
      <c r="AD75" s="172">
        <f t="shared" si="75"/>
        <v>2084</v>
      </c>
      <c r="AE75" s="172">
        <f t="shared" si="76"/>
        <v>557922</v>
      </c>
      <c r="AF75" s="176">
        <f t="shared" si="51"/>
        <v>0.03</v>
      </c>
      <c r="AG75" s="177"/>
      <c r="AH75" s="144">
        <f t="shared" si="52"/>
        <v>56009</v>
      </c>
      <c r="AI75" s="143">
        <f t="shared" si="88"/>
        <v>30.19</v>
      </c>
      <c r="AJ75" s="173">
        <f t="shared" si="58"/>
        <v>425634</v>
      </c>
      <c r="AK75" s="178">
        <f t="shared" si="59"/>
        <v>8771438</v>
      </c>
      <c r="AL75" s="174">
        <f t="shared" si="60"/>
        <v>0.25</v>
      </c>
      <c r="AM75" s="172">
        <f t="shared" si="61"/>
        <v>0</v>
      </c>
      <c r="AN75" s="173">
        <f t="shared" si="62"/>
        <v>0</v>
      </c>
      <c r="AO75" s="173">
        <f t="shared" si="63"/>
        <v>0</v>
      </c>
      <c r="AP75" s="172">
        <f>ROUND(AV75*'[1]数据-取费表'!$B$41/(1+'[1]数据-取费表'!$B$42),0)</f>
        <v>0</v>
      </c>
      <c r="AQ75" s="172">
        <f>ROUND(AV75*'[1]数据-取费表'!B$51/(1+'[1]数据-取费表'!C$42),0)</f>
        <v>0</v>
      </c>
      <c r="AR75" s="179">
        <f t="shared" si="64"/>
        <v>0</v>
      </c>
      <c r="AS75" s="173">
        <f t="shared" si="77"/>
        <v>0</v>
      </c>
      <c r="AT75" s="180">
        <f t="shared" ref="AT75:AT138" si="92">IF(N75="低区",K$2,IF(N75="中区",L$2,M$2))</f>
        <v>8.6</v>
      </c>
      <c r="AU75" s="181">
        <f t="shared" si="78"/>
        <v>20.99</v>
      </c>
      <c r="AV75" s="172">
        <f t="shared" si="79"/>
        <v>0</v>
      </c>
      <c r="AW75" s="172">
        <f t="shared" si="80"/>
        <v>0</v>
      </c>
      <c r="AX75" s="172">
        <f t="shared" si="65"/>
        <v>0</v>
      </c>
      <c r="AY75" s="143">
        <f t="shared" si="89"/>
        <v>0</v>
      </c>
      <c r="AZ75" s="182">
        <f t="shared" si="90"/>
        <v>0</v>
      </c>
      <c r="BA75" s="182">
        <f t="shared" si="81"/>
        <v>0</v>
      </c>
      <c r="BB75" s="183">
        <f t="shared" si="66"/>
        <v>0</v>
      </c>
      <c r="BC75" s="183">
        <f t="shared" si="91"/>
        <v>133200</v>
      </c>
      <c r="BD75" s="183">
        <f t="shared" si="82"/>
        <v>890.46</v>
      </c>
      <c r="BE75" s="182">
        <f t="shared" si="83"/>
        <v>0</v>
      </c>
      <c r="BF75" s="182">
        <f t="shared" si="84"/>
        <v>0</v>
      </c>
      <c r="BG75" s="182">
        <f t="shared" si="67"/>
        <v>0</v>
      </c>
      <c r="BH75" s="182">
        <f t="shared" si="68"/>
        <v>0</v>
      </c>
      <c r="BI75" s="182">
        <f>ROUND(BE75*'[1]数据-取费表'!$B$51/(1+'[1]数据-取费表'!$C$42),0)</f>
        <v>0</v>
      </c>
      <c r="BJ75" s="182">
        <f>ROUND(BG75*'[1]数据-取费表'!B$41/(1+'[1]数据-取费表'!C$42),0)</f>
        <v>0</v>
      </c>
      <c r="BK75" s="182">
        <f t="shared" si="69"/>
        <v>0</v>
      </c>
      <c r="BL75" s="182">
        <f t="shared" si="70"/>
        <v>0</v>
      </c>
      <c r="BM75" s="182">
        <f t="shared" si="85"/>
        <v>0</v>
      </c>
      <c r="BN75" s="184">
        <f t="shared" si="71"/>
        <v>0</v>
      </c>
      <c r="BO75" s="183">
        <f t="shared" si="53"/>
        <v>1236.9611298145505</v>
      </c>
      <c r="BP75" s="195"/>
      <c r="BQ75" s="195"/>
      <c r="BR75" s="195"/>
    </row>
    <row r="76" spans="1:85" x14ac:dyDescent="0.2">
      <c r="A76" s="146">
        <v>59</v>
      </c>
      <c r="B76" s="141" t="s">
        <v>82</v>
      </c>
      <c r="C76" s="142" t="s">
        <v>85</v>
      </c>
      <c r="D76" s="143">
        <v>906</v>
      </c>
      <c r="E76" s="143">
        <v>145.26</v>
      </c>
      <c r="F76" s="143" t="s">
        <v>83</v>
      </c>
      <c r="G76" s="143" t="s">
        <v>75</v>
      </c>
      <c r="H76" s="144">
        <v>56009</v>
      </c>
      <c r="I76" s="144">
        <v>44987</v>
      </c>
      <c r="J76" s="143">
        <f>IF(F76="商业",[1]项目基本情况!D$15,[1]项目基本情况!E$15)</f>
        <v>30.19</v>
      </c>
      <c r="K76" s="143" t="s">
        <v>84</v>
      </c>
      <c r="L76" s="230">
        <f>SUM(E76:E77)</f>
        <v>285.24</v>
      </c>
      <c r="M76" s="143">
        <v>8</v>
      </c>
      <c r="N76" s="143" t="s">
        <v>11</v>
      </c>
      <c r="O76" s="143">
        <v>2008</v>
      </c>
      <c r="P76" s="230">
        <f t="shared" si="54"/>
        <v>53.32</v>
      </c>
      <c r="Q76" s="230">
        <f>ROUND(P76*'[1]数据-取费表'!B$52,0)</f>
        <v>1600</v>
      </c>
      <c r="R76" s="230">
        <f t="shared" si="86"/>
        <v>3232217</v>
      </c>
      <c r="S76" s="230">
        <f t="shared" si="72"/>
        <v>48483</v>
      </c>
      <c r="T76" s="233">
        <v>0.8</v>
      </c>
      <c r="U76" s="230">
        <f t="shared" si="87"/>
        <v>2585774</v>
      </c>
      <c r="V76" s="230">
        <f t="shared" si="55"/>
        <v>2586</v>
      </c>
      <c r="W76" s="230">
        <f t="shared" si="73"/>
        <v>3397</v>
      </c>
      <c r="X76" s="230">
        <f>ROUND(AC76*'[1]数据-取费表'!$B$41/(1+'[1]数据-取费表'!$C$42),0)</f>
        <v>36104</v>
      </c>
      <c r="Y76" s="230">
        <f>ROUND(AC76*'[1]数据-取费表'!$B$51/(1+'[1]数据-取费表'!$C$42),0)</f>
        <v>77366</v>
      </c>
      <c r="Z76" s="230">
        <f t="shared" si="56"/>
        <v>115070</v>
      </c>
      <c r="AA76" s="230">
        <f t="shared" si="57"/>
        <v>169536</v>
      </c>
      <c r="AB76" s="231">
        <f>ROUND(AC76/365/L76,2)</f>
        <v>6.5</v>
      </c>
      <c r="AC76" s="230">
        <v>676951</v>
      </c>
      <c r="AD76" s="230">
        <f t="shared" si="75"/>
        <v>2539</v>
      </c>
      <c r="AE76" s="230">
        <f t="shared" si="76"/>
        <v>679490</v>
      </c>
      <c r="AF76" s="232">
        <v>2.4E-2</v>
      </c>
      <c r="AG76" s="230"/>
      <c r="AH76" s="236">
        <v>45657</v>
      </c>
      <c r="AI76" s="230">
        <f t="shared" si="88"/>
        <v>1.83</v>
      </c>
      <c r="AJ76" s="230">
        <f t="shared" si="58"/>
        <v>509954</v>
      </c>
      <c r="AK76" s="235">
        <f t="shared" si="59"/>
        <v>873760</v>
      </c>
      <c r="AL76" s="233">
        <f t="shared" si="60"/>
        <v>0.73</v>
      </c>
      <c r="AM76" s="230">
        <f t="shared" si="61"/>
        <v>2359518</v>
      </c>
      <c r="AN76" s="230">
        <f t="shared" si="62"/>
        <v>2360</v>
      </c>
      <c r="AO76" s="230">
        <f t="shared" si="63"/>
        <v>4270</v>
      </c>
      <c r="AP76" s="230">
        <f>ROUND(AV76*'[1]数据-取费表'!$B$41/(1+'[1]数据-取费表'!$B$42),0)</f>
        <v>45376</v>
      </c>
      <c r="AQ76" s="230">
        <f>ROUND(AV76*'[1]数据-取费表'!B$51/(1+'[1]数据-取费表'!C$42),0)</f>
        <v>97235</v>
      </c>
      <c r="AR76" s="230">
        <f t="shared" si="64"/>
        <v>144211</v>
      </c>
      <c r="AS76" s="230">
        <f t="shared" si="77"/>
        <v>199324</v>
      </c>
      <c r="AT76" s="234">
        <f t="shared" si="92"/>
        <v>8.6</v>
      </c>
      <c r="AU76" s="235">
        <f t="shared" si="78"/>
        <v>9.08</v>
      </c>
      <c r="AV76" s="230">
        <f t="shared" si="79"/>
        <v>850808</v>
      </c>
      <c r="AW76" s="230">
        <f t="shared" si="80"/>
        <v>3191</v>
      </c>
      <c r="AX76" s="230">
        <f t="shared" si="65"/>
        <v>853999</v>
      </c>
      <c r="AY76" s="230">
        <f t="shared" si="89"/>
        <v>28.36</v>
      </c>
      <c r="AZ76" s="237">
        <f t="shared" si="90"/>
        <v>654675</v>
      </c>
      <c r="BA76" s="237">
        <f t="shared" si="81"/>
        <v>12921926</v>
      </c>
      <c r="BB76" s="239">
        <f t="shared" si="66"/>
        <v>11715889</v>
      </c>
      <c r="BC76" s="239">
        <f t="shared" si="91"/>
        <v>193107</v>
      </c>
      <c r="BD76" s="239">
        <f t="shared" si="82"/>
        <v>1278.28</v>
      </c>
      <c r="BE76" s="237">
        <f t="shared" si="83"/>
        <v>805832</v>
      </c>
      <c r="BF76" s="237">
        <f t="shared" si="84"/>
        <v>3022</v>
      </c>
      <c r="BG76" s="237">
        <f t="shared" si="67"/>
        <v>808854</v>
      </c>
      <c r="BH76" s="237">
        <f t="shared" si="68"/>
        <v>4044</v>
      </c>
      <c r="BI76" s="237">
        <f>ROUND(BE76*'[1]数据-取费表'!$B$51/(1+'[1]数据-取费表'!$C$42),0)</f>
        <v>92095</v>
      </c>
      <c r="BJ76" s="237">
        <f>ROUND(BG76*'[1]数据-取费表'!B$41/(1+'[1]数据-取费表'!C$42),0)</f>
        <v>43139</v>
      </c>
      <c r="BK76" s="237">
        <f t="shared" si="69"/>
        <v>191947</v>
      </c>
      <c r="BL76" s="237">
        <f t="shared" si="70"/>
        <v>616907</v>
      </c>
      <c r="BM76" s="237">
        <f t="shared" si="85"/>
        <v>1059548</v>
      </c>
      <c r="BN76" s="238">
        <f t="shared" si="71"/>
        <v>185788</v>
      </c>
      <c r="BO76" s="239">
        <f t="shared" si="53"/>
        <v>1775.6919715869815</v>
      </c>
      <c r="BP76" s="195"/>
      <c r="BQ76" s="195"/>
      <c r="BR76" s="195"/>
    </row>
    <row r="77" spans="1:85" x14ac:dyDescent="0.2">
      <c r="A77" s="146">
        <v>60</v>
      </c>
      <c r="B77" s="141" t="s">
        <v>82</v>
      </c>
      <c r="C77" s="142" t="s">
        <v>85</v>
      </c>
      <c r="D77" s="143">
        <v>907</v>
      </c>
      <c r="E77" s="143">
        <v>139.97999999999999</v>
      </c>
      <c r="F77" s="143" t="s">
        <v>83</v>
      </c>
      <c r="G77" s="143" t="s">
        <v>75</v>
      </c>
      <c r="H77" s="144">
        <v>56009</v>
      </c>
      <c r="I77" s="144">
        <v>44987</v>
      </c>
      <c r="J77" s="143">
        <f>IF(F77="商业",[1]项目基本情况!D$15,[1]项目基本情况!E$15)</f>
        <v>30.19</v>
      </c>
      <c r="K77" s="143" t="s">
        <v>84</v>
      </c>
      <c r="L77" s="230"/>
      <c r="M77" s="143">
        <v>8</v>
      </c>
      <c r="N77" s="143" t="s">
        <v>11</v>
      </c>
      <c r="O77" s="143">
        <v>2008</v>
      </c>
      <c r="P77" s="230">
        <f t="shared" si="54"/>
        <v>0</v>
      </c>
      <c r="Q77" s="230">
        <f>ROUND(P77*'[1]数据-取费表'!B$52,0)</f>
        <v>0</v>
      </c>
      <c r="R77" s="230">
        <f t="shared" si="86"/>
        <v>0</v>
      </c>
      <c r="S77" s="230">
        <f t="shared" si="72"/>
        <v>0</v>
      </c>
      <c r="T77" s="233">
        <v>0.8</v>
      </c>
      <c r="U77" s="230">
        <f t="shared" si="87"/>
        <v>0</v>
      </c>
      <c r="V77" s="230">
        <f t="shared" si="55"/>
        <v>0</v>
      </c>
      <c r="W77" s="230">
        <f t="shared" si="73"/>
        <v>0</v>
      </c>
      <c r="X77" s="230">
        <f>ROUND(AC77*'[1]数据-取费表'!$B$41/(1+'[1]数据-取费表'!$C$42),0)</f>
        <v>0</v>
      </c>
      <c r="Y77" s="230">
        <f>ROUND(AC77*'[1]数据-取费表'!$B$51/(1+'[1]数据-取费表'!$C$42),0)</f>
        <v>0</v>
      </c>
      <c r="Z77" s="230">
        <f t="shared" si="56"/>
        <v>0</v>
      </c>
      <c r="AA77" s="230">
        <f t="shared" si="57"/>
        <v>0</v>
      </c>
      <c r="AB77" s="231">
        <f t="shared" si="74"/>
        <v>8.6</v>
      </c>
      <c r="AC77" s="230"/>
      <c r="AD77" s="230">
        <f t="shared" si="75"/>
        <v>0</v>
      </c>
      <c r="AE77" s="230">
        <f t="shared" si="76"/>
        <v>0</v>
      </c>
      <c r="AF77" s="232"/>
      <c r="AG77" s="230"/>
      <c r="AH77" s="236"/>
      <c r="AI77" s="230">
        <f t="shared" si="88"/>
        <v>-123.25</v>
      </c>
      <c r="AJ77" s="230">
        <f t="shared" si="58"/>
        <v>0</v>
      </c>
      <c r="AK77" s="235">
        <f t="shared" si="59"/>
        <v>0</v>
      </c>
      <c r="AL77" s="233">
        <f t="shared" si="60"/>
        <v>2.8</v>
      </c>
      <c r="AM77" s="230">
        <f t="shared" si="61"/>
        <v>0</v>
      </c>
      <c r="AN77" s="230">
        <f t="shared" si="62"/>
        <v>0</v>
      </c>
      <c r="AO77" s="230">
        <f t="shared" si="63"/>
        <v>0</v>
      </c>
      <c r="AP77" s="230">
        <f>ROUND(AV77*'[1]数据-取费表'!$B$41/(1+'[1]数据-取费表'!$B$42),0)</f>
        <v>0</v>
      </c>
      <c r="AQ77" s="230">
        <f>ROUND(AV77*'[1]数据-取费表'!B$51/(1+'[1]数据-取费表'!C$42),0)</f>
        <v>0</v>
      </c>
      <c r="AR77" s="230">
        <f t="shared" si="64"/>
        <v>0</v>
      </c>
      <c r="AS77" s="230">
        <f t="shared" si="77"/>
        <v>0</v>
      </c>
      <c r="AT77" s="234">
        <f t="shared" si="92"/>
        <v>8.6</v>
      </c>
      <c r="AU77" s="235">
        <f t="shared" si="78"/>
        <v>0.23</v>
      </c>
      <c r="AV77" s="230">
        <f t="shared" si="79"/>
        <v>0</v>
      </c>
      <c r="AW77" s="230">
        <f t="shared" si="80"/>
        <v>0</v>
      </c>
      <c r="AX77" s="230">
        <f t="shared" si="65"/>
        <v>0</v>
      </c>
      <c r="AY77" s="230">
        <f t="shared" si="89"/>
        <v>153.44</v>
      </c>
      <c r="AZ77" s="237">
        <f t="shared" si="90"/>
        <v>0</v>
      </c>
      <c r="BA77" s="237">
        <f t="shared" si="81"/>
        <v>0</v>
      </c>
      <c r="BB77" s="239">
        <f t="shared" si="66"/>
        <v>0</v>
      </c>
      <c r="BC77" s="239">
        <f t="shared" si="91"/>
        <v>0</v>
      </c>
      <c r="BD77" s="239">
        <f t="shared" si="82"/>
        <v>0</v>
      </c>
      <c r="BE77" s="237">
        <f t="shared" si="83"/>
        <v>0</v>
      </c>
      <c r="BF77" s="237">
        <f t="shared" si="84"/>
        <v>0</v>
      </c>
      <c r="BG77" s="237">
        <f t="shared" si="67"/>
        <v>0</v>
      </c>
      <c r="BH77" s="237">
        <f t="shared" si="68"/>
        <v>0</v>
      </c>
      <c r="BI77" s="237">
        <f>ROUND(BE77*'[1]数据-取费表'!$B$51/(1+'[1]数据-取费表'!$C$42),0)</f>
        <v>0</v>
      </c>
      <c r="BJ77" s="237">
        <f>ROUND(BG77*'[1]数据-取费表'!B$41/(1+'[1]数据-取费表'!C$42),0)</f>
        <v>0</v>
      </c>
      <c r="BK77" s="237">
        <f t="shared" si="69"/>
        <v>0</v>
      </c>
      <c r="BL77" s="237">
        <f t="shared" si="70"/>
        <v>0</v>
      </c>
      <c r="BM77" s="237">
        <f t="shared" si="85"/>
        <v>0</v>
      </c>
      <c r="BN77" s="238">
        <f t="shared" si="71"/>
        <v>0</v>
      </c>
      <c r="BO77" s="239"/>
      <c r="BP77" s="195"/>
      <c r="BQ77" s="195"/>
      <c r="BR77" s="195"/>
    </row>
    <row r="78" spans="1:85" x14ac:dyDescent="0.2">
      <c r="A78" s="146">
        <v>61</v>
      </c>
      <c r="B78" s="141" t="s">
        <v>82</v>
      </c>
      <c r="C78" s="142" t="s">
        <v>85</v>
      </c>
      <c r="D78" s="143">
        <v>908</v>
      </c>
      <c r="E78" s="143">
        <v>135.16999999999999</v>
      </c>
      <c r="F78" s="143" t="s">
        <v>83</v>
      </c>
      <c r="G78" s="143" t="s">
        <v>75</v>
      </c>
      <c r="H78" s="144">
        <v>56009</v>
      </c>
      <c r="I78" s="144">
        <v>44987</v>
      </c>
      <c r="J78" s="143">
        <f>IF(F78="商业",[1]项目基本情况!D$15,[1]项目基本情况!E$15)</f>
        <v>30.19</v>
      </c>
      <c r="K78" s="143" t="s">
        <v>84</v>
      </c>
      <c r="L78" s="230">
        <f>SUM(E78:E80)</f>
        <v>410.31999999999994</v>
      </c>
      <c r="M78" s="143">
        <v>8</v>
      </c>
      <c r="N78" s="143" t="s">
        <v>11</v>
      </c>
      <c r="O78" s="143">
        <v>2008</v>
      </c>
      <c r="P78" s="230">
        <f t="shared" si="54"/>
        <v>76.7</v>
      </c>
      <c r="Q78" s="230">
        <f>ROUND(P78*'[1]数据-取费表'!B$52,0)</f>
        <v>2301</v>
      </c>
      <c r="R78" s="230">
        <f t="shared" si="86"/>
        <v>4649570</v>
      </c>
      <c r="S78" s="230">
        <f t="shared" si="72"/>
        <v>69744</v>
      </c>
      <c r="T78" s="233">
        <v>0.8</v>
      </c>
      <c r="U78" s="230">
        <f t="shared" si="87"/>
        <v>3719656</v>
      </c>
      <c r="V78" s="230">
        <f t="shared" si="55"/>
        <v>3720</v>
      </c>
      <c r="W78" s="230">
        <f t="shared" si="73"/>
        <v>4130</v>
      </c>
      <c r="X78" s="230">
        <f>ROUND(AC78*'[1]数据-取费表'!$B$41/(1+'[1]数据-取费表'!$C$42),0)</f>
        <v>43888</v>
      </c>
      <c r="Y78" s="230">
        <f>ROUND(AC78*'[1]数据-取费表'!$B$51/(1+'[1]数据-取费表'!$C$42),0)</f>
        <v>94046</v>
      </c>
      <c r="Z78" s="230">
        <f t="shared" si="56"/>
        <v>140235</v>
      </c>
      <c r="AA78" s="230">
        <f t="shared" si="57"/>
        <v>217829</v>
      </c>
      <c r="AB78" s="231">
        <f>ROUND(AC78/L78/365,2)</f>
        <v>5.49</v>
      </c>
      <c r="AC78" s="230">
        <v>822900</v>
      </c>
      <c r="AD78" s="230">
        <f t="shared" si="75"/>
        <v>3086</v>
      </c>
      <c r="AE78" s="230">
        <f t="shared" si="76"/>
        <v>825986</v>
      </c>
      <c r="AF78" s="232">
        <v>4.9000000000000002E-2</v>
      </c>
      <c r="AG78" s="230"/>
      <c r="AH78" s="236">
        <v>45626</v>
      </c>
      <c r="AI78" s="230">
        <f t="shared" si="88"/>
        <v>1.75</v>
      </c>
      <c r="AJ78" s="230">
        <f t="shared" si="58"/>
        <v>608157</v>
      </c>
      <c r="AK78" s="235">
        <f t="shared" si="59"/>
        <v>1006639</v>
      </c>
      <c r="AL78" s="233">
        <f t="shared" si="60"/>
        <v>0.73</v>
      </c>
      <c r="AM78" s="230">
        <f t="shared" si="61"/>
        <v>3394186</v>
      </c>
      <c r="AN78" s="230">
        <f t="shared" si="62"/>
        <v>3394</v>
      </c>
      <c r="AO78" s="230">
        <f t="shared" si="63"/>
        <v>6129</v>
      </c>
      <c r="AP78" s="230">
        <f>ROUND(AV78*'[1]数据-取费表'!$B$41/(1+'[1]数据-取费表'!$B$42),0)</f>
        <v>65131</v>
      </c>
      <c r="AQ78" s="230">
        <f>ROUND(AV78*'[1]数据-取费表'!B$51/(1+'[1]数据-取费表'!C$42),0)</f>
        <v>139565</v>
      </c>
      <c r="AR78" s="230">
        <f t="shared" si="64"/>
        <v>206997</v>
      </c>
      <c r="AS78" s="230">
        <f t="shared" si="77"/>
        <v>286264</v>
      </c>
      <c r="AT78" s="234">
        <f t="shared" si="92"/>
        <v>8.6</v>
      </c>
      <c r="AU78" s="235">
        <f t="shared" si="78"/>
        <v>9.06</v>
      </c>
      <c r="AV78" s="230">
        <f t="shared" si="79"/>
        <v>1221198</v>
      </c>
      <c r="AW78" s="230">
        <f t="shared" si="80"/>
        <v>4579</v>
      </c>
      <c r="AX78" s="230">
        <f t="shared" si="65"/>
        <v>1225777</v>
      </c>
      <c r="AY78" s="230">
        <f t="shared" si="89"/>
        <v>28.44</v>
      </c>
      <c r="AZ78" s="237">
        <f t="shared" si="90"/>
        <v>939513</v>
      </c>
      <c r="BA78" s="237">
        <f t="shared" si="81"/>
        <v>18580524</v>
      </c>
      <c r="BB78" s="239">
        <f t="shared" si="66"/>
        <v>16918667</v>
      </c>
      <c r="BC78" s="239">
        <f t="shared" si="91"/>
        <v>277787</v>
      </c>
      <c r="BD78" s="239">
        <f t="shared" si="82"/>
        <v>1820.31</v>
      </c>
      <c r="BE78" s="237">
        <f t="shared" si="83"/>
        <v>1159195</v>
      </c>
      <c r="BF78" s="237">
        <f t="shared" si="84"/>
        <v>4347</v>
      </c>
      <c r="BG78" s="237">
        <f t="shared" si="67"/>
        <v>1163542</v>
      </c>
      <c r="BH78" s="237">
        <f t="shared" si="68"/>
        <v>5818</v>
      </c>
      <c r="BI78" s="237">
        <f>ROUND(BE78*'[1]数据-取费表'!$B$51/(1+'[1]数据-取费表'!$C$42),0)</f>
        <v>132479</v>
      </c>
      <c r="BJ78" s="237">
        <f>ROUND(BG78*'[1]数据-取费表'!B$41/(1+'[1]数据-取费表'!C$42),0)</f>
        <v>62056</v>
      </c>
      <c r="BK78" s="237">
        <f t="shared" si="69"/>
        <v>276118</v>
      </c>
      <c r="BL78" s="237">
        <f t="shared" si="70"/>
        <v>887424</v>
      </c>
      <c r="BM78" s="237">
        <f t="shared" si="85"/>
        <v>1458923</v>
      </c>
      <c r="BN78" s="238">
        <f t="shared" si="71"/>
        <v>452284</v>
      </c>
      <c r="BO78" s="239">
        <f>BD78/$BD$234*$BS$3</f>
        <v>2528.6399324087824</v>
      </c>
      <c r="BP78" s="195"/>
      <c r="BQ78" s="195"/>
      <c r="BR78" s="195"/>
    </row>
    <row r="79" spans="1:85" x14ac:dyDescent="0.2">
      <c r="A79" s="146">
        <v>62</v>
      </c>
      <c r="B79" s="141" t="s">
        <v>82</v>
      </c>
      <c r="C79" s="142" t="s">
        <v>85</v>
      </c>
      <c r="D79" s="143">
        <v>909</v>
      </c>
      <c r="E79" s="143">
        <v>135.16999999999999</v>
      </c>
      <c r="F79" s="143" t="s">
        <v>83</v>
      </c>
      <c r="G79" s="143" t="s">
        <v>75</v>
      </c>
      <c r="H79" s="144">
        <v>56009</v>
      </c>
      <c r="I79" s="144">
        <v>44987</v>
      </c>
      <c r="J79" s="143">
        <f>IF(F79="商业",[1]项目基本情况!D$15,[1]项目基本情况!E$15)</f>
        <v>30.19</v>
      </c>
      <c r="K79" s="143" t="s">
        <v>84</v>
      </c>
      <c r="L79" s="230"/>
      <c r="M79" s="143">
        <v>8</v>
      </c>
      <c r="N79" s="143" t="s">
        <v>11</v>
      </c>
      <c r="O79" s="143">
        <v>2008</v>
      </c>
      <c r="P79" s="230">
        <f t="shared" si="54"/>
        <v>0</v>
      </c>
      <c r="Q79" s="230">
        <f>ROUND(P79*'[1]数据-取费表'!B$52,0)</f>
        <v>0</v>
      </c>
      <c r="R79" s="230">
        <f t="shared" si="86"/>
        <v>0</v>
      </c>
      <c r="S79" s="230">
        <f t="shared" si="72"/>
        <v>0</v>
      </c>
      <c r="T79" s="233">
        <v>0.8</v>
      </c>
      <c r="U79" s="230">
        <f t="shared" si="87"/>
        <v>0</v>
      </c>
      <c r="V79" s="230">
        <f t="shared" si="55"/>
        <v>0</v>
      </c>
      <c r="W79" s="230">
        <f t="shared" si="73"/>
        <v>0</v>
      </c>
      <c r="X79" s="230">
        <f>ROUND(AC79*'[1]数据-取费表'!$B$41/(1+'[1]数据-取费表'!$C$42),0)</f>
        <v>0</v>
      </c>
      <c r="Y79" s="230">
        <f>ROUND(AC79*'[1]数据-取费表'!$B$51/(1+'[1]数据-取费表'!$C$42),0)</f>
        <v>0</v>
      </c>
      <c r="Z79" s="230">
        <f t="shared" si="56"/>
        <v>0</v>
      </c>
      <c r="AA79" s="230">
        <f t="shared" si="57"/>
        <v>0</v>
      </c>
      <c r="AB79" s="231">
        <f t="shared" si="74"/>
        <v>8.6</v>
      </c>
      <c r="AC79" s="230"/>
      <c r="AD79" s="230">
        <f t="shared" si="75"/>
        <v>0</v>
      </c>
      <c r="AE79" s="230">
        <f t="shared" si="76"/>
        <v>0</v>
      </c>
      <c r="AF79" s="232"/>
      <c r="AG79" s="230"/>
      <c r="AH79" s="236"/>
      <c r="AI79" s="230">
        <f t="shared" si="88"/>
        <v>-123.25</v>
      </c>
      <c r="AJ79" s="230">
        <f t="shared" si="58"/>
        <v>0</v>
      </c>
      <c r="AK79" s="235">
        <f t="shared" si="59"/>
        <v>0</v>
      </c>
      <c r="AL79" s="233">
        <f t="shared" si="60"/>
        <v>2.8</v>
      </c>
      <c r="AM79" s="230">
        <f t="shared" si="61"/>
        <v>0</v>
      </c>
      <c r="AN79" s="230">
        <f t="shared" si="62"/>
        <v>0</v>
      </c>
      <c r="AO79" s="230">
        <f t="shared" si="63"/>
        <v>0</v>
      </c>
      <c r="AP79" s="230">
        <f>ROUND(AV79*'[1]数据-取费表'!$B$41/(1+'[1]数据-取费表'!$B$42),0)</f>
        <v>0</v>
      </c>
      <c r="AQ79" s="230">
        <f>ROUND(AV79*'[1]数据-取费表'!B$51/(1+'[1]数据-取费表'!C$42),0)</f>
        <v>0</v>
      </c>
      <c r="AR79" s="230">
        <f t="shared" si="64"/>
        <v>0</v>
      </c>
      <c r="AS79" s="230">
        <f t="shared" si="77"/>
        <v>0</v>
      </c>
      <c r="AT79" s="234">
        <f t="shared" si="92"/>
        <v>8.6</v>
      </c>
      <c r="AU79" s="235">
        <f t="shared" si="78"/>
        <v>0.23</v>
      </c>
      <c r="AV79" s="230">
        <f t="shared" si="79"/>
        <v>0</v>
      </c>
      <c r="AW79" s="230">
        <f t="shared" si="80"/>
        <v>0</v>
      </c>
      <c r="AX79" s="230">
        <f t="shared" si="65"/>
        <v>0</v>
      </c>
      <c r="AY79" s="230">
        <f t="shared" si="89"/>
        <v>153.44</v>
      </c>
      <c r="AZ79" s="237">
        <f t="shared" si="90"/>
        <v>0</v>
      </c>
      <c r="BA79" s="237">
        <f t="shared" si="81"/>
        <v>0</v>
      </c>
      <c r="BB79" s="239">
        <f t="shared" si="66"/>
        <v>0</v>
      </c>
      <c r="BC79" s="239">
        <f t="shared" si="91"/>
        <v>0</v>
      </c>
      <c r="BD79" s="239">
        <f t="shared" si="82"/>
        <v>0</v>
      </c>
      <c r="BE79" s="237">
        <f t="shared" si="83"/>
        <v>0</v>
      </c>
      <c r="BF79" s="237">
        <f t="shared" si="84"/>
        <v>0</v>
      </c>
      <c r="BG79" s="237">
        <f t="shared" si="67"/>
        <v>0</v>
      </c>
      <c r="BH79" s="237">
        <f t="shared" si="68"/>
        <v>0</v>
      </c>
      <c r="BI79" s="237">
        <f>ROUND(BE79*'[1]数据-取费表'!$B$51/(1+'[1]数据-取费表'!$C$42),0)</f>
        <v>0</v>
      </c>
      <c r="BJ79" s="237">
        <f>ROUND(BG79*'[1]数据-取费表'!B$41/(1+'[1]数据-取费表'!C$42),0)</f>
        <v>0</v>
      </c>
      <c r="BK79" s="237">
        <f t="shared" si="69"/>
        <v>0</v>
      </c>
      <c r="BL79" s="237">
        <f t="shared" si="70"/>
        <v>0</v>
      </c>
      <c r="BM79" s="237">
        <f t="shared" si="85"/>
        <v>0</v>
      </c>
      <c r="BN79" s="238">
        <f t="shared" si="71"/>
        <v>0</v>
      </c>
      <c r="BO79" s="239"/>
      <c r="BP79" s="195"/>
      <c r="BQ79" s="195"/>
      <c r="BR79" s="195"/>
    </row>
    <row r="80" spans="1:85" x14ac:dyDescent="0.2">
      <c r="A80" s="146">
        <v>63</v>
      </c>
      <c r="B80" s="141" t="s">
        <v>82</v>
      </c>
      <c r="C80" s="142" t="s">
        <v>85</v>
      </c>
      <c r="D80" s="143">
        <v>910</v>
      </c>
      <c r="E80" s="143">
        <v>139.97999999999999</v>
      </c>
      <c r="F80" s="143" t="s">
        <v>83</v>
      </c>
      <c r="G80" s="143" t="s">
        <v>75</v>
      </c>
      <c r="H80" s="144">
        <v>56009</v>
      </c>
      <c r="I80" s="144">
        <v>44987</v>
      </c>
      <c r="J80" s="143">
        <f>IF(F80="商业",[1]项目基本情况!D$15,[1]项目基本情况!E$15)</f>
        <v>30.19</v>
      </c>
      <c r="K80" s="143" t="s">
        <v>84</v>
      </c>
      <c r="L80" s="230"/>
      <c r="M80" s="143">
        <v>8</v>
      </c>
      <c r="N80" s="143" t="s">
        <v>11</v>
      </c>
      <c r="O80" s="143">
        <v>2008</v>
      </c>
      <c r="P80" s="230">
        <f t="shared" si="54"/>
        <v>0</v>
      </c>
      <c r="Q80" s="230">
        <f>ROUND(P80*'[1]数据-取费表'!B$52,0)</f>
        <v>0</v>
      </c>
      <c r="R80" s="230">
        <f t="shared" si="86"/>
        <v>0</v>
      </c>
      <c r="S80" s="230">
        <f t="shared" si="72"/>
        <v>0</v>
      </c>
      <c r="T80" s="233">
        <v>0.8</v>
      </c>
      <c r="U80" s="230">
        <f t="shared" si="87"/>
        <v>0</v>
      </c>
      <c r="V80" s="230">
        <f t="shared" si="55"/>
        <v>0</v>
      </c>
      <c r="W80" s="230">
        <f t="shared" si="73"/>
        <v>0</v>
      </c>
      <c r="X80" s="230">
        <f>ROUND(AC80*'[1]数据-取费表'!$B$41/(1+'[1]数据-取费表'!$C$42),0)</f>
        <v>0</v>
      </c>
      <c r="Y80" s="230">
        <f>ROUND(AC80*'[1]数据-取费表'!$B$51/(1+'[1]数据-取费表'!$C$42),0)</f>
        <v>0</v>
      </c>
      <c r="Z80" s="230">
        <f t="shared" si="56"/>
        <v>0</v>
      </c>
      <c r="AA80" s="230">
        <f t="shared" si="57"/>
        <v>0</v>
      </c>
      <c r="AB80" s="231">
        <f t="shared" si="74"/>
        <v>8.6</v>
      </c>
      <c r="AC80" s="230"/>
      <c r="AD80" s="230">
        <f t="shared" si="75"/>
        <v>0</v>
      </c>
      <c r="AE80" s="230">
        <f t="shared" si="76"/>
        <v>0</v>
      </c>
      <c r="AF80" s="232"/>
      <c r="AG80" s="230"/>
      <c r="AH80" s="236"/>
      <c r="AI80" s="230">
        <f t="shared" si="88"/>
        <v>-123.25</v>
      </c>
      <c r="AJ80" s="230">
        <f t="shared" si="58"/>
        <v>0</v>
      </c>
      <c r="AK80" s="235">
        <f t="shared" si="59"/>
        <v>0</v>
      </c>
      <c r="AL80" s="233">
        <f t="shared" si="60"/>
        <v>2.8</v>
      </c>
      <c r="AM80" s="230">
        <f t="shared" si="61"/>
        <v>0</v>
      </c>
      <c r="AN80" s="230">
        <f t="shared" si="62"/>
        <v>0</v>
      </c>
      <c r="AO80" s="230">
        <f t="shared" si="63"/>
        <v>0</v>
      </c>
      <c r="AP80" s="230">
        <f>ROUND(AV80*'[1]数据-取费表'!$B$41/(1+'[1]数据-取费表'!$B$42),0)</f>
        <v>0</v>
      </c>
      <c r="AQ80" s="230">
        <f>ROUND(AV80*'[1]数据-取费表'!B$51/(1+'[1]数据-取费表'!C$42),0)</f>
        <v>0</v>
      </c>
      <c r="AR80" s="230">
        <f t="shared" si="64"/>
        <v>0</v>
      </c>
      <c r="AS80" s="230">
        <f t="shared" si="77"/>
        <v>0</v>
      </c>
      <c r="AT80" s="234">
        <f t="shared" si="92"/>
        <v>8.6</v>
      </c>
      <c r="AU80" s="235">
        <f t="shared" si="78"/>
        <v>0.23</v>
      </c>
      <c r="AV80" s="230">
        <f t="shared" si="79"/>
        <v>0</v>
      </c>
      <c r="AW80" s="230">
        <f t="shared" si="80"/>
        <v>0</v>
      </c>
      <c r="AX80" s="230">
        <f t="shared" si="65"/>
        <v>0</v>
      </c>
      <c r="AY80" s="230">
        <f t="shared" si="89"/>
        <v>153.44</v>
      </c>
      <c r="AZ80" s="237">
        <f t="shared" si="90"/>
        <v>0</v>
      </c>
      <c r="BA80" s="237">
        <f t="shared" si="81"/>
        <v>0</v>
      </c>
      <c r="BB80" s="239">
        <f t="shared" si="66"/>
        <v>0</v>
      </c>
      <c r="BC80" s="239">
        <f t="shared" si="91"/>
        <v>0</v>
      </c>
      <c r="BD80" s="239">
        <f t="shared" si="82"/>
        <v>0</v>
      </c>
      <c r="BE80" s="237">
        <f t="shared" si="83"/>
        <v>0</v>
      </c>
      <c r="BF80" s="237">
        <f t="shared" si="84"/>
        <v>0</v>
      </c>
      <c r="BG80" s="237">
        <f t="shared" si="67"/>
        <v>0</v>
      </c>
      <c r="BH80" s="237">
        <f t="shared" si="68"/>
        <v>0</v>
      </c>
      <c r="BI80" s="237">
        <f>ROUND(BE80*'[1]数据-取费表'!$B$51/(1+'[1]数据-取费表'!$C$42),0)</f>
        <v>0</v>
      </c>
      <c r="BJ80" s="237">
        <f>ROUND(BG80*'[1]数据-取费表'!B$41/(1+'[1]数据-取费表'!C$42),0)</f>
        <v>0</v>
      </c>
      <c r="BK80" s="237">
        <f t="shared" si="69"/>
        <v>0</v>
      </c>
      <c r="BL80" s="237">
        <f t="shared" si="70"/>
        <v>0</v>
      </c>
      <c r="BM80" s="237">
        <f t="shared" si="85"/>
        <v>0</v>
      </c>
      <c r="BN80" s="238">
        <f t="shared" si="71"/>
        <v>0</v>
      </c>
      <c r="BO80" s="239"/>
      <c r="BP80" s="195"/>
      <c r="BQ80" s="195"/>
      <c r="BR80" s="195"/>
    </row>
    <row r="81" spans="1:74" x14ac:dyDescent="0.2">
      <c r="A81" s="146">
        <v>64</v>
      </c>
      <c r="B81" s="141" t="s">
        <v>82</v>
      </c>
      <c r="C81" s="142" t="s">
        <v>85</v>
      </c>
      <c r="D81" s="143">
        <v>911</v>
      </c>
      <c r="E81" s="143">
        <v>140.79</v>
      </c>
      <c r="F81" s="143" t="s">
        <v>83</v>
      </c>
      <c r="G81" s="143" t="s">
        <v>75</v>
      </c>
      <c r="H81" s="144">
        <v>56009</v>
      </c>
      <c r="I81" s="144">
        <v>44987</v>
      </c>
      <c r="J81" s="143">
        <f>IF(F81="商业",[1]项目基本情况!D$15,[1]项目基本情况!E$15)</f>
        <v>30.19</v>
      </c>
      <c r="K81" s="143" t="s">
        <v>84</v>
      </c>
      <c r="L81" s="143">
        <f>E81</f>
        <v>140.79</v>
      </c>
      <c r="M81" s="143">
        <v>8</v>
      </c>
      <c r="N81" s="143" t="s">
        <v>11</v>
      </c>
      <c r="O81" s="143">
        <v>2008</v>
      </c>
      <c r="P81" s="172">
        <f t="shared" si="54"/>
        <v>26.32</v>
      </c>
      <c r="Q81" s="172">
        <f>ROUND(P81*'[1]数据-取费表'!B$52,0)</f>
        <v>790</v>
      </c>
      <c r="R81" s="172">
        <f t="shared" si="86"/>
        <v>1595372</v>
      </c>
      <c r="S81" s="173">
        <f t="shared" si="72"/>
        <v>23931</v>
      </c>
      <c r="T81" s="174">
        <v>0.8</v>
      </c>
      <c r="U81" s="172">
        <f t="shared" si="87"/>
        <v>1276298</v>
      </c>
      <c r="V81" s="173">
        <f t="shared" si="55"/>
        <v>1276</v>
      </c>
      <c r="W81" s="173">
        <f t="shared" si="73"/>
        <v>283</v>
      </c>
      <c r="X81" s="172">
        <f>ROUND(AC81*'[1]数据-取费表'!$B$41/(1+'[1]数据-取费表'!$C$42),0)</f>
        <v>3012</v>
      </c>
      <c r="Y81" s="172">
        <f>ROUND(AC81*'[1]数据-取费表'!$B$51/(1+'[1]数据-取费表'!$C$42),0)</f>
        <v>6454</v>
      </c>
      <c r="Z81" s="172">
        <f t="shared" si="56"/>
        <v>10256</v>
      </c>
      <c r="AA81" s="173">
        <f t="shared" si="57"/>
        <v>35746</v>
      </c>
      <c r="AB81" s="175">
        <f>ROUND(AC81/365/L81,2)</f>
        <v>1.1000000000000001</v>
      </c>
      <c r="AC81" s="143">
        <v>56470</v>
      </c>
      <c r="AD81" s="172">
        <f t="shared" si="75"/>
        <v>212</v>
      </c>
      <c r="AE81" s="172">
        <f t="shared" si="76"/>
        <v>56682</v>
      </c>
      <c r="AF81" s="177">
        <v>0</v>
      </c>
      <c r="AG81" s="177"/>
      <c r="AH81" s="185">
        <v>45046</v>
      </c>
      <c r="AI81" s="143">
        <f t="shared" si="88"/>
        <v>0.16</v>
      </c>
      <c r="AJ81" s="173">
        <f t="shared" si="58"/>
        <v>20936</v>
      </c>
      <c r="AK81" s="178">
        <f t="shared" si="59"/>
        <v>3247</v>
      </c>
      <c r="AL81" s="174">
        <f t="shared" si="60"/>
        <v>0.75</v>
      </c>
      <c r="AM81" s="172">
        <f t="shared" si="61"/>
        <v>1196529</v>
      </c>
      <c r="AN81" s="173">
        <f t="shared" si="62"/>
        <v>1197</v>
      </c>
      <c r="AO81" s="173">
        <f t="shared" si="63"/>
        <v>2005</v>
      </c>
      <c r="AP81" s="172">
        <f>ROUND(AV81*'[1]数据-取费表'!$B$41/(1+'[1]数据-取费表'!$B$42),0)</f>
        <v>21312</v>
      </c>
      <c r="AQ81" s="172">
        <f>ROUND(AV81*'[1]数据-取费表'!B$51/(1+'[1]数据-取费表'!C$42),0)</f>
        <v>45668</v>
      </c>
      <c r="AR81" s="179">
        <f t="shared" si="64"/>
        <v>67770</v>
      </c>
      <c r="AS81" s="173">
        <f t="shared" si="77"/>
        <v>94903</v>
      </c>
      <c r="AT81" s="180">
        <f t="shared" si="92"/>
        <v>8.6</v>
      </c>
      <c r="AU81" s="181">
        <f t="shared" si="78"/>
        <v>8.64</v>
      </c>
      <c r="AV81" s="172">
        <f t="shared" si="79"/>
        <v>399596</v>
      </c>
      <c r="AW81" s="172">
        <f t="shared" si="80"/>
        <v>1498</v>
      </c>
      <c r="AX81" s="172">
        <f t="shared" si="65"/>
        <v>401094</v>
      </c>
      <c r="AY81" s="143">
        <f t="shared" si="89"/>
        <v>30.03</v>
      </c>
      <c r="AZ81" s="182">
        <f t="shared" si="90"/>
        <v>306191</v>
      </c>
      <c r="BA81" s="182">
        <f t="shared" si="81"/>
        <v>6287137</v>
      </c>
      <c r="BB81" s="183">
        <f t="shared" si="66"/>
        <v>6233508</v>
      </c>
      <c r="BC81" s="183">
        <f t="shared" si="91"/>
        <v>95315</v>
      </c>
      <c r="BD81" s="183">
        <f t="shared" si="82"/>
        <v>633.21</v>
      </c>
      <c r="BE81" s="182">
        <f t="shared" si="83"/>
        <v>397746</v>
      </c>
      <c r="BF81" s="182">
        <f t="shared" si="84"/>
        <v>1492</v>
      </c>
      <c r="BG81" s="182">
        <f t="shared" si="67"/>
        <v>399238</v>
      </c>
      <c r="BH81" s="182">
        <f t="shared" si="68"/>
        <v>1996</v>
      </c>
      <c r="BI81" s="182">
        <f>ROUND(BE81*'[1]数据-取费表'!$B$51/(1+'[1]数据-取费表'!$C$42),0)</f>
        <v>45457</v>
      </c>
      <c r="BJ81" s="182">
        <f>ROUND(BG81*'[1]数据-取费表'!B$41/(1+'[1]数据-取费表'!C$42),0)</f>
        <v>21293</v>
      </c>
      <c r="BK81" s="182">
        <f t="shared" si="69"/>
        <v>94743</v>
      </c>
      <c r="BL81" s="182">
        <f t="shared" si="70"/>
        <v>304495</v>
      </c>
      <c r="BM81" s="182">
        <f t="shared" si="85"/>
        <v>46646</v>
      </c>
      <c r="BN81" s="184">
        <f t="shared" si="71"/>
        <v>43399</v>
      </c>
      <c r="BO81" s="183">
        <f>BD81/$BD$234*$BS$3</f>
        <v>879.60846866773522</v>
      </c>
      <c r="BP81" s="195"/>
      <c r="BQ81" s="195"/>
      <c r="BR81" s="195"/>
    </row>
    <row r="82" spans="1:74" x14ac:dyDescent="0.2">
      <c r="A82" s="146">
        <v>65</v>
      </c>
      <c r="B82" s="141" t="s">
        <v>82</v>
      </c>
      <c r="C82" s="142" t="s">
        <v>85</v>
      </c>
      <c r="D82" s="143">
        <v>912</v>
      </c>
      <c r="E82" s="143">
        <v>210.76</v>
      </c>
      <c r="F82" s="143" t="s">
        <v>83</v>
      </c>
      <c r="G82" s="143" t="s">
        <v>75</v>
      </c>
      <c r="H82" s="144">
        <v>56009</v>
      </c>
      <c r="I82" s="144">
        <v>44987</v>
      </c>
      <c r="J82" s="143">
        <f>IF(F82="商业",[1]项目基本情况!D$15,[1]项目基本情况!E$15)</f>
        <v>30.19</v>
      </c>
      <c r="K82" s="143"/>
      <c r="L82" s="143">
        <v>210.76</v>
      </c>
      <c r="M82" s="143">
        <v>8</v>
      </c>
      <c r="N82" s="143" t="s">
        <v>11</v>
      </c>
      <c r="O82" s="143">
        <v>2008</v>
      </c>
      <c r="P82" s="172">
        <f t="shared" si="54"/>
        <v>39.39</v>
      </c>
      <c r="Q82" s="172">
        <f>ROUND(P82*'[1]数据-取费表'!B$52,0)</f>
        <v>1182</v>
      </c>
      <c r="R82" s="172">
        <f t="shared" si="86"/>
        <v>2388242</v>
      </c>
      <c r="S82" s="173">
        <f t="shared" si="72"/>
        <v>35824</v>
      </c>
      <c r="T82" s="174">
        <v>0.8</v>
      </c>
      <c r="U82" s="172">
        <f t="shared" si="87"/>
        <v>1910594</v>
      </c>
      <c r="V82" s="173">
        <f t="shared" si="55"/>
        <v>1911</v>
      </c>
      <c r="W82" s="173">
        <f t="shared" si="73"/>
        <v>2988</v>
      </c>
      <c r="X82" s="172">
        <f>ROUND(AC82*'[1]数据-取费表'!$B$41/(1+'[1]数据-取费表'!$C$42),0)</f>
        <v>31756</v>
      </c>
      <c r="Y82" s="172">
        <f>ROUND(AC82*'[1]数据-取费表'!$B$51/(1+'[1]数据-取费表'!$C$42),0)</f>
        <v>68048</v>
      </c>
      <c r="Z82" s="172">
        <f t="shared" si="56"/>
        <v>100986</v>
      </c>
      <c r="AA82" s="173">
        <f t="shared" si="57"/>
        <v>141709</v>
      </c>
      <c r="AB82" s="175">
        <f t="shared" si="74"/>
        <v>8.6</v>
      </c>
      <c r="AC82" s="172">
        <f>ROUND(AB82*365*L82*(1-I$2),0)</f>
        <v>595418</v>
      </c>
      <c r="AD82" s="172">
        <f t="shared" si="75"/>
        <v>2233</v>
      </c>
      <c r="AE82" s="172">
        <f t="shared" si="76"/>
        <v>597651</v>
      </c>
      <c r="AF82" s="176">
        <f>H$2</f>
        <v>0.03</v>
      </c>
      <c r="AG82" s="177"/>
      <c r="AH82" s="144">
        <f>H82</f>
        <v>56009</v>
      </c>
      <c r="AI82" s="143">
        <f t="shared" si="88"/>
        <v>30.19</v>
      </c>
      <c r="AJ82" s="173">
        <f t="shared" si="58"/>
        <v>455942</v>
      </c>
      <c r="AK82" s="178">
        <f t="shared" si="59"/>
        <v>9396023</v>
      </c>
      <c r="AL82" s="174">
        <f t="shared" si="60"/>
        <v>0.25</v>
      </c>
      <c r="AM82" s="172">
        <f t="shared" si="61"/>
        <v>0</v>
      </c>
      <c r="AN82" s="173">
        <f t="shared" si="62"/>
        <v>0</v>
      </c>
      <c r="AO82" s="173">
        <f t="shared" si="63"/>
        <v>0</v>
      </c>
      <c r="AP82" s="172">
        <f>ROUND(AV82*'[1]数据-取费表'!$B$41/(1+'[1]数据-取费表'!$B$42),0)</f>
        <v>0</v>
      </c>
      <c r="AQ82" s="172">
        <f>ROUND(AV82*'[1]数据-取费表'!B$51/(1+'[1]数据-取费表'!C$42),0)</f>
        <v>0</v>
      </c>
      <c r="AR82" s="179">
        <f t="shared" si="64"/>
        <v>0</v>
      </c>
      <c r="AS82" s="173">
        <f t="shared" si="77"/>
        <v>0</v>
      </c>
      <c r="AT82" s="180">
        <f t="shared" si="92"/>
        <v>8.6</v>
      </c>
      <c r="AU82" s="181">
        <f t="shared" si="78"/>
        <v>20.99</v>
      </c>
      <c r="AV82" s="172">
        <f t="shared" si="79"/>
        <v>0</v>
      </c>
      <c r="AW82" s="172">
        <f t="shared" si="80"/>
        <v>0</v>
      </c>
      <c r="AX82" s="172">
        <f t="shared" si="65"/>
        <v>0</v>
      </c>
      <c r="AY82" s="143">
        <f t="shared" si="89"/>
        <v>0</v>
      </c>
      <c r="AZ82" s="182">
        <f t="shared" si="90"/>
        <v>0</v>
      </c>
      <c r="BA82" s="182">
        <f t="shared" si="81"/>
        <v>0</v>
      </c>
      <c r="BB82" s="183">
        <f t="shared" si="66"/>
        <v>0</v>
      </c>
      <c r="BC82" s="183">
        <f t="shared" si="91"/>
        <v>142685</v>
      </c>
      <c r="BD82" s="183">
        <f t="shared" si="82"/>
        <v>953.87</v>
      </c>
      <c r="BE82" s="182">
        <f t="shared" si="83"/>
        <v>0</v>
      </c>
      <c r="BF82" s="182">
        <f t="shared" si="84"/>
        <v>0</v>
      </c>
      <c r="BG82" s="182">
        <f t="shared" si="67"/>
        <v>0</v>
      </c>
      <c r="BH82" s="182">
        <f t="shared" si="68"/>
        <v>0</v>
      </c>
      <c r="BI82" s="182">
        <f>ROUND(BE82*'[1]数据-取费表'!$B$51/(1+'[1]数据-取费表'!$C$42),0)</f>
        <v>0</v>
      </c>
      <c r="BJ82" s="182">
        <f>ROUND(BG82*'[1]数据-取费表'!B$41/(1+'[1]数据-取费表'!C$42),0)</f>
        <v>0</v>
      </c>
      <c r="BK82" s="182">
        <f t="shared" si="69"/>
        <v>0</v>
      </c>
      <c r="BL82" s="182">
        <f t="shared" si="70"/>
        <v>0</v>
      </c>
      <c r="BM82" s="182">
        <f t="shared" si="85"/>
        <v>0</v>
      </c>
      <c r="BN82" s="184">
        <f t="shared" si="71"/>
        <v>0</v>
      </c>
      <c r="BO82" s="183">
        <f>BD82/$BD$234*$BS$3</f>
        <v>1325.04560889451</v>
      </c>
      <c r="BP82" s="195"/>
      <c r="BQ82" s="195"/>
      <c r="BR82" s="195"/>
    </row>
    <row r="83" spans="1:74" x14ac:dyDescent="0.2">
      <c r="A83" s="146">
        <v>66</v>
      </c>
      <c r="B83" s="125" t="s">
        <v>82</v>
      </c>
      <c r="C83" s="126" t="s">
        <v>85</v>
      </c>
      <c r="D83" s="127">
        <v>1012</v>
      </c>
      <c r="E83" s="127">
        <v>210.76</v>
      </c>
      <c r="F83" s="127" t="s">
        <v>83</v>
      </c>
      <c r="G83" s="127" t="s">
        <v>75</v>
      </c>
      <c r="H83" s="128">
        <v>56009</v>
      </c>
      <c r="I83" s="128">
        <v>44987</v>
      </c>
      <c r="J83" s="127">
        <f>IF(F83="商业",[1]项目基本情况!D$15,[1]项目基本情况!E$15)</f>
        <v>30.19</v>
      </c>
      <c r="K83" s="127" t="s">
        <v>84</v>
      </c>
      <c r="L83" s="218">
        <f>SUM(E83:E85)</f>
        <v>561.79999999999995</v>
      </c>
      <c r="M83" s="127">
        <v>9</v>
      </c>
      <c r="N83" s="127" t="s">
        <v>11</v>
      </c>
      <c r="O83" s="127">
        <v>2008</v>
      </c>
      <c r="P83" s="218">
        <f t="shared" si="54"/>
        <v>105.01</v>
      </c>
      <c r="Q83" s="218">
        <f>ROUND(P83*'[1]数据-取费表'!B$52,0)</f>
        <v>3150</v>
      </c>
      <c r="R83" s="218">
        <f t="shared" si="86"/>
        <v>6366076</v>
      </c>
      <c r="S83" s="218">
        <f t="shared" si="72"/>
        <v>95491</v>
      </c>
      <c r="T83" s="220">
        <v>0.8</v>
      </c>
      <c r="U83" s="218">
        <f t="shared" si="87"/>
        <v>5092861</v>
      </c>
      <c r="V83" s="218">
        <f t="shared" si="55"/>
        <v>5093</v>
      </c>
      <c r="W83" s="218">
        <f t="shared" si="73"/>
        <v>5997</v>
      </c>
      <c r="X83" s="218">
        <f>ROUND(AC83*'[1]数据-取费表'!$B$41/(1+'[1]数据-取费表'!$C$42),0)</f>
        <v>63733</v>
      </c>
      <c r="Y83" s="218">
        <f>ROUND(AC83*'[1]数据-取费表'!$B$51/(1+'[1]数据-取费表'!$C$42),0)</f>
        <v>136571</v>
      </c>
      <c r="Z83" s="218">
        <f t="shared" si="56"/>
        <v>203454</v>
      </c>
      <c r="AA83" s="218">
        <f t="shared" si="57"/>
        <v>310035</v>
      </c>
      <c r="AB83" s="240">
        <f>ROUND(AC83/365/L83,2)</f>
        <v>5.83</v>
      </c>
      <c r="AC83" s="218">
        <v>1195000</v>
      </c>
      <c r="AD83" s="218">
        <f t="shared" si="75"/>
        <v>4481</v>
      </c>
      <c r="AE83" s="218">
        <f t="shared" si="76"/>
        <v>1199481</v>
      </c>
      <c r="AF83" s="225">
        <v>4.3999999999999997E-2</v>
      </c>
      <c r="AG83" s="218"/>
      <c r="AH83" s="226">
        <v>45535</v>
      </c>
      <c r="AI83" s="218">
        <f t="shared" si="88"/>
        <v>1.5</v>
      </c>
      <c r="AJ83" s="218">
        <f t="shared" si="58"/>
        <v>889446</v>
      </c>
      <c r="AK83" s="224">
        <f t="shared" si="59"/>
        <v>1261313</v>
      </c>
      <c r="AL83" s="220">
        <f t="shared" si="60"/>
        <v>0.73</v>
      </c>
      <c r="AM83" s="218">
        <f t="shared" si="61"/>
        <v>4647235</v>
      </c>
      <c r="AN83" s="218">
        <f t="shared" si="62"/>
        <v>4647</v>
      </c>
      <c r="AO83" s="218">
        <f t="shared" si="63"/>
        <v>8327</v>
      </c>
      <c r="AP83" s="218">
        <f>ROUND(AV83*'[1]数据-取费表'!$B$41/(1+'[1]数据-取费表'!$B$42),0)</f>
        <v>88486</v>
      </c>
      <c r="AQ83" s="218">
        <f>ROUND(AV83*'[1]数据-取费表'!B$51/(1+'[1]数据-取费表'!C$42),0)</f>
        <v>189613</v>
      </c>
      <c r="AR83" s="218">
        <f t="shared" si="64"/>
        <v>281249</v>
      </c>
      <c r="AS83" s="218">
        <f t="shared" si="77"/>
        <v>389714</v>
      </c>
      <c r="AT83" s="223">
        <f t="shared" si="92"/>
        <v>8.6</v>
      </c>
      <c r="AU83" s="224">
        <f t="shared" si="78"/>
        <v>8.99</v>
      </c>
      <c r="AV83" s="218">
        <f t="shared" si="79"/>
        <v>1659116</v>
      </c>
      <c r="AW83" s="218">
        <f t="shared" si="80"/>
        <v>6222</v>
      </c>
      <c r="AX83" s="218">
        <f t="shared" si="65"/>
        <v>1665338</v>
      </c>
      <c r="AY83" s="218">
        <f t="shared" si="89"/>
        <v>28.69</v>
      </c>
      <c r="AZ83" s="227">
        <f t="shared" si="90"/>
        <v>1275624</v>
      </c>
      <c r="BA83" s="227">
        <f t="shared" si="81"/>
        <v>25381916</v>
      </c>
      <c r="BB83" s="229">
        <f t="shared" si="66"/>
        <v>23423172</v>
      </c>
      <c r="BC83" s="229">
        <f t="shared" si="91"/>
        <v>380339</v>
      </c>
      <c r="BD83" s="229">
        <f t="shared" si="82"/>
        <v>2506.48</v>
      </c>
      <c r="BE83" s="227">
        <f t="shared" si="83"/>
        <v>1587141</v>
      </c>
      <c r="BF83" s="227">
        <f t="shared" si="84"/>
        <v>5952</v>
      </c>
      <c r="BG83" s="227">
        <f t="shared" si="67"/>
        <v>1593093</v>
      </c>
      <c r="BH83" s="227">
        <f t="shared" si="68"/>
        <v>7965</v>
      </c>
      <c r="BI83" s="227">
        <f>ROUND(BE83*'[1]数据-取费表'!$B$51/(1+'[1]数据-取费表'!$C$42),0)</f>
        <v>181388</v>
      </c>
      <c r="BJ83" s="227">
        <f>ROUND(BG83*'[1]数据-取费表'!B$41/(1+'[1]数据-取费表'!C$42),0)</f>
        <v>84965</v>
      </c>
      <c r="BK83" s="227">
        <f t="shared" si="69"/>
        <v>378052</v>
      </c>
      <c r="BL83" s="227">
        <f t="shared" si="70"/>
        <v>1215041</v>
      </c>
      <c r="BM83" s="227">
        <f t="shared" si="85"/>
        <v>1717271</v>
      </c>
      <c r="BN83" s="228">
        <f t="shared" si="71"/>
        <v>455958</v>
      </c>
      <c r="BO83" s="229">
        <f>BD83/$BD$234*$BS$3</f>
        <v>3481.816513552068</v>
      </c>
      <c r="BP83" s="229">
        <f>SUM(BO83:BO92)</f>
        <v>10223.745032516137</v>
      </c>
      <c r="BQ83" s="229">
        <f>ROUND(BP83*10000/BS83,0)</f>
        <v>62367</v>
      </c>
      <c r="BR83" s="194"/>
      <c r="BS83" s="20">
        <f>SUM(E83:E92)</f>
        <v>1639.28</v>
      </c>
    </row>
    <row r="84" spans="1:74" x14ac:dyDescent="0.2">
      <c r="A84" s="146">
        <v>67</v>
      </c>
      <c r="B84" s="125" t="s">
        <v>82</v>
      </c>
      <c r="C84" s="126" t="s">
        <v>85</v>
      </c>
      <c r="D84" s="127">
        <v>1001</v>
      </c>
      <c r="E84" s="127">
        <v>134.94</v>
      </c>
      <c r="F84" s="127" t="s">
        <v>83</v>
      </c>
      <c r="G84" s="127" t="s">
        <v>75</v>
      </c>
      <c r="H84" s="128">
        <v>56009</v>
      </c>
      <c r="I84" s="128">
        <v>44987</v>
      </c>
      <c r="J84" s="127">
        <f>IF(F84="商业",[1]项目基本情况!D$15,[1]项目基本情况!E$15)</f>
        <v>30.19</v>
      </c>
      <c r="K84" s="127" t="s">
        <v>84</v>
      </c>
      <c r="L84" s="218"/>
      <c r="M84" s="127">
        <v>9</v>
      </c>
      <c r="N84" s="127" t="s">
        <v>11</v>
      </c>
      <c r="O84" s="127">
        <v>2008</v>
      </c>
      <c r="P84" s="218">
        <f t="shared" si="54"/>
        <v>0</v>
      </c>
      <c r="Q84" s="218">
        <f>ROUND(P84*'[1]数据-取费表'!B$52,0)</f>
        <v>0</v>
      </c>
      <c r="R84" s="218">
        <f t="shared" si="86"/>
        <v>0</v>
      </c>
      <c r="S84" s="218">
        <f t="shared" si="72"/>
        <v>0</v>
      </c>
      <c r="T84" s="220">
        <v>0.8</v>
      </c>
      <c r="U84" s="218">
        <f t="shared" si="87"/>
        <v>0</v>
      </c>
      <c r="V84" s="218">
        <f t="shared" si="55"/>
        <v>0</v>
      </c>
      <c r="W84" s="218">
        <f t="shared" si="73"/>
        <v>0</v>
      </c>
      <c r="X84" s="218">
        <f>ROUND(AC84*'[1]数据-取费表'!$B$41/(1+'[1]数据-取费表'!$C$42),0)</f>
        <v>0</v>
      </c>
      <c r="Y84" s="218">
        <f>ROUND(AC84*'[1]数据-取费表'!$B$51/(1+'[1]数据-取费表'!$C$42),0)</f>
        <v>0</v>
      </c>
      <c r="Z84" s="218">
        <f t="shared" si="56"/>
        <v>0</v>
      </c>
      <c r="AA84" s="218">
        <f t="shared" si="57"/>
        <v>0</v>
      </c>
      <c r="AB84" s="240">
        <f t="shared" si="74"/>
        <v>8.6</v>
      </c>
      <c r="AC84" s="218"/>
      <c r="AD84" s="218">
        <f t="shared" si="75"/>
        <v>0</v>
      </c>
      <c r="AE84" s="218">
        <f t="shared" si="76"/>
        <v>0</v>
      </c>
      <c r="AF84" s="225"/>
      <c r="AG84" s="218"/>
      <c r="AH84" s="226"/>
      <c r="AI84" s="218">
        <f t="shared" si="88"/>
        <v>-123.25</v>
      </c>
      <c r="AJ84" s="218">
        <f t="shared" si="58"/>
        <v>0</v>
      </c>
      <c r="AK84" s="224">
        <f t="shared" si="59"/>
        <v>0</v>
      </c>
      <c r="AL84" s="220">
        <f t="shared" si="60"/>
        <v>2.8</v>
      </c>
      <c r="AM84" s="218">
        <f t="shared" si="61"/>
        <v>0</v>
      </c>
      <c r="AN84" s="218">
        <f t="shared" si="62"/>
        <v>0</v>
      </c>
      <c r="AO84" s="218">
        <f t="shared" si="63"/>
        <v>0</v>
      </c>
      <c r="AP84" s="218">
        <f>ROUND(AV84*'[1]数据-取费表'!$B$41/(1+'[1]数据-取费表'!$B$42),0)</f>
        <v>0</v>
      </c>
      <c r="AQ84" s="218">
        <f>ROUND(AV84*'[1]数据-取费表'!B$51/(1+'[1]数据-取费表'!C$42),0)</f>
        <v>0</v>
      </c>
      <c r="AR84" s="218">
        <f t="shared" si="64"/>
        <v>0</v>
      </c>
      <c r="AS84" s="218">
        <f t="shared" si="77"/>
        <v>0</v>
      </c>
      <c r="AT84" s="223">
        <f t="shared" si="92"/>
        <v>8.6</v>
      </c>
      <c r="AU84" s="224">
        <f t="shared" si="78"/>
        <v>0.23</v>
      </c>
      <c r="AV84" s="218">
        <f t="shared" si="79"/>
        <v>0</v>
      </c>
      <c r="AW84" s="218">
        <f t="shared" si="80"/>
        <v>0</v>
      </c>
      <c r="AX84" s="218">
        <f t="shared" si="65"/>
        <v>0</v>
      </c>
      <c r="AY84" s="218">
        <f t="shared" si="89"/>
        <v>153.44</v>
      </c>
      <c r="AZ84" s="227">
        <f t="shared" si="90"/>
        <v>0</v>
      </c>
      <c r="BA84" s="227">
        <f t="shared" si="81"/>
        <v>0</v>
      </c>
      <c r="BB84" s="229">
        <f t="shared" si="66"/>
        <v>0</v>
      </c>
      <c r="BC84" s="229">
        <f t="shared" si="91"/>
        <v>0</v>
      </c>
      <c r="BD84" s="229">
        <f t="shared" si="82"/>
        <v>0</v>
      </c>
      <c r="BE84" s="227">
        <f t="shared" si="83"/>
        <v>0</v>
      </c>
      <c r="BF84" s="227">
        <f t="shared" si="84"/>
        <v>0</v>
      </c>
      <c r="BG84" s="227">
        <f t="shared" si="67"/>
        <v>0</v>
      </c>
      <c r="BH84" s="227">
        <f t="shared" si="68"/>
        <v>0</v>
      </c>
      <c r="BI84" s="227">
        <f>ROUND(BE84*'[1]数据-取费表'!$B$51/(1+'[1]数据-取费表'!$C$42),0)</f>
        <v>0</v>
      </c>
      <c r="BJ84" s="227">
        <f>ROUND(BG84*'[1]数据-取费表'!B$41/(1+'[1]数据-取费表'!C$42),0)</f>
        <v>0</v>
      </c>
      <c r="BK84" s="227">
        <f t="shared" si="69"/>
        <v>0</v>
      </c>
      <c r="BL84" s="227">
        <f t="shared" si="70"/>
        <v>0</v>
      </c>
      <c r="BM84" s="227">
        <f t="shared" si="85"/>
        <v>0</v>
      </c>
      <c r="BN84" s="228">
        <f t="shared" si="71"/>
        <v>0</v>
      </c>
      <c r="BO84" s="229"/>
      <c r="BP84" s="229"/>
      <c r="BQ84" s="229"/>
      <c r="BR84" s="194"/>
    </row>
    <row r="85" spans="1:74" x14ac:dyDescent="0.2">
      <c r="A85" s="146">
        <v>68</v>
      </c>
      <c r="B85" s="125" t="s">
        <v>82</v>
      </c>
      <c r="C85" s="126" t="s">
        <v>85</v>
      </c>
      <c r="D85" s="127">
        <v>1002</v>
      </c>
      <c r="E85" s="127">
        <v>216.1</v>
      </c>
      <c r="F85" s="127" t="s">
        <v>83</v>
      </c>
      <c r="G85" s="127" t="s">
        <v>75</v>
      </c>
      <c r="H85" s="128">
        <v>56009</v>
      </c>
      <c r="I85" s="128">
        <v>44987</v>
      </c>
      <c r="J85" s="127">
        <f>IF(F85="商业",[1]项目基本情况!D$15,[1]项目基本情况!E$15)</f>
        <v>30.19</v>
      </c>
      <c r="K85" s="127" t="s">
        <v>84</v>
      </c>
      <c r="L85" s="218"/>
      <c r="M85" s="127">
        <v>9</v>
      </c>
      <c r="N85" s="127" t="s">
        <v>11</v>
      </c>
      <c r="O85" s="127">
        <v>2008</v>
      </c>
      <c r="P85" s="218">
        <f t="shared" si="54"/>
        <v>0</v>
      </c>
      <c r="Q85" s="218">
        <f>ROUND(P85*'[1]数据-取费表'!B$52,0)</f>
        <v>0</v>
      </c>
      <c r="R85" s="218">
        <f t="shared" si="86"/>
        <v>0</v>
      </c>
      <c r="S85" s="218">
        <f t="shared" si="72"/>
        <v>0</v>
      </c>
      <c r="T85" s="220">
        <v>0.8</v>
      </c>
      <c r="U85" s="218">
        <f t="shared" si="87"/>
        <v>0</v>
      </c>
      <c r="V85" s="218">
        <f t="shared" si="55"/>
        <v>0</v>
      </c>
      <c r="W85" s="218">
        <f t="shared" si="73"/>
        <v>0</v>
      </c>
      <c r="X85" s="218">
        <f>ROUND(AC85*'[1]数据-取费表'!$B$41/(1+'[1]数据-取费表'!$C$42),0)</f>
        <v>0</v>
      </c>
      <c r="Y85" s="218">
        <f>ROUND(AC85*'[1]数据-取费表'!$B$51/(1+'[1]数据-取费表'!$C$42),0)</f>
        <v>0</v>
      </c>
      <c r="Z85" s="218">
        <f t="shared" si="56"/>
        <v>0</v>
      </c>
      <c r="AA85" s="218">
        <f t="shared" si="57"/>
        <v>0</v>
      </c>
      <c r="AB85" s="240">
        <f t="shared" si="74"/>
        <v>8.6</v>
      </c>
      <c r="AC85" s="218"/>
      <c r="AD85" s="218">
        <f t="shared" si="75"/>
        <v>0</v>
      </c>
      <c r="AE85" s="218">
        <f t="shared" si="76"/>
        <v>0</v>
      </c>
      <c r="AF85" s="225"/>
      <c r="AG85" s="218"/>
      <c r="AH85" s="226"/>
      <c r="AI85" s="218">
        <f t="shared" si="88"/>
        <v>-123.25</v>
      </c>
      <c r="AJ85" s="218">
        <f t="shared" si="58"/>
        <v>0</v>
      </c>
      <c r="AK85" s="224">
        <f t="shared" si="59"/>
        <v>0</v>
      </c>
      <c r="AL85" s="220">
        <f t="shared" si="60"/>
        <v>2.8</v>
      </c>
      <c r="AM85" s="218">
        <f t="shared" si="61"/>
        <v>0</v>
      </c>
      <c r="AN85" s="218">
        <f t="shared" si="62"/>
        <v>0</v>
      </c>
      <c r="AO85" s="218">
        <f t="shared" si="63"/>
        <v>0</v>
      </c>
      <c r="AP85" s="218">
        <f>ROUND(AV85*'[1]数据-取费表'!$B$41/(1+'[1]数据-取费表'!$B$42),0)</f>
        <v>0</v>
      </c>
      <c r="AQ85" s="218">
        <f>ROUND(AV85*'[1]数据-取费表'!B$51/(1+'[1]数据-取费表'!C$42),0)</f>
        <v>0</v>
      </c>
      <c r="AR85" s="218">
        <f t="shared" si="64"/>
        <v>0</v>
      </c>
      <c r="AS85" s="218">
        <f t="shared" si="77"/>
        <v>0</v>
      </c>
      <c r="AT85" s="223">
        <f t="shared" si="92"/>
        <v>8.6</v>
      </c>
      <c r="AU85" s="224">
        <f t="shared" si="78"/>
        <v>0.23</v>
      </c>
      <c r="AV85" s="218">
        <f t="shared" si="79"/>
        <v>0</v>
      </c>
      <c r="AW85" s="218">
        <f t="shared" si="80"/>
        <v>0</v>
      </c>
      <c r="AX85" s="218">
        <f t="shared" si="65"/>
        <v>0</v>
      </c>
      <c r="AY85" s="218">
        <f t="shared" si="89"/>
        <v>153.44</v>
      </c>
      <c r="AZ85" s="227">
        <f t="shared" si="90"/>
        <v>0</v>
      </c>
      <c r="BA85" s="227">
        <f t="shared" si="81"/>
        <v>0</v>
      </c>
      <c r="BB85" s="229">
        <f t="shared" si="66"/>
        <v>0</v>
      </c>
      <c r="BC85" s="229">
        <f t="shared" si="91"/>
        <v>0</v>
      </c>
      <c r="BD85" s="229">
        <f t="shared" si="82"/>
        <v>0</v>
      </c>
      <c r="BE85" s="227">
        <f t="shared" si="83"/>
        <v>0</v>
      </c>
      <c r="BF85" s="227">
        <f t="shared" si="84"/>
        <v>0</v>
      </c>
      <c r="BG85" s="227">
        <f t="shared" si="67"/>
        <v>0</v>
      </c>
      <c r="BH85" s="227">
        <f t="shared" si="68"/>
        <v>0</v>
      </c>
      <c r="BI85" s="227">
        <f>ROUND(BE85*'[1]数据-取费表'!$B$51/(1+'[1]数据-取费表'!$C$42),0)</f>
        <v>0</v>
      </c>
      <c r="BJ85" s="227">
        <f>ROUND(BG85*'[1]数据-取费表'!B$41/(1+'[1]数据-取费表'!C$42),0)</f>
        <v>0</v>
      </c>
      <c r="BK85" s="227">
        <f t="shared" si="69"/>
        <v>0</v>
      </c>
      <c r="BL85" s="227">
        <f t="shared" si="70"/>
        <v>0</v>
      </c>
      <c r="BM85" s="227">
        <f t="shared" si="85"/>
        <v>0</v>
      </c>
      <c r="BN85" s="228">
        <f t="shared" si="71"/>
        <v>0</v>
      </c>
      <c r="BO85" s="229"/>
      <c r="BP85" s="229"/>
      <c r="BQ85" s="229"/>
      <c r="BR85" s="194"/>
    </row>
    <row r="86" spans="1:74" x14ac:dyDescent="0.2">
      <c r="A86" s="146">
        <v>69</v>
      </c>
      <c r="B86" s="125" t="s">
        <v>82</v>
      </c>
      <c r="C86" s="126" t="s">
        <v>85</v>
      </c>
      <c r="D86" s="127">
        <v>1005</v>
      </c>
      <c r="E86" s="127">
        <v>241.13</v>
      </c>
      <c r="F86" s="127" t="s">
        <v>83</v>
      </c>
      <c r="G86" s="127" t="s">
        <v>75</v>
      </c>
      <c r="H86" s="128">
        <v>56009</v>
      </c>
      <c r="I86" s="128">
        <v>44987</v>
      </c>
      <c r="J86" s="127">
        <f>IF(F86="商业",[1]项目基本情况!D$15,[1]项目基本情况!E$15)</f>
        <v>30.19</v>
      </c>
      <c r="K86" s="127" t="s">
        <v>84</v>
      </c>
      <c r="L86" s="218">
        <f>SUM(E86:E88)</f>
        <v>526.37</v>
      </c>
      <c r="M86" s="127">
        <v>9</v>
      </c>
      <c r="N86" s="127" t="s">
        <v>11</v>
      </c>
      <c r="O86" s="127">
        <v>2008</v>
      </c>
      <c r="P86" s="218">
        <f t="shared" si="54"/>
        <v>98.39</v>
      </c>
      <c r="Q86" s="218">
        <f>ROUND(P86*'[1]数据-取费表'!B$52,0)</f>
        <v>2952</v>
      </c>
      <c r="R86" s="218">
        <f t="shared" si="86"/>
        <v>5964599</v>
      </c>
      <c r="S86" s="218">
        <f t="shared" si="72"/>
        <v>89469</v>
      </c>
      <c r="T86" s="220">
        <v>0.8</v>
      </c>
      <c r="U86" s="218">
        <f t="shared" si="87"/>
        <v>4771679</v>
      </c>
      <c r="V86" s="218">
        <f t="shared" si="55"/>
        <v>4772</v>
      </c>
      <c r="W86" s="218">
        <f t="shared" si="73"/>
        <v>6269</v>
      </c>
      <c r="X86" s="218">
        <f>ROUND(AC86*'[1]数据-取费表'!$B$41/(1+'[1]数据-取费表'!$C$42),0)</f>
        <v>66624</v>
      </c>
      <c r="Y86" s="218">
        <f>ROUND(AC86*'[1]数据-取费表'!$B$51/(1+'[1]数据-取费表'!$C$42),0)</f>
        <v>142766</v>
      </c>
      <c r="Z86" s="218">
        <f t="shared" si="56"/>
        <v>212342</v>
      </c>
      <c r="AA86" s="218">
        <f t="shared" si="57"/>
        <v>312852</v>
      </c>
      <c r="AB86" s="240">
        <f>ROUND(AC86/365/L86,2)</f>
        <v>6.5</v>
      </c>
      <c r="AC86" s="218">
        <v>1249204</v>
      </c>
      <c r="AD86" s="218">
        <f t="shared" si="75"/>
        <v>4685</v>
      </c>
      <c r="AE86" s="218">
        <f t="shared" si="76"/>
        <v>1253889</v>
      </c>
      <c r="AF86" s="225">
        <v>1.95E-2</v>
      </c>
      <c r="AG86" s="218"/>
      <c r="AH86" s="226">
        <v>45473</v>
      </c>
      <c r="AI86" s="218">
        <f t="shared" si="88"/>
        <v>1.33</v>
      </c>
      <c r="AJ86" s="218">
        <f t="shared" si="58"/>
        <v>941037</v>
      </c>
      <c r="AK86" s="224">
        <f t="shared" si="59"/>
        <v>1179694</v>
      </c>
      <c r="AL86" s="220">
        <f t="shared" si="60"/>
        <v>0.73</v>
      </c>
      <c r="AM86" s="218">
        <f t="shared" si="61"/>
        <v>4354157</v>
      </c>
      <c r="AN86" s="218">
        <f t="shared" si="62"/>
        <v>4354</v>
      </c>
      <c r="AO86" s="218">
        <f t="shared" si="63"/>
        <v>7758</v>
      </c>
      <c r="AP86" s="218">
        <f>ROUND(AV86*'[1]数据-取费表'!$B$41/(1+'[1]数据-取费表'!$B$42),0)</f>
        <v>82445</v>
      </c>
      <c r="AQ86" s="218">
        <f>ROUND(AV86*'[1]数据-取费表'!B$51/(1+'[1]数据-取费表'!C$42),0)</f>
        <v>176667</v>
      </c>
      <c r="AR86" s="218">
        <f t="shared" si="64"/>
        <v>262064</v>
      </c>
      <c r="AS86" s="218">
        <f t="shared" si="77"/>
        <v>363645</v>
      </c>
      <c r="AT86" s="223">
        <f t="shared" si="92"/>
        <v>8.6</v>
      </c>
      <c r="AU86" s="224">
        <f t="shared" si="78"/>
        <v>8.94</v>
      </c>
      <c r="AV86" s="218">
        <f t="shared" si="79"/>
        <v>1545838</v>
      </c>
      <c r="AW86" s="218">
        <f t="shared" si="80"/>
        <v>5797</v>
      </c>
      <c r="AX86" s="218">
        <f t="shared" si="65"/>
        <v>1551635</v>
      </c>
      <c r="AY86" s="218">
        <f t="shared" si="89"/>
        <v>28.86</v>
      </c>
      <c r="AZ86" s="227">
        <f t="shared" si="90"/>
        <v>1187990</v>
      </c>
      <c r="BA86" s="227">
        <f t="shared" si="81"/>
        <v>23735370</v>
      </c>
      <c r="BB86" s="229">
        <f t="shared" si="66"/>
        <v>22103968</v>
      </c>
      <c r="BC86" s="229">
        <f t="shared" si="91"/>
        <v>356352</v>
      </c>
      <c r="BD86" s="229">
        <f t="shared" si="82"/>
        <v>2364</v>
      </c>
      <c r="BE86" s="227">
        <f t="shared" si="83"/>
        <v>1487048</v>
      </c>
      <c r="BF86" s="227">
        <f t="shared" si="84"/>
        <v>5576</v>
      </c>
      <c r="BG86" s="227">
        <f t="shared" si="67"/>
        <v>1492624</v>
      </c>
      <c r="BH86" s="227">
        <f t="shared" si="68"/>
        <v>7463</v>
      </c>
      <c r="BI86" s="227">
        <f>ROUND(BE86*'[1]数据-取费表'!$B$51/(1+'[1]数据-取费表'!$C$42),0)</f>
        <v>169948</v>
      </c>
      <c r="BJ86" s="227">
        <f>ROUND(BG86*'[1]数据-取费表'!B$41/(1+'[1]数据-取费表'!C$42),0)</f>
        <v>79607</v>
      </c>
      <c r="BK86" s="227">
        <f t="shared" si="69"/>
        <v>354211</v>
      </c>
      <c r="BL86" s="227">
        <f t="shared" si="70"/>
        <v>1138413</v>
      </c>
      <c r="BM86" s="227">
        <f t="shared" si="85"/>
        <v>1429514</v>
      </c>
      <c r="BN86" s="228">
        <f t="shared" si="71"/>
        <v>249820</v>
      </c>
      <c r="BO86" s="229">
        <f>BD86/$BD$234*$BS$3</f>
        <v>3283.8938423753984</v>
      </c>
      <c r="BP86" s="229"/>
      <c r="BQ86" s="229"/>
      <c r="BR86" s="194"/>
    </row>
    <row r="87" spans="1:74" x14ac:dyDescent="0.2">
      <c r="A87" s="146">
        <v>70</v>
      </c>
      <c r="B87" s="125" t="s">
        <v>82</v>
      </c>
      <c r="C87" s="126" t="s">
        <v>85</v>
      </c>
      <c r="D87" s="127">
        <v>1006</v>
      </c>
      <c r="E87" s="127">
        <v>145.26</v>
      </c>
      <c r="F87" s="127" t="s">
        <v>83</v>
      </c>
      <c r="G87" s="127" t="s">
        <v>75</v>
      </c>
      <c r="H87" s="128">
        <v>56009</v>
      </c>
      <c r="I87" s="128">
        <v>44987</v>
      </c>
      <c r="J87" s="127">
        <f>IF(F87="商业",[1]项目基本情况!D$15,[1]项目基本情况!E$15)</f>
        <v>30.19</v>
      </c>
      <c r="K87" s="127" t="s">
        <v>84</v>
      </c>
      <c r="L87" s="218"/>
      <c r="M87" s="127">
        <v>9</v>
      </c>
      <c r="N87" s="127" t="s">
        <v>11</v>
      </c>
      <c r="O87" s="127">
        <v>2008</v>
      </c>
      <c r="P87" s="218">
        <f t="shared" si="54"/>
        <v>0</v>
      </c>
      <c r="Q87" s="218">
        <f>ROUND(P87*'[1]数据-取费表'!B$52,0)</f>
        <v>0</v>
      </c>
      <c r="R87" s="218">
        <f t="shared" si="86"/>
        <v>0</v>
      </c>
      <c r="S87" s="218">
        <f t="shared" si="72"/>
        <v>0</v>
      </c>
      <c r="T87" s="220">
        <v>0.8</v>
      </c>
      <c r="U87" s="218">
        <f t="shared" si="87"/>
        <v>0</v>
      </c>
      <c r="V87" s="218">
        <f t="shared" si="55"/>
        <v>0</v>
      </c>
      <c r="W87" s="218">
        <f t="shared" si="73"/>
        <v>0</v>
      </c>
      <c r="X87" s="218">
        <f>ROUND(AC87*'[1]数据-取费表'!$B$41/(1+'[1]数据-取费表'!$C$42),0)</f>
        <v>0</v>
      </c>
      <c r="Y87" s="218">
        <f>ROUND(AC87*'[1]数据-取费表'!$B$51/(1+'[1]数据-取费表'!$C$42),0)</f>
        <v>0</v>
      </c>
      <c r="Z87" s="218">
        <f t="shared" si="56"/>
        <v>0</v>
      </c>
      <c r="AA87" s="218">
        <f t="shared" si="57"/>
        <v>0</v>
      </c>
      <c r="AB87" s="240">
        <f t="shared" si="74"/>
        <v>8.6</v>
      </c>
      <c r="AC87" s="218"/>
      <c r="AD87" s="218">
        <f t="shared" si="75"/>
        <v>0</v>
      </c>
      <c r="AE87" s="218">
        <f t="shared" si="76"/>
        <v>0</v>
      </c>
      <c r="AF87" s="225"/>
      <c r="AG87" s="218"/>
      <c r="AH87" s="226"/>
      <c r="AI87" s="218">
        <f t="shared" si="88"/>
        <v>-123.25</v>
      </c>
      <c r="AJ87" s="218">
        <f t="shared" si="58"/>
        <v>0</v>
      </c>
      <c r="AK87" s="224">
        <f t="shared" si="59"/>
        <v>0</v>
      </c>
      <c r="AL87" s="220">
        <f t="shared" si="60"/>
        <v>2.8</v>
      </c>
      <c r="AM87" s="218">
        <f t="shared" si="61"/>
        <v>0</v>
      </c>
      <c r="AN87" s="218">
        <f t="shared" si="62"/>
        <v>0</v>
      </c>
      <c r="AO87" s="218">
        <f t="shared" si="63"/>
        <v>0</v>
      </c>
      <c r="AP87" s="218">
        <f>ROUND(AV87*'[1]数据-取费表'!$B$41/(1+'[1]数据-取费表'!$B$42),0)</f>
        <v>0</v>
      </c>
      <c r="AQ87" s="218">
        <f>ROUND(AV87*'[1]数据-取费表'!B$51/(1+'[1]数据-取费表'!C$42),0)</f>
        <v>0</v>
      </c>
      <c r="AR87" s="218">
        <f t="shared" si="64"/>
        <v>0</v>
      </c>
      <c r="AS87" s="218">
        <f t="shared" si="77"/>
        <v>0</v>
      </c>
      <c r="AT87" s="223">
        <f t="shared" si="92"/>
        <v>8.6</v>
      </c>
      <c r="AU87" s="224">
        <f t="shared" si="78"/>
        <v>0.23</v>
      </c>
      <c r="AV87" s="218">
        <f t="shared" si="79"/>
        <v>0</v>
      </c>
      <c r="AW87" s="218">
        <f t="shared" si="80"/>
        <v>0</v>
      </c>
      <c r="AX87" s="218">
        <f t="shared" si="65"/>
        <v>0</v>
      </c>
      <c r="AY87" s="218">
        <f t="shared" si="89"/>
        <v>153.44</v>
      </c>
      <c r="AZ87" s="227">
        <f t="shared" si="90"/>
        <v>0</v>
      </c>
      <c r="BA87" s="227">
        <f t="shared" si="81"/>
        <v>0</v>
      </c>
      <c r="BB87" s="229">
        <f t="shared" si="66"/>
        <v>0</v>
      </c>
      <c r="BC87" s="229">
        <f t="shared" si="91"/>
        <v>0</v>
      </c>
      <c r="BD87" s="229">
        <f t="shared" si="82"/>
        <v>0</v>
      </c>
      <c r="BE87" s="227">
        <f t="shared" si="83"/>
        <v>0</v>
      </c>
      <c r="BF87" s="227">
        <f t="shared" si="84"/>
        <v>0</v>
      </c>
      <c r="BG87" s="227">
        <f t="shared" si="67"/>
        <v>0</v>
      </c>
      <c r="BH87" s="227">
        <f t="shared" si="68"/>
        <v>0</v>
      </c>
      <c r="BI87" s="227">
        <f>ROUND(BE87*'[1]数据-取费表'!$B$51/(1+'[1]数据-取费表'!$C$42),0)</f>
        <v>0</v>
      </c>
      <c r="BJ87" s="227">
        <f>ROUND(BG87*'[1]数据-取费表'!B$41/(1+'[1]数据-取费表'!C$42),0)</f>
        <v>0</v>
      </c>
      <c r="BK87" s="227">
        <f t="shared" si="69"/>
        <v>0</v>
      </c>
      <c r="BL87" s="227">
        <f t="shared" si="70"/>
        <v>0</v>
      </c>
      <c r="BM87" s="227">
        <f t="shared" si="85"/>
        <v>0</v>
      </c>
      <c r="BN87" s="228">
        <f t="shared" si="71"/>
        <v>0</v>
      </c>
      <c r="BO87" s="229"/>
      <c r="BP87" s="229"/>
      <c r="BQ87" s="229"/>
      <c r="BR87" s="194"/>
    </row>
    <row r="88" spans="1:74" x14ac:dyDescent="0.2">
      <c r="A88" s="146">
        <v>71</v>
      </c>
      <c r="B88" s="125" t="s">
        <v>82</v>
      </c>
      <c r="C88" s="126" t="s">
        <v>85</v>
      </c>
      <c r="D88" s="127">
        <v>1007</v>
      </c>
      <c r="E88" s="127">
        <v>139.97999999999999</v>
      </c>
      <c r="F88" s="127" t="s">
        <v>83</v>
      </c>
      <c r="G88" s="127" t="s">
        <v>75</v>
      </c>
      <c r="H88" s="128">
        <v>56009</v>
      </c>
      <c r="I88" s="128">
        <v>44987</v>
      </c>
      <c r="J88" s="127">
        <f>IF(F88="商业",[1]项目基本情况!D$15,[1]项目基本情况!E$15)</f>
        <v>30.19</v>
      </c>
      <c r="K88" s="127" t="s">
        <v>84</v>
      </c>
      <c r="L88" s="218"/>
      <c r="M88" s="127">
        <v>9</v>
      </c>
      <c r="N88" s="127" t="s">
        <v>11</v>
      </c>
      <c r="O88" s="127">
        <v>2008</v>
      </c>
      <c r="P88" s="218">
        <f t="shared" si="54"/>
        <v>0</v>
      </c>
      <c r="Q88" s="218">
        <f>ROUND(P88*'[1]数据-取费表'!B$52,0)</f>
        <v>0</v>
      </c>
      <c r="R88" s="218">
        <f t="shared" si="86"/>
        <v>0</v>
      </c>
      <c r="S88" s="218">
        <f t="shared" si="72"/>
        <v>0</v>
      </c>
      <c r="T88" s="220">
        <v>0.8</v>
      </c>
      <c r="U88" s="218">
        <f t="shared" si="87"/>
        <v>0</v>
      </c>
      <c r="V88" s="218">
        <f t="shared" si="55"/>
        <v>0</v>
      </c>
      <c r="W88" s="218">
        <f t="shared" si="73"/>
        <v>0</v>
      </c>
      <c r="X88" s="218">
        <f>ROUND(AC88*'[1]数据-取费表'!$B$41/(1+'[1]数据-取费表'!$C$42),0)</f>
        <v>0</v>
      </c>
      <c r="Y88" s="218">
        <f>ROUND(AC88*'[1]数据-取费表'!$B$51/(1+'[1]数据-取费表'!$C$42),0)</f>
        <v>0</v>
      </c>
      <c r="Z88" s="218">
        <f t="shared" si="56"/>
        <v>0</v>
      </c>
      <c r="AA88" s="218">
        <f t="shared" si="57"/>
        <v>0</v>
      </c>
      <c r="AB88" s="240">
        <f t="shared" si="74"/>
        <v>8.6</v>
      </c>
      <c r="AC88" s="218"/>
      <c r="AD88" s="218">
        <f t="shared" si="75"/>
        <v>0</v>
      </c>
      <c r="AE88" s="218">
        <f t="shared" si="76"/>
        <v>0</v>
      </c>
      <c r="AF88" s="225"/>
      <c r="AG88" s="218"/>
      <c r="AH88" s="226"/>
      <c r="AI88" s="218">
        <f t="shared" si="88"/>
        <v>-123.25</v>
      </c>
      <c r="AJ88" s="218">
        <f t="shared" si="58"/>
        <v>0</v>
      </c>
      <c r="AK88" s="224">
        <f t="shared" si="59"/>
        <v>0</v>
      </c>
      <c r="AL88" s="220">
        <f t="shared" si="60"/>
        <v>2.8</v>
      </c>
      <c r="AM88" s="218">
        <f t="shared" si="61"/>
        <v>0</v>
      </c>
      <c r="AN88" s="218">
        <f t="shared" si="62"/>
        <v>0</v>
      </c>
      <c r="AO88" s="218">
        <f t="shared" si="63"/>
        <v>0</v>
      </c>
      <c r="AP88" s="218">
        <f>ROUND(AV88*'[1]数据-取费表'!$B$41/(1+'[1]数据-取费表'!$B$42),0)</f>
        <v>0</v>
      </c>
      <c r="AQ88" s="218">
        <f>ROUND(AV88*'[1]数据-取费表'!B$51/(1+'[1]数据-取费表'!C$42),0)</f>
        <v>0</v>
      </c>
      <c r="AR88" s="218">
        <f t="shared" si="64"/>
        <v>0</v>
      </c>
      <c r="AS88" s="218">
        <f t="shared" si="77"/>
        <v>0</v>
      </c>
      <c r="AT88" s="223">
        <f t="shared" si="92"/>
        <v>8.6</v>
      </c>
      <c r="AU88" s="224">
        <f t="shared" si="78"/>
        <v>0.23</v>
      </c>
      <c r="AV88" s="218">
        <f t="shared" si="79"/>
        <v>0</v>
      </c>
      <c r="AW88" s="218">
        <f t="shared" si="80"/>
        <v>0</v>
      </c>
      <c r="AX88" s="218">
        <f t="shared" si="65"/>
        <v>0</v>
      </c>
      <c r="AY88" s="218">
        <f t="shared" si="89"/>
        <v>153.44</v>
      </c>
      <c r="AZ88" s="227">
        <f t="shared" si="90"/>
        <v>0</v>
      </c>
      <c r="BA88" s="227">
        <f t="shared" si="81"/>
        <v>0</v>
      </c>
      <c r="BB88" s="229">
        <f t="shared" si="66"/>
        <v>0</v>
      </c>
      <c r="BC88" s="229">
        <f t="shared" si="91"/>
        <v>0</v>
      </c>
      <c r="BD88" s="229">
        <f t="shared" si="82"/>
        <v>0</v>
      </c>
      <c r="BE88" s="227">
        <f t="shared" si="83"/>
        <v>0</v>
      </c>
      <c r="BF88" s="227">
        <f t="shared" si="84"/>
        <v>0</v>
      </c>
      <c r="BG88" s="227">
        <f t="shared" si="67"/>
        <v>0</v>
      </c>
      <c r="BH88" s="227">
        <f t="shared" si="68"/>
        <v>0</v>
      </c>
      <c r="BI88" s="227">
        <f>ROUND(BE88*'[1]数据-取费表'!$B$51/(1+'[1]数据-取费表'!$C$42),0)</f>
        <v>0</v>
      </c>
      <c r="BJ88" s="227">
        <f>ROUND(BG88*'[1]数据-取费表'!B$41/(1+'[1]数据-取费表'!C$42),0)</f>
        <v>0</v>
      </c>
      <c r="BK88" s="227">
        <f t="shared" si="69"/>
        <v>0</v>
      </c>
      <c r="BL88" s="227">
        <f t="shared" si="70"/>
        <v>0</v>
      </c>
      <c r="BM88" s="227">
        <f t="shared" si="85"/>
        <v>0</v>
      </c>
      <c r="BN88" s="228">
        <f t="shared" si="71"/>
        <v>0</v>
      </c>
      <c r="BO88" s="229"/>
      <c r="BP88" s="229"/>
      <c r="BQ88" s="229"/>
      <c r="BR88" s="194"/>
    </row>
    <row r="89" spans="1:74" x14ac:dyDescent="0.2">
      <c r="A89" s="146">
        <v>72</v>
      </c>
      <c r="B89" s="125" t="s">
        <v>82</v>
      </c>
      <c r="C89" s="126" t="s">
        <v>85</v>
      </c>
      <c r="D89" s="127">
        <v>1008</v>
      </c>
      <c r="E89" s="127">
        <v>135.16999999999999</v>
      </c>
      <c r="F89" s="127" t="s">
        <v>83</v>
      </c>
      <c r="G89" s="127" t="s">
        <v>75</v>
      </c>
      <c r="H89" s="128">
        <v>56009</v>
      </c>
      <c r="I89" s="128">
        <v>44987</v>
      </c>
      <c r="J89" s="127">
        <f>IF(F89="商业",[1]项目基本情况!D$15,[1]项目基本情况!E$15)</f>
        <v>30.19</v>
      </c>
      <c r="K89" s="127"/>
      <c r="L89" s="127">
        <v>135.16999999999999</v>
      </c>
      <c r="M89" s="127">
        <v>9</v>
      </c>
      <c r="N89" s="127" t="s">
        <v>11</v>
      </c>
      <c r="O89" s="127">
        <v>2008</v>
      </c>
      <c r="P89" s="129">
        <f t="shared" si="54"/>
        <v>25.27</v>
      </c>
      <c r="Q89" s="129">
        <f>ROUND(P89*'[1]数据-取费表'!B$52,0)</f>
        <v>758</v>
      </c>
      <c r="R89" s="129">
        <f t="shared" si="86"/>
        <v>1531688</v>
      </c>
      <c r="S89" s="130">
        <f t="shared" si="72"/>
        <v>22975</v>
      </c>
      <c r="T89" s="131">
        <v>0.8</v>
      </c>
      <c r="U89" s="129">
        <f t="shared" si="87"/>
        <v>1225350</v>
      </c>
      <c r="V89" s="130">
        <f t="shared" si="55"/>
        <v>1225</v>
      </c>
      <c r="W89" s="130">
        <f t="shared" si="73"/>
        <v>1917</v>
      </c>
      <c r="X89" s="129">
        <f>ROUND(AC89*'[1]数据-取费表'!$B$41/(1+'[1]数据-取费表'!$C$42),0)</f>
        <v>20366</v>
      </c>
      <c r="Y89" s="129">
        <f>ROUND(AC89*'[1]数据-取费表'!$B$51/(1+'[1]数据-取费表'!$C$42),0)</f>
        <v>43642</v>
      </c>
      <c r="Z89" s="129">
        <f t="shared" si="56"/>
        <v>64766</v>
      </c>
      <c r="AA89" s="130">
        <f t="shared" si="57"/>
        <v>90883</v>
      </c>
      <c r="AB89" s="132">
        <f t="shared" si="74"/>
        <v>8.6</v>
      </c>
      <c r="AC89" s="129">
        <f>ROUND(AB89*365*L89*(1-I$2),0)</f>
        <v>381869</v>
      </c>
      <c r="AD89" s="129">
        <f t="shared" si="75"/>
        <v>1432</v>
      </c>
      <c r="AE89" s="129">
        <f t="shared" si="76"/>
        <v>383301</v>
      </c>
      <c r="AF89" s="133">
        <f>H$2</f>
        <v>0.03</v>
      </c>
      <c r="AG89" s="134"/>
      <c r="AH89" s="128">
        <f>H89</f>
        <v>56009</v>
      </c>
      <c r="AI89" s="127">
        <f t="shared" si="88"/>
        <v>30.19</v>
      </c>
      <c r="AJ89" s="130">
        <f t="shared" si="58"/>
        <v>292418</v>
      </c>
      <c r="AK89" s="135">
        <f t="shared" si="59"/>
        <v>6026131</v>
      </c>
      <c r="AL89" s="131">
        <f t="shared" si="60"/>
        <v>0.25</v>
      </c>
      <c r="AM89" s="129">
        <f t="shared" si="61"/>
        <v>0</v>
      </c>
      <c r="AN89" s="130">
        <f t="shared" si="62"/>
        <v>0</v>
      </c>
      <c r="AO89" s="130">
        <f t="shared" si="63"/>
        <v>0</v>
      </c>
      <c r="AP89" s="129">
        <f>ROUND(AV89*'[1]数据-取费表'!$B$41/(1+'[1]数据-取费表'!$B$42),0)</f>
        <v>0</v>
      </c>
      <c r="AQ89" s="129">
        <f>ROUND(AV89*'[1]数据-取费表'!B$51/(1+'[1]数据-取费表'!C$42),0)</f>
        <v>0</v>
      </c>
      <c r="AR89" s="136">
        <f t="shared" si="64"/>
        <v>0</v>
      </c>
      <c r="AS89" s="130">
        <f t="shared" si="77"/>
        <v>0</v>
      </c>
      <c r="AT89" s="137">
        <f t="shared" si="92"/>
        <v>8.6</v>
      </c>
      <c r="AU89" s="138">
        <f t="shared" si="78"/>
        <v>20.99</v>
      </c>
      <c r="AV89" s="129">
        <f t="shared" si="79"/>
        <v>0</v>
      </c>
      <c r="AW89" s="129">
        <f t="shared" si="80"/>
        <v>0</v>
      </c>
      <c r="AX89" s="129">
        <f t="shared" si="65"/>
        <v>0</v>
      </c>
      <c r="AY89" s="127">
        <f t="shared" si="89"/>
        <v>0</v>
      </c>
      <c r="AZ89" s="139">
        <f t="shared" si="90"/>
        <v>0</v>
      </c>
      <c r="BA89" s="139">
        <f t="shared" si="81"/>
        <v>0</v>
      </c>
      <c r="BB89" s="140">
        <f t="shared" si="66"/>
        <v>0</v>
      </c>
      <c r="BC89" s="140">
        <f t="shared" si="91"/>
        <v>91510</v>
      </c>
      <c r="BD89" s="140">
        <f t="shared" si="82"/>
        <v>611.76</v>
      </c>
      <c r="BE89" s="139">
        <f t="shared" si="83"/>
        <v>0</v>
      </c>
      <c r="BF89" s="139">
        <f t="shared" si="84"/>
        <v>0</v>
      </c>
      <c r="BG89" s="139">
        <f t="shared" si="67"/>
        <v>0</v>
      </c>
      <c r="BH89" s="139">
        <f t="shared" si="68"/>
        <v>0</v>
      </c>
      <c r="BI89" s="139">
        <f>ROUND(BE89*'[1]数据-取费表'!$B$51/(1+'[1]数据-取费表'!$C$42),0)</f>
        <v>0</v>
      </c>
      <c r="BJ89" s="139">
        <f>ROUND(BG89*'[1]数据-取费表'!B$41/(1+'[1]数据-取费表'!C$42),0)</f>
        <v>0</v>
      </c>
      <c r="BK89" s="139">
        <f t="shared" si="69"/>
        <v>0</v>
      </c>
      <c r="BL89" s="139">
        <f t="shared" si="70"/>
        <v>0</v>
      </c>
      <c r="BM89" s="139">
        <f t="shared" si="85"/>
        <v>0</v>
      </c>
      <c r="BN89" s="165">
        <f t="shared" si="71"/>
        <v>0</v>
      </c>
      <c r="BO89" s="140">
        <f>BD89/$BD$234*$BS$3</f>
        <v>849.81171616394818</v>
      </c>
      <c r="BP89" s="229"/>
      <c r="BQ89" s="229"/>
      <c r="BR89" s="194"/>
    </row>
    <row r="90" spans="1:74" x14ac:dyDescent="0.2">
      <c r="A90" s="146">
        <v>73</v>
      </c>
      <c r="B90" s="125" t="s">
        <v>82</v>
      </c>
      <c r="C90" s="126" t="s">
        <v>85</v>
      </c>
      <c r="D90" s="127">
        <v>1009</v>
      </c>
      <c r="E90" s="127">
        <v>135.16999999999999</v>
      </c>
      <c r="F90" s="127" t="s">
        <v>83</v>
      </c>
      <c r="G90" s="127" t="s">
        <v>75</v>
      </c>
      <c r="H90" s="128">
        <v>56009</v>
      </c>
      <c r="I90" s="128">
        <v>44987</v>
      </c>
      <c r="J90" s="127">
        <f>IF(F90="商业",[1]项目基本情况!D$15,[1]项目基本情况!E$15)</f>
        <v>30.19</v>
      </c>
      <c r="K90" s="127"/>
      <c r="L90" s="127">
        <v>135.16999999999999</v>
      </c>
      <c r="M90" s="127">
        <v>9</v>
      </c>
      <c r="N90" s="127" t="s">
        <v>11</v>
      </c>
      <c r="O90" s="127">
        <v>2008</v>
      </c>
      <c r="P90" s="129">
        <f t="shared" si="54"/>
        <v>25.27</v>
      </c>
      <c r="Q90" s="129">
        <f>ROUND(P90*'[1]数据-取费表'!B$52,0)</f>
        <v>758</v>
      </c>
      <c r="R90" s="129">
        <f t="shared" si="86"/>
        <v>1531688</v>
      </c>
      <c r="S90" s="130">
        <f t="shared" si="72"/>
        <v>22975</v>
      </c>
      <c r="T90" s="131">
        <v>0.8</v>
      </c>
      <c r="U90" s="129">
        <f t="shared" si="87"/>
        <v>1225350</v>
      </c>
      <c r="V90" s="130">
        <f t="shared" si="55"/>
        <v>1225</v>
      </c>
      <c r="W90" s="130">
        <f t="shared" si="73"/>
        <v>1917</v>
      </c>
      <c r="X90" s="129">
        <f>ROUND(AC90*'[1]数据-取费表'!$B$41/(1+'[1]数据-取费表'!$C$42),0)</f>
        <v>20366</v>
      </c>
      <c r="Y90" s="129">
        <f>ROUND(AC90*'[1]数据-取费表'!$B$51/(1+'[1]数据-取费表'!$C$42),0)</f>
        <v>43642</v>
      </c>
      <c r="Z90" s="129">
        <f t="shared" si="56"/>
        <v>64766</v>
      </c>
      <c r="AA90" s="130">
        <f t="shared" si="57"/>
        <v>90883</v>
      </c>
      <c r="AB90" s="132">
        <f t="shared" si="74"/>
        <v>8.6</v>
      </c>
      <c r="AC90" s="129">
        <f>ROUND(AB90*365*L90*(1-I$2),0)</f>
        <v>381869</v>
      </c>
      <c r="AD90" s="129">
        <f t="shared" si="75"/>
        <v>1432</v>
      </c>
      <c r="AE90" s="129">
        <f t="shared" si="76"/>
        <v>383301</v>
      </c>
      <c r="AF90" s="133">
        <f>H$2</f>
        <v>0.03</v>
      </c>
      <c r="AG90" s="134"/>
      <c r="AH90" s="128">
        <f>H90</f>
        <v>56009</v>
      </c>
      <c r="AI90" s="127">
        <f t="shared" si="88"/>
        <v>30.19</v>
      </c>
      <c r="AJ90" s="130">
        <f t="shared" si="58"/>
        <v>292418</v>
      </c>
      <c r="AK90" s="135">
        <f t="shared" si="59"/>
        <v>6026131</v>
      </c>
      <c r="AL90" s="131">
        <f t="shared" si="60"/>
        <v>0.25</v>
      </c>
      <c r="AM90" s="129">
        <f t="shared" si="61"/>
        <v>0</v>
      </c>
      <c r="AN90" s="130">
        <f t="shared" si="62"/>
        <v>0</v>
      </c>
      <c r="AO90" s="130">
        <f t="shared" si="63"/>
        <v>0</v>
      </c>
      <c r="AP90" s="129">
        <f>ROUND(AV90*'[1]数据-取费表'!$B$41/(1+'[1]数据-取费表'!$B$42),0)</f>
        <v>0</v>
      </c>
      <c r="AQ90" s="129">
        <f>ROUND(AV90*'[1]数据-取费表'!B$51/(1+'[1]数据-取费表'!C$42),0)</f>
        <v>0</v>
      </c>
      <c r="AR90" s="136">
        <f t="shared" si="64"/>
        <v>0</v>
      </c>
      <c r="AS90" s="130">
        <f t="shared" si="77"/>
        <v>0</v>
      </c>
      <c r="AT90" s="137">
        <f t="shared" si="92"/>
        <v>8.6</v>
      </c>
      <c r="AU90" s="138">
        <f t="shared" si="78"/>
        <v>20.99</v>
      </c>
      <c r="AV90" s="129">
        <f t="shared" si="79"/>
        <v>0</v>
      </c>
      <c r="AW90" s="129">
        <f t="shared" si="80"/>
        <v>0</v>
      </c>
      <c r="AX90" s="129">
        <f t="shared" si="65"/>
        <v>0</v>
      </c>
      <c r="AY90" s="127">
        <f t="shared" si="89"/>
        <v>0</v>
      </c>
      <c r="AZ90" s="139">
        <f t="shared" si="90"/>
        <v>0</v>
      </c>
      <c r="BA90" s="139">
        <f t="shared" si="81"/>
        <v>0</v>
      </c>
      <c r="BB90" s="140">
        <f t="shared" si="66"/>
        <v>0</v>
      </c>
      <c r="BC90" s="140">
        <f t="shared" si="91"/>
        <v>91510</v>
      </c>
      <c r="BD90" s="140">
        <f t="shared" si="82"/>
        <v>611.76</v>
      </c>
      <c r="BE90" s="139">
        <f t="shared" si="83"/>
        <v>0</v>
      </c>
      <c r="BF90" s="139">
        <f t="shared" si="84"/>
        <v>0</v>
      </c>
      <c r="BG90" s="139">
        <f t="shared" si="67"/>
        <v>0</v>
      </c>
      <c r="BH90" s="139">
        <f t="shared" si="68"/>
        <v>0</v>
      </c>
      <c r="BI90" s="139">
        <f>ROUND(BE90*'[1]数据-取费表'!$B$51/(1+'[1]数据-取费表'!$C$42),0)</f>
        <v>0</v>
      </c>
      <c r="BJ90" s="139">
        <f>ROUND(BG90*'[1]数据-取费表'!B$41/(1+'[1]数据-取费表'!C$42),0)</f>
        <v>0</v>
      </c>
      <c r="BK90" s="139">
        <f t="shared" si="69"/>
        <v>0</v>
      </c>
      <c r="BL90" s="139">
        <f t="shared" si="70"/>
        <v>0</v>
      </c>
      <c r="BM90" s="139">
        <f t="shared" si="85"/>
        <v>0</v>
      </c>
      <c r="BN90" s="165">
        <f t="shared" si="71"/>
        <v>0</v>
      </c>
      <c r="BO90" s="140">
        <f>BD90/$BD$234*$BS$3</f>
        <v>849.81171616394818</v>
      </c>
      <c r="BP90" s="229"/>
      <c r="BQ90" s="229"/>
      <c r="BR90" s="194"/>
    </row>
    <row r="91" spans="1:74" x14ac:dyDescent="0.2">
      <c r="A91" s="146">
        <v>74</v>
      </c>
      <c r="B91" s="125" t="s">
        <v>82</v>
      </c>
      <c r="C91" s="126" t="s">
        <v>85</v>
      </c>
      <c r="D91" s="127">
        <v>1010</v>
      </c>
      <c r="E91" s="127">
        <v>139.97999999999999</v>
      </c>
      <c r="F91" s="127" t="s">
        <v>83</v>
      </c>
      <c r="G91" s="127" t="s">
        <v>75</v>
      </c>
      <c r="H91" s="128">
        <v>56009</v>
      </c>
      <c r="I91" s="128">
        <v>44987</v>
      </c>
      <c r="J91" s="127">
        <f>IF(F91="商业",[1]项目基本情况!D$15,[1]项目基本情况!E$15)</f>
        <v>30.19</v>
      </c>
      <c r="K91" s="127"/>
      <c r="L91" s="127">
        <v>139.97999999999999</v>
      </c>
      <c r="M91" s="127">
        <v>9</v>
      </c>
      <c r="N91" s="127" t="s">
        <v>11</v>
      </c>
      <c r="O91" s="127">
        <v>2008</v>
      </c>
      <c r="P91" s="129">
        <f t="shared" si="54"/>
        <v>26.16</v>
      </c>
      <c r="Q91" s="129">
        <f>ROUND(P91*'[1]数据-取费表'!B$52,0)</f>
        <v>785</v>
      </c>
      <c r="R91" s="129">
        <f t="shared" si="86"/>
        <v>1586193</v>
      </c>
      <c r="S91" s="130">
        <f t="shared" si="72"/>
        <v>23793</v>
      </c>
      <c r="T91" s="131">
        <v>0.8</v>
      </c>
      <c r="U91" s="129">
        <f t="shared" si="87"/>
        <v>1268954</v>
      </c>
      <c r="V91" s="130">
        <f t="shared" si="55"/>
        <v>1269</v>
      </c>
      <c r="W91" s="130">
        <f t="shared" si="73"/>
        <v>1985</v>
      </c>
      <c r="X91" s="129">
        <f>ROUND(AC91*'[1]数据-取费表'!$B$41/(1+'[1]数据-取费表'!$C$42),0)</f>
        <v>21091</v>
      </c>
      <c r="Y91" s="129">
        <f>ROUND(AC91*'[1]数据-取费表'!$B$51/(1+'[1]数据-取费表'!$C$42),0)</f>
        <v>45195</v>
      </c>
      <c r="Z91" s="129">
        <f t="shared" si="56"/>
        <v>67071</v>
      </c>
      <c r="AA91" s="130">
        <f t="shared" si="57"/>
        <v>94118</v>
      </c>
      <c r="AB91" s="132">
        <f t="shared" si="74"/>
        <v>8.6</v>
      </c>
      <c r="AC91" s="129">
        <f>ROUND(AB91*365*L91*(1-I$2),0)</f>
        <v>395457</v>
      </c>
      <c r="AD91" s="129">
        <f t="shared" si="75"/>
        <v>1483</v>
      </c>
      <c r="AE91" s="129">
        <f t="shared" si="76"/>
        <v>396940</v>
      </c>
      <c r="AF91" s="133">
        <f>H$2</f>
        <v>0.03</v>
      </c>
      <c r="AG91" s="134"/>
      <c r="AH91" s="128">
        <f>H91</f>
        <v>56009</v>
      </c>
      <c r="AI91" s="127">
        <f t="shared" si="88"/>
        <v>30.19</v>
      </c>
      <c r="AJ91" s="130">
        <f t="shared" si="58"/>
        <v>302822</v>
      </c>
      <c r="AK91" s="135">
        <f t="shared" si="59"/>
        <v>6240536</v>
      </c>
      <c r="AL91" s="131">
        <f t="shared" si="60"/>
        <v>0.25</v>
      </c>
      <c r="AM91" s="129">
        <f t="shared" si="61"/>
        <v>0</v>
      </c>
      <c r="AN91" s="130">
        <f t="shared" si="62"/>
        <v>0</v>
      </c>
      <c r="AO91" s="130">
        <f t="shared" si="63"/>
        <v>0</v>
      </c>
      <c r="AP91" s="129">
        <f>ROUND(AV91*'[1]数据-取费表'!$B$41/(1+'[1]数据-取费表'!$B$42),0)</f>
        <v>0</v>
      </c>
      <c r="AQ91" s="129">
        <f>ROUND(AV91*'[1]数据-取费表'!B$51/(1+'[1]数据-取费表'!C$42),0)</f>
        <v>0</v>
      </c>
      <c r="AR91" s="136">
        <f t="shared" si="64"/>
        <v>0</v>
      </c>
      <c r="AS91" s="130">
        <f t="shared" si="77"/>
        <v>0</v>
      </c>
      <c r="AT91" s="137">
        <f t="shared" si="92"/>
        <v>8.6</v>
      </c>
      <c r="AU91" s="138">
        <f t="shared" si="78"/>
        <v>20.99</v>
      </c>
      <c r="AV91" s="129">
        <f t="shared" si="79"/>
        <v>0</v>
      </c>
      <c r="AW91" s="129">
        <f t="shared" si="80"/>
        <v>0</v>
      </c>
      <c r="AX91" s="129">
        <f t="shared" si="65"/>
        <v>0</v>
      </c>
      <c r="AY91" s="127">
        <f t="shared" si="89"/>
        <v>0</v>
      </c>
      <c r="AZ91" s="139">
        <f t="shared" si="90"/>
        <v>0</v>
      </c>
      <c r="BA91" s="139">
        <f t="shared" si="81"/>
        <v>0</v>
      </c>
      <c r="BB91" s="140">
        <f t="shared" si="66"/>
        <v>0</v>
      </c>
      <c r="BC91" s="140">
        <f t="shared" si="91"/>
        <v>94766</v>
      </c>
      <c r="BD91" s="140">
        <f t="shared" si="82"/>
        <v>633.53</v>
      </c>
      <c r="BE91" s="139">
        <f t="shared" si="83"/>
        <v>0</v>
      </c>
      <c r="BF91" s="139">
        <f t="shared" si="84"/>
        <v>0</v>
      </c>
      <c r="BG91" s="139">
        <f t="shared" si="67"/>
        <v>0</v>
      </c>
      <c r="BH91" s="139">
        <f t="shared" si="68"/>
        <v>0</v>
      </c>
      <c r="BI91" s="139">
        <f>ROUND(BE91*'[1]数据-取费表'!$B$51/(1+'[1]数据-取费表'!$C$42),0)</f>
        <v>0</v>
      </c>
      <c r="BJ91" s="139">
        <f>ROUND(BG91*'[1]数据-取费表'!B$41/(1+'[1]数据-取费表'!C$42),0)</f>
        <v>0</v>
      </c>
      <c r="BK91" s="139">
        <f t="shared" si="69"/>
        <v>0</v>
      </c>
      <c r="BL91" s="139">
        <f t="shared" si="70"/>
        <v>0</v>
      </c>
      <c r="BM91" s="139">
        <f t="shared" si="85"/>
        <v>0</v>
      </c>
      <c r="BN91" s="165">
        <f t="shared" si="71"/>
        <v>0</v>
      </c>
      <c r="BO91" s="140">
        <f>BD91/$BD$234*$BS$3</f>
        <v>880.05298898480794</v>
      </c>
      <c r="BP91" s="229"/>
      <c r="BQ91" s="229"/>
      <c r="BR91" s="194"/>
    </row>
    <row r="92" spans="1:74" x14ac:dyDescent="0.2">
      <c r="A92" s="146">
        <v>75</v>
      </c>
      <c r="B92" s="125" t="s">
        <v>82</v>
      </c>
      <c r="C92" s="126" t="s">
        <v>85</v>
      </c>
      <c r="D92" s="127">
        <v>1011</v>
      </c>
      <c r="E92" s="127">
        <v>140.79</v>
      </c>
      <c r="F92" s="127" t="s">
        <v>83</v>
      </c>
      <c r="G92" s="127" t="s">
        <v>75</v>
      </c>
      <c r="H92" s="128">
        <v>56009</v>
      </c>
      <c r="I92" s="128">
        <v>44987</v>
      </c>
      <c r="J92" s="127">
        <f>IF(F92="商业",[1]项目基本情况!D$15,[1]项目基本情况!E$15)</f>
        <v>30.19</v>
      </c>
      <c r="K92" s="127" t="s">
        <v>84</v>
      </c>
      <c r="L92" s="127">
        <f>E92</f>
        <v>140.79</v>
      </c>
      <c r="M92" s="127">
        <v>9</v>
      </c>
      <c r="N92" s="127" t="s">
        <v>11</v>
      </c>
      <c r="O92" s="127">
        <v>2008</v>
      </c>
      <c r="P92" s="129">
        <f t="shared" si="54"/>
        <v>26.32</v>
      </c>
      <c r="Q92" s="129">
        <f>ROUND(P92*'[1]数据-取费表'!B$52,0)</f>
        <v>790</v>
      </c>
      <c r="R92" s="129">
        <f t="shared" si="86"/>
        <v>1595372</v>
      </c>
      <c r="S92" s="130">
        <f t="shared" si="72"/>
        <v>23931</v>
      </c>
      <c r="T92" s="131">
        <v>0.8</v>
      </c>
      <c r="U92" s="129">
        <f t="shared" si="87"/>
        <v>1276298</v>
      </c>
      <c r="V92" s="130">
        <f t="shared" si="55"/>
        <v>1276</v>
      </c>
      <c r="W92" s="130">
        <f t="shared" si="73"/>
        <v>1677</v>
      </c>
      <c r="X92" s="129">
        <f>ROUND(AC92*'[1]数据-取费表'!$B$41/(1+'[1]数据-取费表'!$C$42),0)</f>
        <v>17820</v>
      </c>
      <c r="Y92" s="129">
        <f>ROUND(AC92*'[1]数据-取费表'!$B$51/(1+'[1]数据-取费表'!$C$42),0)</f>
        <v>38186</v>
      </c>
      <c r="Z92" s="129">
        <f t="shared" si="56"/>
        <v>56796</v>
      </c>
      <c r="AA92" s="130">
        <f t="shared" si="57"/>
        <v>83680</v>
      </c>
      <c r="AB92" s="132">
        <f>ROUND(AC92/365/L92,2)</f>
        <v>6.5</v>
      </c>
      <c r="AC92" s="127">
        <v>334125</v>
      </c>
      <c r="AD92" s="129">
        <f t="shared" si="75"/>
        <v>1253</v>
      </c>
      <c r="AE92" s="129">
        <f t="shared" si="76"/>
        <v>335378</v>
      </c>
      <c r="AF92" s="134">
        <v>1.95E-2</v>
      </c>
      <c r="AG92" s="134"/>
      <c r="AH92" s="145">
        <v>45473</v>
      </c>
      <c r="AI92" s="127">
        <f t="shared" si="88"/>
        <v>1.33</v>
      </c>
      <c r="AJ92" s="130">
        <f t="shared" si="58"/>
        <v>251698</v>
      </c>
      <c r="AK92" s="135">
        <f t="shared" si="59"/>
        <v>315531</v>
      </c>
      <c r="AL92" s="131">
        <f t="shared" si="60"/>
        <v>0.73</v>
      </c>
      <c r="AM92" s="129">
        <f t="shared" si="61"/>
        <v>1164622</v>
      </c>
      <c r="AN92" s="130">
        <f t="shared" si="62"/>
        <v>1165</v>
      </c>
      <c r="AO92" s="130">
        <f t="shared" si="63"/>
        <v>2075</v>
      </c>
      <c r="AP92" s="129">
        <f>ROUND(AV92*'[1]数据-取费表'!$B$41/(1+'[1]数据-取费表'!$B$42),0)</f>
        <v>22052</v>
      </c>
      <c r="AQ92" s="129">
        <f>ROUND(AV92*'[1]数据-取费表'!B$51/(1+'[1]数据-取费表'!C$42),0)</f>
        <v>47254</v>
      </c>
      <c r="AR92" s="136">
        <f t="shared" si="64"/>
        <v>70096</v>
      </c>
      <c r="AS92" s="130">
        <f t="shared" si="77"/>
        <v>97267</v>
      </c>
      <c r="AT92" s="137">
        <f t="shared" si="92"/>
        <v>8.6</v>
      </c>
      <c r="AU92" s="138">
        <f t="shared" si="78"/>
        <v>8.94</v>
      </c>
      <c r="AV92" s="129">
        <f t="shared" si="79"/>
        <v>413471</v>
      </c>
      <c r="AW92" s="129">
        <f t="shared" si="80"/>
        <v>1551</v>
      </c>
      <c r="AX92" s="129">
        <f t="shared" si="65"/>
        <v>415022</v>
      </c>
      <c r="AY92" s="127">
        <f t="shared" si="89"/>
        <v>28.86</v>
      </c>
      <c r="AZ92" s="139">
        <f t="shared" si="90"/>
        <v>317755</v>
      </c>
      <c r="BA92" s="139">
        <f t="shared" si="81"/>
        <v>6348566</v>
      </c>
      <c r="BB92" s="140">
        <f t="shared" si="66"/>
        <v>5912210</v>
      </c>
      <c r="BC92" s="140">
        <f t="shared" si="91"/>
        <v>95315</v>
      </c>
      <c r="BD92" s="140">
        <f t="shared" si="82"/>
        <v>632.30999999999995</v>
      </c>
      <c r="BE92" s="139">
        <f t="shared" si="83"/>
        <v>397746</v>
      </c>
      <c r="BF92" s="139">
        <f t="shared" si="84"/>
        <v>1492</v>
      </c>
      <c r="BG92" s="139">
        <f t="shared" si="67"/>
        <v>399238</v>
      </c>
      <c r="BH92" s="139">
        <f t="shared" si="68"/>
        <v>1996</v>
      </c>
      <c r="BI92" s="139">
        <f>ROUND(BE92*'[1]数据-取费表'!$B$51/(1+'[1]数据-取费表'!$C$42),0)</f>
        <v>45457</v>
      </c>
      <c r="BJ92" s="139">
        <f>ROUND(BG92*'[1]数据-取费表'!B$41/(1+'[1]数据-取费表'!C$42),0)</f>
        <v>21293</v>
      </c>
      <c r="BK92" s="139">
        <f t="shared" si="69"/>
        <v>94743</v>
      </c>
      <c r="BL92" s="139">
        <f t="shared" si="70"/>
        <v>304495</v>
      </c>
      <c r="BM92" s="139">
        <f t="shared" si="85"/>
        <v>382357</v>
      </c>
      <c r="BN92" s="165">
        <f t="shared" si="71"/>
        <v>66826</v>
      </c>
      <c r="BO92" s="140">
        <f>BD92/$BD$234*$BS$3</f>
        <v>878.35825527596785</v>
      </c>
      <c r="BP92" s="229"/>
      <c r="BQ92" s="229"/>
      <c r="BR92" s="194"/>
    </row>
    <row r="93" spans="1:74" ht="12.75" customHeight="1" x14ac:dyDescent="0.2">
      <c r="A93" s="146">
        <v>76</v>
      </c>
      <c r="B93" s="141" t="s">
        <v>82</v>
      </c>
      <c r="C93" s="142" t="s">
        <v>85</v>
      </c>
      <c r="D93" s="143">
        <v>1101</v>
      </c>
      <c r="E93" s="143">
        <v>134.94</v>
      </c>
      <c r="F93" s="143" t="s">
        <v>83</v>
      </c>
      <c r="G93" s="143" t="s">
        <v>75</v>
      </c>
      <c r="H93" s="144">
        <v>56009</v>
      </c>
      <c r="I93" s="144">
        <v>44987</v>
      </c>
      <c r="J93" s="143">
        <f>IF(F93="商业",[1]项目基本情况!D$15,[1]项目基本情况!E$15)</f>
        <v>30.19</v>
      </c>
      <c r="K93" s="143" t="s">
        <v>84</v>
      </c>
      <c r="L93" s="230">
        <f>SUM(E93:E113)</f>
        <v>3356.12</v>
      </c>
      <c r="M93" s="143">
        <v>10</v>
      </c>
      <c r="N93" s="143" t="s">
        <v>11</v>
      </c>
      <c r="O93" s="143">
        <v>2008</v>
      </c>
      <c r="P93" s="230">
        <f t="shared" si="54"/>
        <v>627.30999999999995</v>
      </c>
      <c r="Q93" s="230">
        <f>ROUND(P93*'[1]数据-取费表'!B$52,0)</f>
        <v>18819</v>
      </c>
      <c r="R93" s="230">
        <f t="shared" si="86"/>
        <v>38030109</v>
      </c>
      <c r="S93" s="230">
        <f t="shared" si="72"/>
        <v>570452</v>
      </c>
      <c r="T93" s="233">
        <v>0.8</v>
      </c>
      <c r="U93" s="230">
        <f t="shared" si="87"/>
        <v>30424087</v>
      </c>
      <c r="V93" s="230">
        <f t="shared" si="55"/>
        <v>30424</v>
      </c>
      <c r="W93" s="230">
        <f t="shared" si="73"/>
        <v>18873</v>
      </c>
      <c r="X93" s="230">
        <f>ROUND(AC93*'[1]数据-取费表'!$B$41/(1+'[1]数据-取费表'!$C$42),0)</f>
        <v>200562</v>
      </c>
      <c r="Y93" s="230">
        <f>ROUND(AC93*'[1]数据-取费表'!$B$51/(1+'[1]数据-取费表'!$C$42),0)</f>
        <v>429775</v>
      </c>
      <c r="Z93" s="230">
        <f t="shared" si="56"/>
        <v>649156</v>
      </c>
      <c r="AA93" s="230">
        <f t="shared" si="57"/>
        <v>1268905</v>
      </c>
      <c r="AB93" s="231">
        <f>ROUND(AC93/365/L93,2)</f>
        <v>3.07</v>
      </c>
      <c r="AC93" s="230">
        <v>3760533</v>
      </c>
      <c r="AD93" s="230">
        <f t="shared" si="75"/>
        <v>14102</v>
      </c>
      <c r="AE93" s="230">
        <f t="shared" si="76"/>
        <v>3774635</v>
      </c>
      <c r="AF93" s="232">
        <v>8.0199999999999994E-2</v>
      </c>
      <c r="AG93" s="230"/>
      <c r="AH93" s="236">
        <v>48579</v>
      </c>
      <c r="AI93" s="230">
        <f t="shared" si="88"/>
        <v>9.84</v>
      </c>
      <c r="AJ93" s="230">
        <f t="shared" si="58"/>
        <v>2505730</v>
      </c>
      <c r="AK93" s="235">
        <f t="shared" si="59"/>
        <v>25998918</v>
      </c>
      <c r="AL93" s="233">
        <f t="shared" si="60"/>
        <v>0.6</v>
      </c>
      <c r="AM93" s="230">
        <f t="shared" si="61"/>
        <v>22818065</v>
      </c>
      <c r="AN93" s="230">
        <f t="shared" si="62"/>
        <v>22818</v>
      </c>
      <c r="AO93" s="230">
        <f t="shared" si="63"/>
        <v>63631</v>
      </c>
      <c r="AP93" s="230">
        <f>ROUND(AV93*'[1]数据-取费表'!$B$41/(1+'[1]数据-取费表'!$B$42),0)</f>
        <v>676191</v>
      </c>
      <c r="AQ93" s="230">
        <f>ROUND(AV93*'[1]数据-取费表'!B$51/(1+'[1]数据-取费表'!C$42),0)</f>
        <v>1448981</v>
      </c>
      <c r="AR93" s="230">
        <f t="shared" si="64"/>
        <v>2143991</v>
      </c>
      <c r="AS93" s="230">
        <f t="shared" si="77"/>
        <v>2800892</v>
      </c>
      <c r="AT93" s="234">
        <f t="shared" si="92"/>
        <v>8.6</v>
      </c>
      <c r="AU93" s="235">
        <f t="shared" si="78"/>
        <v>11.5</v>
      </c>
      <c r="AV93" s="230">
        <f t="shared" si="79"/>
        <v>12678582</v>
      </c>
      <c r="AW93" s="230">
        <f t="shared" si="80"/>
        <v>47545</v>
      </c>
      <c r="AX93" s="230">
        <f t="shared" si="65"/>
        <v>12726127</v>
      </c>
      <c r="AY93" s="230">
        <f t="shared" si="89"/>
        <v>20.350000000000001</v>
      </c>
      <c r="AZ93" s="237">
        <f t="shared" si="90"/>
        <v>9925235</v>
      </c>
      <c r="BA93" s="237">
        <f t="shared" si="81"/>
        <v>153312077</v>
      </c>
      <c r="BB93" s="239">
        <f t="shared" si="66"/>
        <v>90525757</v>
      </c>
      <c r="BC93" s="239">
        <f t="shared" si="91"/>
        <v>2272093</v>
      </c>
      <c r="BD93" s="239">
        <f t="shared" si="82"/>
        <v>11879.68</v>
      </c>
      <c r="BE93" s="237">
        <f t="shared" si="83"/>
        <v>9481375</v>
      </c>
      <c r="BF93" s="237">
        <f t="shared" si="84"/>
        <v>35555</v>
      </c>
      <c r="BG93" s="237">
        <f t="shared" si="67"/>
        <v>9516930</v>
      </c>
      <c r="BH93" s="237">
        <f t="shared" si="68"/>
        <v>47585</v>
      </c>
      <c r="BI93" s="237">
        <f>ROUND(BE93*'[1]数据-取费表'!$B$51/(1+'[1]数据-取费表'!$C$42),0)</f>
        <v>1083586</v>
      </c>
      <c r="BJ93" s="237">
        <f>ROUND(BG93*'[1]数据-取费表'!B$41/(1+'[1]数据-取费表'!C$42),0)</f>
        <v>507570</v>
      </c>
      <c r="BK93" s="237">
        <f t="shared" si="69"/>
        <v>2258436</v>
      </c>
      <c r="BL93" s="237">
        <f t="shared" si="70"/>
        <v>7258494</v>
      </c>
      <c r="BM93" s="237">
        <f t="shared" si="85"/>
        <v>61031023</v>
      </c>
      <c r="BN93" s="238">
        <f t="shared" si="71"/>
        <v>35032105</v>
      </c>
      <c r="BO93" s="239">
        <f>BD93/$BD$234*$BS$3</f>
        <v>16502.372251011071</v>
      </c>
      <c r="BP93" s="239">
        <f>BO93/BV95*BV93</f>
        <v>8347.9421027456301</v>
      </c>
      <c r="BQ93" s="239">
        <f>ROUND(BP93*10000/BS93,0)</f>
        <v>48695</v>
      </c>
      <c r="BR93" s="195" t="s">
        <v>125</v>
      </c>
      <c r="BS93" s="20">
        <f>SUM(E93:E103)</f>
        <v>1714.3500000000001</v>
      </c>
      <c r="BT93" s="20" t="s">
        <v>89</v>
      </c>
      <c r="BU93" s="20">
        <v>1</v>
      </c>
      <c r="BV93" s="20">
        <f>ROUND(BU93*BS93,2)</f>
        <v>1714.35</v>
      </c>
    </row>
    <row r="94" spans="1:74" x14ac:dyDescent="0.2">
      <c r="A94" s="146">
        <v>77</v>
      </c>
      <c r="B94" s="141" t="s">
        <v>82</v>
      </c>
      <c r="C94" s="142" t="s">
        <v>85</v>
      </c>
      <c r="D94" s="143">
        <v>1102</v>
      </c>
      <c r="E94" s="143">
        <v>215.59</v>
      </c>
      <c r="F94" s="143" t="s">
        <v>83</v>
      </c>
      <c r="G94" s="143" t="s">
        <v>75</v>
      </c>
      <c r="H94" s="144">
        <v>56009</v>
      </c>
      <c r="I94" s="144">
        <v>44987</v>
      </c>
      <c r="J94" s="143">
        <f>IF(F94="商业",[1]项目基本情况!D$15,[1]项目基本情况!E$15)</f>
        <v>30.19</v>
      </c>
      <c r="K94" s="143" t="s">
        <v>84</v>
      </c>
      <c r="L94" s="230"/>
      <c r="M94" s="143">
        <v>10</v>
      </c>
      <c r="N94" s="143" t="s">
        <v>11</v>
      </c>
      <c r="O94" s="143">
        <v>2008</v>
      </c>
      <c r="P94" s="230">
        <f t="shared" si="54"/>
        <v>0</v>
      </c>
      <c r="Q94" s="230">
        <f>ROUND(P94*'[1]数据-取费表'!B$52,0)</f>
        <v>0</v>
      </c>
      <c r="R94" s="230">
        <f t="shared" si="86"/>
        <v>0</v>
      </c>
      <c r="S94" s="230">
        <f t="shared" si="72"/>
        <v>0</v>
      </c>
      <c r="T94" s="233">
        <v>0.8</v>
      </c>
      <c r="U94" s="230">
        <f t="shared" si="87"/>
        <v>0</v>
      </c>
      <c r="V94" s="230">
        <f t="shared" si="55"/>
        <v>0</v>
      </c>
      <c r="W94" s="230">
        <f t="shared" si="73"/>
        <v>0</v>
      </c>
      <c r="X94" s="230">
        <f>ROUND(AC94*'[1]数据-取费表'!$B$41/(1+'[1]数据-取费表'!$C$42),0)</f>
        <v>0</v>
      </c>
      <c r="Y94" s="230">
        <f>ROUND(AC94*'[1]数据-取费表'!$B$51/(1+'[1]数据-取费表'!$C$42),0)</f>
        <v>0</v>
      </c>
      <c r="Z94" s="230">
        <f t="shared" si="56"/>
        <v>0</v>
      </c>
      <c r="AA94" s="230">
        <f t="shared" si="57"/>
        <v>0</v>
      </c>
      <c r="AB94" s="231">
        <f t="shared" si="74"/>
        <v>8.6</v>
      </c>
      <c r="AC94" s="230"/>
      <c r="AD94" s="230">
        <f t="shared" si="75"/>
        <v>0</v>
      </c>
      <c r="AE94" s="230">
        <f t="shared" si="76"/>
        <v>0</v>
      </c>
      <c r="AF94" s="232"/>
      <c r="AG94" s="230"/>
      <c r="AH94" s="236"/>
      <c r="AI94" s="230">
        <f t="shared" si="88"/>
        <v>-123.25</v>
      </c>
      <c r="AJ94" s="230">
        <f t="shared" si="58"/>
        <v>0</v>
      </c>
      <c r="AK94" s="235">
        <f t="shared" si="59"/>
        <v>0</v>
      </c>
      <c r="AL94" s="233">
        <f t="shared" si="60"/>
        <v>2.8</v>
      </c>
      <c r="AM94" s="230">
        <f t="shared" si="61"/>
        <v>0</v>
      </c>
      <c r="AN94" s="230">
        <f t="shared" si="62"/>
        <v>0</v>
      </c>
      <c r="AO94" s="230">
        <f t="shared" si="63"/>
        <v>0</v>
      </c>
      <c r="AP94" s="230">
        <f>ROUND(AV94*'[1]数据-取费表'!$B$41/(1+'[1]数据-取费表'!$B$42),0)</f>
        <v>0</v>
      </c>
      <c r="AQ94" s="230">
        <f>ROUND(AV94*'[1]数据-取费表'!B$51/(1+'[1]数据-取费表'!C$42),0)</f>
        <v>0</v>
      </c>
      <c r="AR94" s="230">
        <f t="shared" si="64"/>
        <v>0</v>
      </c>
      <c r="AS94" s="230">
        <f t="shared" si="77"/>
        <v>0</v>
      </c>
      <c r="AT94" s="234">
        <f t="shared" si="92"/>
        <v>8.6</v>
      </c>
      <c r="AU94" s="235">
        <f t="shared" si="78"/>
        <v>0.23</v>
      </c>
      <c r="AV94" s="230">
        <f t="shared" si="79"/>
        <v>0</v>
      </c>
      <c r="AW94" s="230">
        <f t="shared" si="80"/>
        <v>0</v>
      </c>
      <c r="AX94" s="230">
        <f t="shared" si="65"/>
        <v>0</v>
      </c>
      <c r="AY94" s="230">
        <f t="shared" si="89"/>
        <v>153.44</v>
      </c>
      <c r="AZ94" s="237">
        <f t="shared" si="90"/>
        <v>0</v>
      </c>
      <c r="BA94" s="237">
        <f t="shared" si="81"/>
        <v>0</v>
      </c>
      <c r="BB94" s="239">
        <f t="shared" si="66"/>
        <v>0</v>
      </c>
      <c r="BC94" s="239">
        <f t="shared" si="91"/>
        <v>0</v>
      </c>
      <c r="BD94" s="239">
        <f t="shared" si="82"/>
        <v>0</v>
      </c>
      <c r="BE94" s="237">
        <f t="shared" si="83"/>
        <v>0</v>
      </c>
      <c r="BF94" s="237">
        <f t="shared" si="84"/>
        <v>0</v>
      </c>
      <c r="BG94" s="237">
        <f t="shared" si="67"/>
        <v>0</v>
      </c>
      <c r="BH94" s="237">
        <f t="shared" si="68"/>
        <v>0</v>
      </c>
      <c r="BI94" s="237">
        <f>ROUND(BE94*'[1]数据-取费表'!$B$51/(1+'[1]数据-取费表'!$C$42),0)</f>
        <v>0</v>
      </c>
      <c r="BJ94" s="237">
        <f>ROUND(BG94*'[1]数据-取费表'!B$41/(1+'[1]数据-取费表'!C$42),0)</f>
        <v>0</v>
      </c>
      <c r="BK94" s="237">
        <f t="shared" si="69"/>
        <v>0</v>
      </c>
      <c r="BL94" s="237">
        <f t="shared" si="70"/>
        <v>0</v>
      </c>
      <c r="BM94" s="237">
        <f t="shared" si="85"/>
        <v>0</v>
      </c>
      <c r="BN94" s="238">
        <f t="shared" si="71"/>
        <v>0</v>
      </c>
      <c r="BO94" s="239"/>
      <c r="BP94" s="239"/>
      <c r="BQ94" s="239"/>
      <c r="BR94" s="195"/>
      <c r="BS94" s="20">
        <f>SUM(E104:E113)</f>
        <v>1641.77</v>
      </c>
      <c r="BT94" s="20" t="s">
        <v>90</v>
      </c>
      <c r="BU94" s="20">
        <v>1.02</v>
      </c>
      <c r="BV94" s="20">
        <f>ROUND(BU94*BS94,2)</f>
        <v>1674.61</v>
      </c>
    </row>
    <row r="95" spans="1:74" x14ac:dyDescent="0.2">
      <c r="A95" s="146">
        <v>78</v>
      </c>
      <c r="B95" s="141" t="s">
        <v>82</v>
      </c>
      <c r="C95" s="142" t="s">
        <v>85</v>
      </c>
      <c r="D95" s="143">
        <v>1103</v>
      </c>
      <c r="E95" s="143">
        <v>124.16</v>
      </c>
      <c r="F95" s="143" t="s">
        <v>83</v>
      </c>
      <c r="G95" s="143" t="s">
        <v>75</v>
      </c>
      <c r="H95" s="144">
        <v>56009</v>
      </c>
      <c r="I95" s="144">
        <v>44987</v>
      </c>
      <c r="J95" s="143">
        <f>IF(F95="商业",[1]项目基本情况!D$15,[1]项目基本情况!E$15)</f>
        <v>30.19</v>
      </c>
      <c r="K95" s="143" t="s">
        <v>84</v>
      </c>
      <c r="L95" s="230"/>
      <c r="M95" s="143">
        <v>10</v>
      </c>
      <c r="N95" s="143" t="s">
        <v>11</v>
      </c>
      <c r="O95" s="143">
        <v>2008</v>
      </c>
      <c r="P95" s="230">
        <f t="shared" si="54"/>
        <v>0</v>
      </c>
      <c r="Q95" s="230">
        <f>ROUND(P95*'[1]数据-取费表'!B$52,0)</f>
        <v>0</v>
      </c>
      <c r="R95" s="230">
        <f t="shared" si="86"/>
        <v>0</v>
      </c>
      <c r="S95" s="230">
        <f t="shared" si="72"/>
        <v>0</v>
      </c>
      <c r="T95" s="233">
        <v>0.8</v>
      </c>
      <c r="U95" s="230">
        <f t="shared" si="87"/>
        <v>0</v>
      </c>
      <c r="V95" s="230">
        <f t="shared" si="55"/>
        <v>0</v>
      </c>
      <c r="W95" s="230">
        <f t="shared" si="73"/>
        <v>0</v>
      </c>
      <c r="X95" s="230">
        <f>ROUND(AC95*'[1]数据-取费表'!$B$41/(1+'[1]数据-取费表'!$C$42),0)</f>
        <v>0</v>
      </c>
      <c r="Y95" s="230">
        <f>ROUND(AC95*'[1]数据-取费表'!$B$51/(1+'[1]数据-取费表'!$C$42),0)</f>
        <v>0</v>
      </c>
      <c r="Z95" s="230">
        <f t="shared" si="56"/>
        <v>0</v>
      </c>
      <c r="AA95" s="230">
        <f t="shared" si="57"/>
        <v>0</v>
      </c>
      <c r="AB95" s="231">
        <f t="shared" si="74"/>
        <v>8.6</v>
      </c>
      <c r="AC95" s="230"/>
      <c r="AD95" s="230">
        <f t="shared" si="75"/>
        <v>0</v>
      </c>
      <c r="AE95" s="230">
        <f t="shared" si="76"/>
        <v>0</v>
      </c>
      <c r="AF95" s="232"/>
      <c r="AG95" s="230"/>
      <c r="AH95" s="236"/>
      <c r="AI95" s="230">
        <f t="shared" si="88"/>
        <v>-123.25</v>
      </c>
      <c r="AJ95" s="230">
        <f t="shared" si="58"/>
        <v>0</v>
      </c>
      <c r="AK95" s="235">
        <f t="shared" si="59"/>
        <v>0</v>
      </c>
      <c r="AL95" s="233">
        <f t="shared" si="60"/>
        <v>2.8</v>
      </c>
      <c r="AM95" s="230">
        <f t="shared" si="61"/>
        <v>0</v>
      </c>
      <c r="AN95" s="230">
        <f t="shared" si="62"/>
        <v>0</v>
      </c>
      <c r="AO95" s="230">
        <f t="shared" si="63"/>
        <v>0</v>
      </c>
      <c r="AP95" s="230">
        <f>ROUND(AV95*'[1]数据-取费表'!$B$41/(1+'[1]数据-取费表'!$B$42),0)</f>
        <v>0</v>
      </c>
      <c r="AQ95" s="230">
        <f>ROUND(AV95*'[1]数据-取费表'!B$51/(1+'[1]数据-取费表'!C$42),0)</f>
        <v>0</v>
      </c>
      <c r="AR95" s="230">
        <f t="shared" si="64"/>
        <v>0</v>
      </c>
      <c r="AS95" s="230">
        <f t="shared" si="77"/>
        <v>0</v>
      </c>
      <c r="AT95" s="234">
        <f t="shared" si="92"/>
        <v>8.6</v>
      </c>
      <c r="AU95" s="235">
        <f t="shared" si="78"/>
        <v>0.23</v>
      </c>
      <c r="AV95" s="230">
        <f t="shared" si="79"/>
        <v>0</v>
      </c>
      <c r="AW95" s="230">
        <f t="shared" si="80"/>
        <v>0</v>
      </c>
      <c r="AX95" s="230">
        <f t="shared" si="65"/>
        <v>0</v>
      </c>
      <c r="AY95" s="230">
        <f t="shared" si="89"/>
        <v>153.44</v>
      </c>
      <c r="AZ95" s="237">
        <f t="shared" si="90"/>
        <v>0</v>
      </c>
      <c r="BA95" s="237">
        <f t="shared" si="81"/>
        <v>0</v>
      </c>
      <c r="BB95" s="239">
        <f t="shared" si="66"/>
        <v>0</v>
      </c>
      <c r="BC95" s="239">
        <f t="shared" si="91"/>
        <v>0</v>
      </c>
      <c r="BD95" s="239">
        <f t="shared" si="82"/>
        <v>0</v>
      </c>
      <c r="BE95" s="237">
        <f t="shared" si="83"/>
        <v>0</v>
      </c>
      <c r="BF95" s="237">
        <f t="shared" si="84"/>
        <v>0</v>
      </c>
      <c r="BG95" s="237">
        <f t="shared" si="67"/>
        <v>0</v>
      </c>
      <c r="BH95" s="237">
        <f t="shared" si="68"/>
        <v>0</v>
      </c>
      <c r="BI95" s="237">
        <f>ROUND(BE95*'[1]数据-取费表'!$B$51/(1+'[1]数据-取费表'!$C$42),0)</f>
        <v>0</v>
      </c>
      <c r="BJ95" s="237">
        <f>ROUND(BG95*'[1]数据-取费表'!B$41/(1+'[1]数据-取费表'!C$42),0)</f>
        <v>0</v>
      </c>
      <c r="BK95" s="237">
        <f t="shared" si="69"/>
        <v>0</v>
      </c>
      <c r="BL95" s="237">
        <f t="shared" si="70"/>
        <v>0</v>
      </c>
      <c r="BM95" s="237">
        <f t="shared" si="85"/>
        <v>0</v>
      </c>
      <c r="BN95" s="238">
        <f t="shared" si="71"/>
        <v>0</v>
      </c>
      <c r="BO95" s="239"/>
      <c r="BP95" s="239"/>
      <c r="BQ95" s="239"/>
      <c r="BR95" s="195"/>
      <c r="BS95" s="20">
        <f>SUM(E93:E113)</f>
        <v>3356.12</v>
      </c>
      <c r="BV95" s="20">
        <f>BV93+BV94</f>
        <v>3388.96</v>
      </c>
    </row>
    <row r="96" spans="1:74" x14ac:dyDescent="0.2">
      <c r="A96" s="146">
        <v>79</v>
      </c>
      <c r="B96" s="141" t="s">
        <v>82</v>
      </c>
      <c r="C96" s="142" t="s">
        <v>85</v>
      </c>
      <c r="D96" s="143">
        <v>1105</v>
      </c>
      <c r="E96" s="143">
        <v>194.83</v>
      </c>
      <c r="F96" s="143" t="s">
        <v>83</v>
      </c>
      <c r="G96" s="143" t="s">
        <v>75</v>
      </c>
      <c r="H96" s="144">
        <v>56009</v>
      </c>
      <c r="I96" s="144">
        <v>44987</v>
      </c>
      <c r="J96" s="143">
        <f>IF(F96="商业",[1]项目基本情况!D$15,[1]项目基本情况!E$15)</f>
        <v>30.19</v>
      </c>
      <c r="K96" s="143" t="s">
        <v>84</v>
      </c>
      <c r="L96" s="230"/>
      <c r="M96" s="143">
        <v>10</v>
      </c>
      <c r="N96" s="143" t="s">
        <v>11</v>
      </c>
      <c r="O96" s="143">
        <v>2008</v>
      </c>
      <c r="P96" s="230">
        <f t="shared" si="54"/>
        <v>0</v>
      </c>
      <c r="Q96" s="230">
        <f>ROUND(P96*'[1]数据-取费表'!B$52,0)</f>
        <v>0</v>
      </c>
      <c r="R96" s="230">
        <f t="shared" si="86"/>
        <v>0</v>
      </c>
      <c r="S96" s="230">
        <f t="shared" si="72"/>
        <v>0</v>
      </c>
      <c r="T96" s="233">
        <v>0.8</v>
      </c>
      <c r="U96" s="230">
        <f t="shared" si="87"/>
        <v>0</v>
      </c>
      <c r="V96" s="230">
        <f t="shared" si="55"/>
        <v>0</v>
      </c>
      <c r="W96" s="230">
        <f t="shared" si="73"/>
        <v>0</v>
      </c>
      <c r="X96" s="230">
        <f>ROUND(AC96*'[1]数据-取费表'!$B$41/(1+'[1]数据-取费表'!$C$42),0)</f>
        <v>0</v>
      </c>
      <c r="Y96" s="230">
        <f>ROUND(AC96*'[1]数据-取费表'!$B$51/(1+'[1]数据-取费表'!$C$42),0)</f>
        <v>0</v>
      </c>
      <c r="Z96" s="230">
        <f t="shared" si="56"/>
        <v>0</v>
      </c>
      <c r="AA96" s="230">
        <f t="shared" si="57"/>
        <v>0</v>
      </c>
      <c r="AB96" s="231">
        <f t="shared" si="74"/>
        <v>8.6</v>
      </c>
      <c r="AC96" s="230"/>
      <c r="AD96" s="230">
        <f t="shared" si="75"/>
        <v>0</v>
      </c>
      <c r="AE96" s="230">
        <f t="shared" si="76"/>
        <v>0</v>
      </c>
      <c r="AF96" s="232"/>
      <c r="AG96" s="230"/>
      <c r="AH96" s="236"/>
      <c r="AI96" s="230">
        <f t="shared" si="88"/>
        <v>-123.25</v>
      </c>
      <c r="AJ96" s="230">
        <f t="shared" si="58"/>
        <v>0</v>
      </c>
      <c r="AK96" s="235">
        <f t="shared" si="59"/>
        <v>0</v>
      </c>
      <c r="AL96" s="233">
        <f t="shared" si="60"/>
        <v>2.8</v>
      </c>
      <c r="AM96" s="230">
        <f t="shared" si="61"/>
        <v>0</v>
      </c>
      <c r="AN96" s="230">
        <f t="shared" si="62"/>
        <v>0</v>
      </c>
      <c r="AO96" s="230">
        <f t="shared" si="63"/>
        <v>0</v>
      </c>
      <c r="AP96" s="230">
        <f>ROUND(AV96*'[1]数据-取费表'!$B$41/(1+'[1]数据-取费表'!$B$42),0)</f>
        <v>0</v>
      </c>
      <c r="AQ96" s="230">
        <f>ROUND(AV96*'[1]数据-取费表'!B$51/(1+'[1]数据-取费表'!C$42),0)</f>
        <v>0</v>
      </c>
      <c r="AR96" s="230">
        <f t="shared" si="64"/>
        <v>0</v>
      </c>
      <c r="AS96" s="230">
        <f t="shared" si="77"/>
        <v>0</v>
      </c>
      <c r="AT96" s="234">
        <f t="shared" si="92"/>
        <v>8.6</v>
      </c>
      <c r="AU96" s="235">
        <f t="shared" si="78"/>
        <v>0.23</v>
      </c>
      <c r="AV96" s="230">
        <f t="shared" si="79"/>
        <v>0</v>
      </c>
      <c r="AW96" s="230">
        <f t="shared" si="80"/>
        <v>0</v>
      </c>
      <c r="AX96" s="230">
        <f t="shared" si="65"/>
        <v>0</v>
      </c>
      <c r="AY96" s="230">
        <f t="shared" si="89"/>
        <v>153.44</v>
      </c>
      <c r="AZ96" s="237">
        <f t="shared" si="90"/>
        <v>0</v>
      </c>
      <c r="BA96" s="237">
        <f t="shared" si="81"/>
        <v>0</v>
      </c>
      <c r="BB96" s="239">
        <f t="shared" si="66"/>
        <v>0</v>
      </c>
      <c r="BC96" s="239">
        <f t="shared" si="91"/>
        <v>0</v>
      </c>
      <c r="BD96" s="239">
        <f t="shared" si="82"/>
        <v>0</v>
      </c>
      <c r="BE96" s="237">
        <f t="shared" si="83"/>
        <v>0</v>
      </c>
      <c r="BF96" s="237">
        <f t="shared" si="84"/>
        <v>0</v>
      </c>
      <c r="BG96" s="237">
        <f t="shared" si="67"/>
        <v>0</v>
      </c>
      <c r="BH96" s="237">
        <f t="shared" si="68"/>
        <v>0</v>
      </c>
      <c r="BI96" s="237">
        <f>ROUND(BE96*'[1]数据-取费表'!$B$51/(1+'[1]数据-取费表'!$C$42),0)</f>
        <v>0</v>
      </c>
      <c r="BJ96" s="237">
        <f>ROUND(BG96*'[1]数据-取费表'!B$41/(1+'[1]数据-取费表'!C$42),0)</f>
        <v>0</v>
      </c>
      <c r="BK96" s="237">
        <f t="shared" si="69"/>
        <v>0</v>
      </c>
      <c r="BL96" s="237">
        <f t="shared" si="70"/>
        <v>0</v>
      </c>
      <c r="BM96" s="237">
        <f t="shared" si="85"/>
        <v>0</v>
      </c>
      <c r="BN96" s="238">
        <f t="shared" si="71"/>
        <v>0</v>
      </c>
      <c r="BO96" s="239"/>
      <c r="BP96" s="239"/>
      <c r="BQ96" s="239"/>
      <c r="BR96" s="195"/>
    </row>
    <row r="97" spans="1:70" x14ac:dyDescent="0.2">
      <c r="A97" s="146">
        <v>80</v>
      </c>
      <c r="B97" s="141" t="s">
        <v>82</v>
      </c>
      <c r="C97" s="142" t="s">
        <v>85</v>
      </c>
      <c r="D97" s="143">
        <v>1106</v>
      </c>
      <c r="E97" s="143">
        <v>145.26</v>
      </c>
      <c r="F97" s="143" t="s">
        <v>83</v>
      </c>
      <c r="G97" s="143" t="s">
        <v>75</v>
      </c>
      <c r="H97" s="144">
        <v>56009</v>
      </c>
      <c r="I97" s="144">
        <v>44987</v>
      </c>
      <c r="J97" s="143">
        <f>IF(F97="商业",[1]项目基本情况!D$15,[1]项目基本情况!E$15)</f>
        <v>30.19</v>
      </c>
      <c r="K97" s="143" t="s">
        <v>84</v>
      </c>
      <c r="L97" s="230"/>
      <c r="M97" s="143">
        <v>10</v>
      </c>
      <c r="N97" s="143" t="s">
        <v>11</v>
      </c>
      <c r="O97" s="143">
        <v>2008</v>
      </c>
      <c r="P97" s="230">
        <f t="shared" si="54"/>
        <v>0</v>
      </c>
      <c r="Q97" s="230">
        <f>ROUND(P97*'[1]数据-取费表'!B$52,0)</f>
        <v>0</v>
      </c>
      <c r="R97" s="230">
        <f t="shared" si="86"/>
        <v>0</v>
      </c>
      <c r="S97" s="230">
        <f t="shared" si="72"/>
        <v>0</v>
      </c>
      <c r="T97" s="233">
        <v>0.8</v>
      </c>
      <c r="U97" s="230">
        <f t="shared" si="87"/>
        <v>0</v>
      </c>
      <c r="V97" s="230">
        <f t="shared" si="55"/>
        <v>0</v>
      </c>
      <c r="W97" s="230">
        <f t="shared" si="73"/>
        <v>0</v>
      </c>
      <c r="X97" s="230">
        <f>ROUND(AC97*'[1]数据-取费表'!$B$41/(1+'[1]数据-取费表'!$C$42),0)</f>
        <v>0</v>
      </c>
      <c r="Y97" s="230">
        <f>ROUND(AC97*'[1]数据-取费表'!$B$51/(1+'[1]数据-取费表'!$C$42),0)</f>
        <v>0</v>
      </c>
      <c r="Z97" s="230">
        <f t="shared" si="56"/>
        <v>0</v>
      </c>
      <c r="AA97" s="230">
        <f t="shared" si="57"/>
        <v>0</v>
      </c>
      <c r="AB97" s="231">
        <f t="shared" si="74"/>
        <v>8.6</v>
      </c>
      <c r="AC97" s="230"/>
      <c r="AD97" s="230">
        <f t="shared" si="75"/>
        <v>0</v>
      </c>
      <c r="AE97" s="230">
        <f t="shared" si="76"/>
        <v>0</v>
      </c>
      <c r="AF97" s="232"/>
      <c r="AG97" s="230"/>
      <c r="AH97" s="236"/>
      <c r="AI97" s="230">
        <f t="shared" si="88"/>
        <v>-123.25</v>
      </c>
      <c r="AJ97" s="230">
        <f t="shared" si="58"/>
        <v>0</v>
      </c>
      <c r="AK97" s="235">
        <f t="shared" si="59"/>
        <v>0</v>
      </c>
      <c r="AL97" s="233">
        <f t="shared" si="60"/>
        <v>2.8</v>
      </c>
      <c r="AM97" s="230">
        <f t="shared" si="61"/>
        <v>0</v>
      </c>
      <c r="AN97" s="230">
        <f t="shared" si="62"/>
        <v>0</v>
      </c>
      <c r="AO97" s="230">
        <f t="shared" si="63"/>
        <v>0</v>
      </c>
      <c r="AP97" s="230">
        <f>ROUND(AV97*'[1]数据-取费表'!$B$41/(1+'[1]数据-取费表'!$B$42),0)</f>
        <v>0</v>
      </c>
      <c r="AQ97" s="230">
        <f>ROUND(AV97*'[1]数据-取费表'!B$51/(1+'[1]数据-取费表'!C$42),0)</f>
        <v>0</v>
      </c>
      <c r="AR97" s="230">
        <f t="shared" si="64"/>
        <v>0</v>
      </c>
      <c r="AS97" s="230">
        <f t="shared" si="77"/>
        <v>0</v>
      </c>
      <c r="AT97" s="234">
        <f t="shared" si="92"/>
        <v>8.6</v>
      </c>
      <c r="AU97" s="235">
        <f t="shared" si="78"/>
        <v>0.23</v>
      </c>
      <c r="AV97" s="230">
        <f t="shared" si="79"/>
        <v>0</v>
      </c>
      <c r="AW97" s="230">
        <f t="shared" si="80"/>
        <v>0</v>
      </c>
      <c r="AX97" s="230">
        <f t="shared" si="65"/>
        <v>0</v>
      </c>
      <c r="AY97" s="230">
        <f t="shared" si="89"/>
        <v>153.44</v>
      </c>
      <c r="AZ97" s="237">
        <f t="shared" si="90"/>
        <v>0</v>
      </c>
      <c r="BA97" s="237">
        <f t="shared" si="81"/>
        <v>0</v>
      </c>
      <c r="BB97" s="239">
        <f t="shared" si="66"/>
        <v>0</v>
      </c>
      <c r="BC97" s="239">
        <f t="shared" si="91"/>
        <v>0</v>
      </c>
      <c r="BD97" s="239">
        <f t="shared" si="82"/>
        <v>0</v>
      </c>
      <c r="BE97" s="237">
        <f t="shared" si="83"/>
        <v>0</v>
      </c>
      <c r="BF97" s="237">
        <f t="shared" si="84"/>
        <v>0</v>
      </c>
      <c r="BG97" s="237">
        <f t="shared" si="67"/>
        <v>0</v>
      </c>
      <c r="BH97" s="237">
        <f t="shared" si="68"/>
        <v>0</v>
      </c>
      <c r="BI97" s="237">
        <f>ROUND(BE97*'[1]数据-取费表'!$B$51/(1+'[1]数据-取费表'!$C$42),0)</f>
        <v>0</v>
      </c>
      <c r="BJ97" s="237">
        <f>ROUND(BG97*'[1]数据-取费表'!B$41/(1+'[1]数据-取费表'!C$42),0)</f>
        <v>0</v>
      </c>
      <c r="BK97" s="237">
        <f t="shared" si="69"/>
        <v>0</v>
      </c>
      <c r="BL97" s="237">
        <f t="shared" si="70"/>
        <v>0</v>
      </c>
      <c r="BM97" s="237">
        <f t="shared" si="85"/>
        <v>0</v>
      </c>
      <c r="BN97" s="238">
        <f t="shared" si="71"/>
        <v>0</v>
      </c>
      <c r="BO97" s="239"/>
      <c r="BP97" s="239"/>
      <c r="BQ97" s="239"/>
      <c r="BR97" s="195"/>
    </row>
    <row r="98" spans="1:70" x14ac:dyDescent="0.2">
      <c r="A98" s="146">
        <v>81</v>
      </c>
      <c r="B98" s="141" t="s">
        <v>82</v>
      </c>
      <c r="C98" s="142" t="s">
        <v>85</v>
      </c>
      <c r="D98" s="143">
        <v>1107</v>
      </c>
      <c r="E98" s="143">
        <v>139.97999999999999</v>
      </c>
      <c r="F98" s="143" t="s">
        <v>83</v>
      </c>
      <c r="G98" s="143" t="s">
        <v>75</v>
      </c>
      <c r="H98" s="144">
        <v>56009</v>
      </c>
      <c r="I98" s="144">
        <v>44987</v>
      </c>
      <c r="J98" s="143">
        <f>IF(F98="商业",[1]项目基本情况!D$15,[1]项目基本情况!E$15)</f>
        <v>30.19</v>
      </c>
      <c r="K98" s="143" t="s">
        <v>84</v>
      </c>
      <c r="L98" s="230"/>
      <c r="M98" s="143">
        <v>10</v>
      </c>
      <c r="N98" s="143" t="s">
        <v>11</v>
      </c>
      <c r="O98" s="143">
        <v>2008</v>
      </c>
      <c r="P98" s="230">
        <f t="shared" si="54"/>
        <v>0</v>
      </c>
      <c r="Q98" s="230">
        <f>ROUND(P98*'[1]数据-取费表'!B$52,0)</f>
        <v>0</v>
      </c>
      <c r="R98" s="230">
        <f t="shared" si="86"/>
        <v>0</v>
      </c>
      <c r="S98" s="230">
        <f t="shared" si="72"/>
        <v>0</v>
      </c>
      <c r="T98" s="233">
        <v>0.8</v>
      </c>
      <c r="U98" s="230">
        <f t="shared" si="87"/>
        <v>0</v>
      </c>
      <c r="V98" s="230">
        <f t="shared" si="55"/>
        <v>0</v>
      </c>
      <c r="W98" s="230">
        <f t="shared" si="73"/>
        <v>0</v>
      </c>
      <c r="X98" s="230">
        <f>ROUND(AC98*'[1]数据-取费表'!$B$41/(1+'[1]数据-取费表'!$C$42),0)</f>
        <v>0</v>
      </c>
      <c r="Y98" s="230">
        <f>ROUND(AC98*'[1]数据-取费表'!$B$51/(1+'[1]数据-取费表'!$C$42),0)</f>
        <v>0</v>
      </c>
      <c r="Z98" s="230">
        <f t="shared" si="56"/>
        <v>0</v>
      </c>
      <c r="AA98" s="230">
        <f t="shared" si="57"/>
        <v>0</v>
      </c>
      <c r="AB98" s="231">
        <f t="shared" si="74"/>
        <v>8.6</v>
      </c>
      <c r="AC98" s="230"/>
      <c r="AD98" s="230">
        <f t="shared" si="75"/>
        <v>0</v>
      </c>
      <c r="AE98" s="230">
        <f t="shared" si="76"/>
        <v>0</v>
      </c>
      <c r="AF98" s="232"/>
      <c r="AG98" s="230"/>
      <c r="AH98" s="236"/>
      <c r="AI98" s="230">
        <f t="shared" si="88"/>
        <v>-123.25</v>
      </c>
      <c r="AJ98" s="230">
        <f t="shared" si="58"/>
        <v>0</v>
      </c>
      <c r="AK98" s="235">
        <f t="shared" si="59"/>
        <v>0</v>
      </c>
      <c r="AL98" s="233">
        <f t="shared" si="60"/>
        <v>2.8</v>
      </c>
      <c r="AM98" s="230">
        <f t="shared" si="61"/>
        <v>0</v>
      </c>
      <c r="AN98" s="230">
        <f t="shared" si="62"/>
        <v>0</v>
      </c>
      <c r="AO98" s="230">
        <f t="shared" si="63"/>
        <v>0</v>
      </c>
      <c r="AP98" s="230">
        <f>ROUND(AV98*'[1]数据-取费表'!$B$41/(1+'[1]数据-取费表'!$B$42),0)</f>
        <v>0</v>
      </c>
      <c r="AQ98" s="230">
        <f>ROUND(AV98*'[1]数据-取费表'!B$51/(1+'[1]数据-取费表'!C$42),0)</f>
        <v>0</v>
      </c>
      <c r="AR98" s="230">
        <f t="shared" si="64"/>
        <v>0</v>
      </c>
      <c r="AS98" s="230">
        <f t="shared" si="77"/>
        <v>0</v>
      </c>
      <c r="AT98" s="234">
        <f t="shared" si="92"/>
        <v>8.6</v>
      </c>
      <c r="AU98" s="235">
        <f t="shared" si="78"/>
        <v>0.23</v>
      </c>
      <c r="AV98" s="230">
        <f t="shared" si="79"/>
        <v>0</v>
      </c>
      <c r="AW98" s="230">
        <f t="shared" si="80"/>
        <v>0</v>
      </c>
      <c r="AX98" s="230">
        <f t="shared" si="65"/>
        <v>0</v>
      </c>
      <c r="AY98" s="230">
        <f t="shared" si="89"/>
        <v>153.44</v>
      </c>
      <c r="AZ98" s="237">
        <f t="shared" si="90"/>
        <v>0</v>
      </c>
      <c r="BA98" s="237">
        <f t="shared" si="81"/>
        <v>0</v>
      </c>
      <c r="BB98" s="239">
        <f t="shared" si="66"/>
        <v>0</v>
      </c>
      <c r="BC98" s="239">
        <f t="shared" si="91"/>
        <v>0</v>
      </c>
      <c r="BD98" s="239">
        <f t="shared" si="82"/>
        <v>0</v>
      </c>
      <c r="BE98" s="237">
        <f t="shared" si="83"/>
        <v>0</v>
      </c>
      <c r="BF98" s="237">
        <f t="shared" si="84"/>
        <v>0</v>
      </c>
      <c r="BG98" s="237">
        <f t="shared" si="67"/>
        <v>0</v>
      </c>
      <c r="BH98" s="237">
        <f t="shared" si="68"/>
        <v>0</v>
      </c>
      <c r="BI98" s="237">
        <f>ROUND(BE98*'[1]数据-取费表'!$B$51/(1+'[1]数据-取费表'!$C$42),0)</f>
        <v>0</v>
      </c>
      <c r="BJ98" s="237">
        <f>ROUND(BG98*'[1]数据-取费表'!B$41/(1+'[1]数据-取费表'!C$42),0)</f>
        <v>0</v>
      </c>
      <c r="BK98" s="237">
        <f t="shared" si="69"/>
        <v>0</v>
      </c>
      <c r="BL98" s="237">
        <f t="shared" si="70"/>
        <v>0</v>
      </c>
      <c r="BM98" s="237">
        <f t="shared" si="85"/>
        <v>0</v>
      </c>
      <c r="BN98" s="238">
        <f t="shared" si="71"/>
        <v>0</v>
      </c>
      <c r="BO98" s="239"/>
      <c r="BP98" s="239"/>
      <c r="BQ98" s="239"/>
      <c r="BR98" s="195"/>
    </row>
    <row r="99" spans="1:70" x14ac:dyDescent="0.2">
      <c r="A99" s="146">
        <v>82</v>
      </c>
      <c r="B99" s="141" t="s">
        <v>82</v>
      </c>
      <c r="C99" s="142" t="s">
        <v>85</v>
      </c>
      <c r="D99" s="143">
        <v>1108</v>
      </c>
      <c r="E99" s="143">
        <v>135.16999999999999</v>
      </c>
      <c r="F99" s="143" t="s">
        <v>83</v>
      </c>
      <c r="G99" s="143" t="s">
        <v>75</v>
      </c>
      <c r="H99" s="144">
        <v>56009</v>
      </c>
      <c r="I99" s="144">
        <v>44987</v>
      </c>
      <c r="J99" s="143">
        <f>IF(F99="商业",[1]项目基本情况!D$15,[1]项目基本情况!E$15)</f>
        <v>30.19</v>
      </c>
      <c r="K99" s="143" t="s">
        <v>84</v>
      </c>
      <c r="L99" s="230"/>
      <c r="M99" s="143">
        <v>10</v>
      </c>
      <c r="N99" s="143" t="s">
        <v>11</v>
      </c>
      <c r="O99" s="143">
        <v>2008</v>
      </c>
      <c r="P99" s="230">
        <f t="shared" si="54"/>
        <v>0</v>
      </c>
      <c r="Q99" s="230">
        <f>ROUND(P99*'[1]数据-取费表'!B$52,0)</f>
        <v>0</v>
      </c>
      <c r="R99" s="230">
        <f t="shared" si="86"/>
        <v>0</v>
      </c>
      <c r="S99" s="230">
        <f t="shared" si="72"/>
        <v>0</v>
      </c>
      <c r="T99" s="233">
        <v>0.8</v>
      </c>
      <c r="U99" s="230">
        <f t="shared" si="87"/>
        <v>0</v>
      </c>
      <c r="V99" s="230">
        <f t="shared" si="55"/>
        <v>0</v>
      </c>
      <c r="W99" s="230">
        <f t="shared" si="73"/>
        <v>0</v>
      </c>
      <c r="X99" s="230">
        <f>ROUND(AC99*'[1]数据-取费表'!$B$41/(1+'[1]数据-取费表'!$C$42),0)</f>
        <v>0</v>
      </c>
      <c r="Y99" s="230">
        <f>ROUND(AC99*'[1]数据-取费表'!$B$51/(1+'[1]数据-取费表'!$C$42),0)</f>
        <v>0</v>
      </c>
      <c r="Z99" s="230">
        <f t="shared" si="56"/>
        <v>0</v>
      </c>
      <c r="AA99" s="230">
        <f t="shared" si="57"/>
        <v>0</v>
      </c>
      <c r="AB99" s="231">
        <f t="shared" si="74"/>
        <v>8.6</v>
      </c>
      <c r="AC99" s="230"/>
      <c r="AD99" s="230">
        <f t="shared" si="75"/>
        <v>0</v>
      </c>
      <c r="AE99" s="230">
        <f t="shared" si="76"/>
        <v>0</v>
      </c>
      <c r="AF99" s="232"/>
      <c r="AG99" s="230"/>
      <c r="AH99" s="236"/>
      <c r="AI99" s="230">
        <f t="shared" si="88"/>
        <v>-123.25</v>
      </c>
      <c r="AJ99" s="230">
        <f t="shared" si="58"/>
        <v>0</v>
      </c>
      <c r="AK99" s="235">
        <f t="shared" si="59"/>
        <v>0</v>
      </c>
      <c r="AL99" s="233">
        <f t="shared" si="60"/>
        <v>2.8</v>
      </c>
      <c r="AM99" s="230">
        <f t="shared" si="61"/>
        <v>0</v>
      </c>
      <c r="AN99" s="230">
        <f t="shared" si="62"/>
        <v>0</v>
      </c>
      <c r="AO99" s="230">
        <f t="shared" si="63"/>
        <v>0</v>
      </c>
      <c r="AP99" s="230">
        <f>ROUND(AV99*'[1]数据-取费表'!$B$41/(1+'[1]数据-取费表'!$B$42),0)</f>
        <v>0</v>
      </c>
      <c r="AQ99" s="230">
        <f>ROUND(AV99*'[1]数据-取费表'!B$51/(1+'[1]数据-取费表'!C$42),0)</f>
        <v>0</v>
      </c>
      <c r="AR99" s="230">
        <f t="shared" si="64"/>
        <v>0</v>
      </c>
      <c r="AS99" s="230">
        <f t="shared" si="77"/>
        <v>0</v>
      </c>
      <c r="AT99" s="234">
        <f t="shared" si="92"/>
        <v>8.6</v>
      </c>
      <c r="AU99" s="235">
        <f t="shared" si="78"/>
        <v>0.23</v>
      </c>
      <c r="AV99" s="230">
        <f t="shared" si="79"/>
        <v>0</v>
      </c>
      <c r="AW99" s="230">
        <f t="shared" si="80"/>
        <v>0</v>
      </c>
      <c r="AX99" s="230">
        <f t="shared" si="65"/>
        <v>0</v>
      </c>
      <c r="AY99" s="230">
        <f t="shared" si="89"/>
        <v>153.44</v>
      </c>
      <c r="AZ99" s="237">
        <f t="shared" si="90"/>
        <v>0</v>
      </c>
      <c r="BA99" s="237">
        <f t="shared" si="81"/>
        <v>0</v>
      </c>
      <c r="BB99" s="239">
        <f t="shared" si="66"/>
        <v>0</v>
      </c>
      <c r="BC99" s="239">
        <f t="shared" si="91"/>
        <v>0</v>
      </c>
      <c r="BD99" s="239">
        <f t="shared" si="82"/>
        <v>0</v>
      </c>
      <c r="BE99" s="237">
        <f t="shared" si="83"/>
        <v>0</v>
      </c>
      <c r="BF99" s="237">
        <f t="shared" si="84"/>
        <v>0</v>
      </c>
      <c r="BG99" s="237">
        <f t="shared" si="67"/>
        <v>0</v>
      </c>
      <c r="BH99" s="237">
        <f t="shared" si="68"/>
        <v>0</v>
      </c>
      <c r="BI99" s="237">
        <f>ROUND(BE99*'[1]数据-取费表'!$B$51/(1+'[1]数据-取费表'!$C$42),0)</f>
        <v>0</v>
      </c>
      <c r="BJ99" s="237">
        <f>ROUND(BG99*'[1]数据-取费表'!B$41/(1+'[1]数据-取费表'!C$42),0)</f>
        <v>0</v>
      </c>
      <c r="BK99" s="237">
        <f t="shared" si="69"/>
        <v>0</v>
      </c>
      <c r="BL99" s="237">
        <f t="shared" si="70"/>
        <v>0</v>
      </c>
      <c r="BM99" s="237">
        <f t="shared" si="85"/>
        <v>0</v>
      </c>
      <c r="BN99" s="238">
        <f t="shared" si="71"/>
        <v>0</v>
      </c>
      <c r="BO99" s="239"/>
      <c r="BP99" s="239"/>
      <c r="BQ99" s="239"/>
      <c r="BR99" s="195"/>
    </row>
    <row r="100" spans="1:70" x14ac:dyDescent="0.2">
      <c r="A100" s="146">
        <v>83</v>
      </c>
      <c r="B100" s="141" t="s">
        <v>82</v>
      </c>
      <c r="C100" s="142" t="s">
        <v>85</v>
      </c>
      <c r="D100" s="143">
        <v>1109</v>
      </c>
      <c r="E100" s="143">
        <v>135.16999999999999</v>
      </c>
      <c r="F100" s="143" t="s">
        <v>83</v>
      </c>
      <c r="G100" s="143" t="s">
        <v>75</v>
      </c>
      <c r="H100" s="144">
        <v>56009</v>
      </c>
      <c r="I100" s="144">
        <v>44987</v>
      </c>
      <c r="J100" s="143">
        <f>IF(F100="商业",[1]项目基本情况!D$15,[1]项目基本情况!E$15)</f>
        <v>30.19</v>
      </c>
      <c r="K100" s="143" t="s">
        <v>84</v>
      </c>
      <c r="L100" s="230"/>
      <c r="M100" s="143">
        <v>10</v>
      </c>
      <c r="N100" s="143" t="s">
        <v>11</v>
      </c>
      <c r="O100" s="143">
        <v>2008</v>
      </c>
      <c r="P100" s="230">
        <f t="shared" si="54"/>
        <v>0</v>
      </c>
      <c r="Q100" s="230">
        <f>ROUND(P100*'[1]数据-取费表'!B$52,0)</f>
        <v>0</v>
      </c>
      <c r="R100" s="230">
        <f t="shared" si="86"/>
        <v>0</v>
      </c>
      <c r="S100" s="230">
        <f t="shared" si="72"/>
        <v>0</v>
      </c>
      <c r="T100" s="233">
        <v>0.8</v>
      </c>
      <c r="U100" s="230">
        <f t="shared" si="87"/>
        <v>0</v>
      </c>
      <c r="V100" s="230">
        <f t="shared" si="55"/>
        <v>0</v>
      </c>
      <c r="W100" s="230">
        <f t="shared" si="73"/>
        <v>0</v>
      </c>
      <c r="X100" s="230">
        <f>ROUND(AC100*'[1]数据-取费表'!$B$41/(1+'[1]数据-取费表'!$C$42),0)</f>
        <v>0</v>
      </c>
      <c r="Y100" s="230">
        <f>ROUND(AC100*'[1]数据-取费表'!$B$51/(1+'[1]数据-取费表'!$C$42),0)</f>
        <v>0</v>
      </c>
      <c r="Z100" s="230">
        <f t="shared" si="56"/>
        <v>0</v>
      </c>
      <c r="AA100" s="230">
        <f t="shared" si="57"/>
        <v>0</v>
      </c>
      <c r="AB100" s="231">
        <f t="shared" si="74"/>
        <v>8.6</v>
      </c>
      <c r="AC100" s="230"/>
      <c r="AD100" s="230">
        <f t="shared" si="75"/>
        <v>0</v>
      </c>
      <c r="AE100" s="230">
        <f t="shared" si="76"/>
        <v>0</v>
      </c>
      <c r="AF100" s="232"/>
      <c r="AG100" s="230"/>
      <c r="AH100" s="236"/>
      <c r="AI100" s="230">
        <f t="shared" si="88"/>
        <v>-123.25</v>
      </c>
      <c r="AJ100" s="230">
        <f t="shared" si="58"/>
        <v>0</v>
      </c>
      <c r="AK100" s="235">
        <f t="shared" si="59"/>
        <v>0</v>
      </c>
      <c r="AL100" s="233">
        <f t="shared" si="60"/>
        <v>2.8</v>
      </c>
      <c r="AM100" s="230">
        <f t="shared" si="61"/>
        <v>0</v>
      </c>
      <c r="AN100" s="230">
        <f t="shared" si="62"/>
        <v>0</v>
      </c>
      <c r="AO100" s="230">
        <f t="shared" si="63"/>
        <v>0</v>
      </c>
      <c r="AP100" s="230">
        <f>ROUND(AV100*'[1]数据-取费表'!$B$41/(1+'[1]数据-取费表'!$B$42),0)</f>
        <v>0</v>
      </c>
      <c r="AQ100" s="230">
        <f>ROUND(AV100*'[1]数据-取费表'!B$51/(1+'[1]数据-取费表'!C$42),0)</f>
        <v>0</v>
      </c>
      <c r="AR100" s="230">
        <f t="shared" si="64"/>
        <v>0</v>
      </c>
      <c r="AS100" s="230">
        <f t="shared" si="77"/>
        <v>0</v>
      </c>
      <c r="AT100" s="234">
        <f t="shared" si="92"/>
        <v>8.6</v>
      </c>
      <c r="AU100" s="235">
        <f t="shared" si="78"/>
        <v>0.23</v>
      </c>
      <c r="AV100" s="230">
        <f t="shared" si="79"/>
        <v>0</v>
      </c>
      <c r="AW100" s="230">
        <f t="shared" si="80"/>
        <v>0</v>
      </c>
      <c r="AX100" s="230">
        <f t="shared" si="65"/>
        <v>0</v>
      </c>
      <c r="AY100" s="230">
        <f t="shared" si="89"/>
        <v>153.44</v>
      </c>
      <c r="AZ100" s="237">
        <f t="shared" si="90"/>
        <v>0</v>
      </c>
      <c r="BA100" s="237">
        <f t="shared" si="81"/>
        <v>0</v>
      </c>
      <c r="BB100" s="239">
        <f t="shared" si="66"/>
        <v>0</v>
      </c>
      <c r="BC100" s="239">
        <f t="shared" si="91"/>
        <v>0</v>
      </c>
      <c r="BD100" s="239">
        <f t="shared" si="82"/>
        <v>0</v>
      </c>
      <c r="BE100" s="237">
        <f t="shared" si="83"/>
        <v>0</v>
      </c>
      <c r="BF100" s="237">
        <f t="shared" si="84"/>
        <v>0</v>
      </c>
      <c r="BG100" s="237">
        <f t="shared" si="67"/>
        <v>0</v>
      </c>
      <c r="BH100" s="237">
        <f t="shared" si="68"/>
        <v>0</v>
      </c>
      <c r="BI100" s="237">
        <f>ROUND(BE100*'[1]数据-取费表'!$B$51/(1+'[1]数据-取费表'!$C$42),0)</f>
        <v>0</v>
      </c>
      <c r="BJ100" s="237">
        <f>ROUND(BG100*'[1]数据-取费表'!B$41/(1+'[1]数据-取费表'!C$42),0)</f>
        <v>0</v>
      </c>
      <c r="BK100" s="237">
        <f t="shared" si="69"/>
        <v>0</v>
      </c>
      <c r="BL100" s="237">
        <f t="shared" si="70"/>
        <v>0</v>
      </c>
      <c r="BM100" s="237">
        <f t="shared" si="85"/>
        <v>0</v>
      </c>
      <c r="BN100" s="238">
        <f t="shared" si="71"/>
        <v>0</v>
      </c>
      <c r="BO100" s="239"/>
      <c r="BP100" s="239"/>
      <c r="BQ100" s="239"/>
      <c r="BR100" s="195"/>
    </row>
    <row r="101" spans="1:70" x14ac:dyDescent="0.2">
      <c r="A101" s="146">
        <v>84</v>
      </c>
      <c r="B101" s="141" t="s">
        <v>82</v>
      </c>
      <c r="C101" s="142" t="s">
        <v>85</v>
      </c>
      <c r="D101" s="143">
        <v>1110</v>
      </c>
      <c r="E101" s="143">
        <v>139.97999999999999</v>
      </c>
      <c r="F101" s="143" t="s">
        <v>83</v>
      </c>
      <c r="G101" s="143" t="s">
        <v>75</v>
      </c>
      <c r="H101" s="144">
        <v>56009</v>
      </c>
      <c r="I101" s="144">
        <v>44987</v>
      </c>
      <c r="J101" s="143">
        <f>IF(F101="商业",[1]项目基本情况!D$15,[1]项目基本情况!E$15)</f>
        <v>30.19</v>
      </c>
      <c r="K101" s="143" t="s">
        <v>84</v>
      </c>
      <c r="L101" s="230"/>
      <c r="M101" s="143">
        <v>10</v>
      </c>
      <c r="N101" s="143" t="s">
        <v>11</v>
      </c>
      <c r="O101" s="143">
        <v>2008</v>
      </c>
      <c r="P101" s="230">
        <f t="shared" si="54"/>
        <v>0</v>
      </c>
      <c r="Q101" s="230">
        <f>ROUND(P101*'[1]数据-取费表'!B$52,0)</f>
        <v>0</v>
      </c>
      <c r="R101" s="230">
        <f t="shared" si="86"/>
        <v>0</v>
      </c>
      <c r="S101" s="230">
        <f t="shared" si="72"/>
        <v>0</v>
      </c>
      <c r="T101" s="233">
        <v>0.8</v>
      </c>
      <c r="U101" s="230">
        <f t="shared" si="87"/>
        <v>0</v>
      </c>
      <c r="V101" s="230">
        <f t="shared" si="55"/>
        <v>0</v>
      </c>
      <c r="W101" s="230">
        <f t="shared" si="73"/>
        <v>0</v>
      </c>
      <c r="X101" s="230">
        <f>ROUND(AC101*'[1]数据-取费表'!$B$41/(1+'[1]数据-取费表'!$C$42),0)</f>
        <v>0</v>
      </c>
      <c r="Y101" s="230">
        <f>ROUND(AC101*'[1]数据-取费表'!$B$51/(1+'[1]数据-取费表'!$C$42),0)</f>
        <v>0</v>
      </c>
      <c r="Z101" s="230">
        <f t="shared" si="56"/>
        <v>0</v>
      </c>
      <c r="AA101" s="230">
        <f t="shared" si="57"/>
        <v>0</v>
      </c>
      <c r="AB101" s="231">
        <f t="shared" si="74"/>
        <v>8.6</v>
      </c>
      <c r="AC101" s="230"/>
      <c r="AD101" s="230">
        <f t="shared" si="75"/>
        <v>0</v>
      </c>
      <c r="AE101" s="230">
        <f t="shared" si="76"/>
        <v>0</v>
      </c>
      <c r="AF101" s="232"/>
      <c r="AG101" s="230"/>
      <c r="AH101" s="236"/>
      <c r="AI101" s="230">
        <f t="shared" si="88"/>
        <v>-123.25</v>
      </c>
      <c r="AJ101" s="230">
        <f t="shared" si="58"/>
        <v>0</v>
      </c>
      <c r="AK101" s="235">
        <f t="shared" si="59"/>
        <v>0</v>
      </c>
      <c r="AL101" s="233">
        <f t="shared" si="60"/>
        <v>2.8</v>
      </c>
      <c r="AM101" s="230">
        <f t="shared" si="61"/>
        <v>0</v>
      </c>
      <c r="AN101" s="230">
        <f t="shared" si="62"/>
        <v>0</v>
      </c>
      <c r="AO101" s="230">
        <f t="shared" si="63"/>
        <v>0</v>
      </c>
      <c r="AP101" s="230">
        <f>ROUND(AV101*'[1]数据-取费表'!$B$41/(1+'[1]数据-取费表'!$B$42),0)</f>
        <v>0</v>
      </c>
      <c r="AQ101" s="230">
        <f>ROUND(AV101*'[1]数据-取费表'!B$51/(1+'[1]数据-取费表'!C$42),0)</f>
        <v>0</v>
      </c>
      <c r="AR101" s="230">
        <f t="shared" si="64"/>
        <v>0</v>
      </c>
      <c r="AS101" s="230">
        <f t="shared" si="77"/>
        <v>0</v>
      </c>
      <c r="AT101" s="234">
        <f t="shared" si="92"/>
        <v>8.6</v>
      </c>
      <c r="AU101" s="235">
        <f t="shared" si="78"/>
        <v>0.23</v>
      </c>
      <c r="AV101" s="230">
        <f t="shared" si="79"/>
        <v>0</v>
      </c>
      <c r="AW101" s="230">
        <f t="shared" si="80"/>
        <v>0</v>
      </c>
      <c r="AX101" s="230">
        <f t="shared" si="65"/>
        <v>0</v>
      </c>
      <c r="AY101" s="230">
        <f t="shared" si="89"/>
        <v>153.44</v>
      </c>
      <c r="AZ101" s="237">
        <f t="shared" si="90"/>
        <v>0</v>
      </c>
      <c r="BA101" s="237">
        <f t="shared" si="81"/>
        <v>0</v>
      </c>
      <c r="BB101" s="239">
        <f t="shared" si="66"/>
        <v>0</v>
      </c>
      <c r="BC101" s="239">
        <f t="shared" si="91"/>
        <v>0</v>
      </c>
      <c r="BD101" s="239">
        <f t="shared" si="82"/>
        <v>0</v>
      </c>
      <c r="BE101" s="237">
        <f t="shared" si="83"/>
        <v>0</v>
      </c>
      <c r="BF101" s="237">
        <f t="shared" si="84"/>
        <v>0</v>
      </c>
      <c r="BG101" s="237">
        <f t="shared" si="67"/>
        <v>0</v>
      </c>
      <c r="BH101" s="237">
        <f t="shared" si="68"/>
        <v>0</v>
      </c>
      <c r="BI101" s="237">
        <f>ROUND(BE101*'[1]数据-取费表'!$B$51/(1+'[1]数据-取费表'!$C$42),0)</f>
        <v>0</v>
      </c>
      <c r="BJ101" s="237">
        <f>ROUND(BG101*'[1]数据-取费表'!B$41/(1+'[1]数据-取费表'!C$42),0)</f>
        <v>0</v>
      </c>
      <c r="BK101" s="237">
        <f t="shared" si="69"/>
        <v>0</v>
      </c>
      <c r="BL101" s="237">
        <f t="shared" si="70"/>
        <v>0</v>
      </c>
      <c r="BM101" s="237">
        <f t="shared" si="85"/>
        <v>0</v>
      </c>
      <c r="BN101" s="238">
        <f t="shared" si="71"/>
        <v>0</v>
      </c>
      <c r="BO101" s="239"/>
      <c r="BP101" s="239"/>
      <c r="BQ101" s="239"/>
      <c r="BR101" s="195"/>
    </row>
    <row r="102" spans="1:70" x14ac:dyDescent="0.2">
      <c r="A102" s="146">
        <v>85</v>
      </c>
      <c r="B102" s="141" t="s">
        <v>82</v>
      </c>
      <c r="C102" s="142" t="s">
        <v>85</v>
      </c>
      <c r="D102" s="143">
        <v>1111</v>
      </c>
      <c r="E102" s="143">
        <v>140.79</v>
      </c>
      <c r="F102" s="143" t="s">
        <v>83</v>
      </c>
      <c r="G102" s="143" t="s">
        <v>75</v>
      </c>
      <c r="H102" s="144">
        <v>56009</v>
      </c>
      <c r="I102" s="144">
        <v>44987</v>
      </c>
      <c r="J102" s="143">
        <f>IF(F102="商业",[1]项目基本情况!D$15,[1]项目基本情况!E$15)</f>
        <v>30.19</v>
      </c>
      <c r="K102" s="143" t="s">
        <v>84</v>
      </c>
      <c r="L102" s="230"/>
      <c r="M102" s="143">
        <v>10</v>
      </c>
      <c r="N102" s="143" t="s">
        <v>11</v>
      </c>
      <c r="O102" s="143">
        <v>2008</v>
      </c>
      <c r="P102" s="230">
        <f t="shared" si="54"/>
        <v>0</v>
      </c>
      <c r="Q102" s="230">
        <f>ROUND(P102*'[1]数据-取费表'!B$52,0)</f>
        <v>0</v>
      </c>
      <c r="R102" s="230">
        <f t="shared" si="86"/>
        <v>0</v>
      </c>
      <c r="S102" s="230">
        <f t="shared" si="72"/>
        <v>0</v>
      </c>
      <c r="T102" s="233">
        <v>0.8</v>
      </c>
      <c r="U102" s="230">
        <f t="shared" si="87"/>
        <v>0</v>
      </c>
      <c r="V102" s="230">
        <f t="shared" si="55"/>
        <v>0</v>
      </c>
      <c r="W102" s="230">
        <f t="shared" si="73"/>
        <v>0</v>
      </c>
      <c r="X102" s="230">
        <f>ROUND(AC102*'[1]数据-取费表'!$B$41/(1+'[1]数据-取费表'!$C$42),0)</f>
        <v>0</v>
      </c>
      <c r="Y102" s="230">
        <f>ROUND(AC102*'[1]数据-取费表'!$B$51/(1+'[1]数据-取费表'!$C$42),0)</f>
        <v>0</v>
      </c>
      <c r="Z102" s="230">
        <f t="shared" si="56"/>
        <v>0</v>
      </c>
      <c r="AA102" s="230">
        <f t="shared" si="57"/>
        <v>0</v>
      </c>
      <c r="AB102" s="231">
        <f t="shared" si="74"/>
        <v>8.6</v>
      </c>
      <c r="AC102" s="230"/>
      <c r="AD102" s="230">
        <f t="shared" si="75"/>
        <v>0</v>
      </c>
      <c r="AE102" s="230">
        <f t="shared" si="76"/>
        <v>0</v>
      </c>
      <c r="AF102" s="232"/>
      <c r="AG102" s="230"/>
      <c r="AH102" s="236"/>
      <c r="AI102" s="230">
        <f t="shared" si="88"/>
        <v>-123.25</v>
      </c>
      <c r="AJ102" s="230">
        <f t="shared" si="58"/>
        <v>0</v>
      </c>
      <c r="AK102" s="235">
        <f t="shared" si="59"/>
        <v>0</v>
      </c>
      <c r="AL102" s="233">
        <f t="shared" si="60"/>
        <v>2.8</v>
      </c>
      <c r="AM102" s="230">
        <f t="shared" si="61"/>
        <v>0</v>
      </c>
      <c r="AN102" s="230">
        <f t="shared" si="62"/>
        <v>0</v>
      </c>
      <c r="AO102" s="230">
        <f t="shared" si="63"/>
        <v>0</v>
      </c>
      <c r="AP102" s="230">
        <f>ROUND(AV102*'[1]数据-取费表'!$B$41/(1+'[1]数据-取费表'!$B$42),0)</f>
        <v>0</v>
      </c>
      <c r="AQ102" s="230">
        <f>ROUND(AV102*'[1]数据-取费表'!B$51/(1+'[1]数据-取费表'!C$42),0)</f>
        <v>0</v>
      </c>
      <c r="AR102" s="230">
        <f t="shared" si="64"/>
        <v>0</v>
      </c>
      <c r="AS102" s="230">
        <f t="shared" si="77"/>
        <v>0</v>
      </c>
      <c r="AT102" s="234">
        <f t="shared" si="92"/>
        <v>8.6</v>
      </c>
      <c r="AU102" s="235">
        <f t="shared" si="78"/>
        <v>0.23</v>
      </c>
      <c r="AV102" s="230">
        <f t="shared" si="79"/>
        <v>0</v>
      </c>
      <c r="AW102" s="230">
        <f t="shared" si="80"/>
        <v>0</v>
      </c>
      <c r="AX102" s="230">
        <f t="shared" si="65"/>
        <v>0</v>
      </c>
      <c r="AY102" s="230">
        <f t="shared" si="89"/>
        <v>153.44</v>
      </c>
      <c r="AZ102" s="237">
        <f t="shared" si="90"/>
        <v>0</v>
      </c>
      <c r="BA102" s="237">
        <f t="shared" si="81"/>
        <v>0</v>
      </c>
      <c r="BB102" s="239">
        <f t="shared" si="66"/>
        <v>0</v>
      </c>
      <c r="BC102" s="239">
        <f t="shared" si="91"/>
        <v>0</v>
      </c>
      <c r="BD102" s="239">
        <f t="shared" si="82"/>
        <v>0</v>
      </c>
      <c r="BE102" s="237">
        <f t="shared" si="83"/>
        <v>0</v>
      </c>
      <c r="BF102" s="237">
        <f t="shared" si="84"/>
        <v>0</v>
      </c>
      <c r="BG102" s="237">
        <f t="shared" si="67"/>
        <v>0</v>
      </c>
      <c r="BH102" s="237">
        <f t="shared" si="68"/>
        <v>0</v>
      </c>
      <c r="BI102" s="237">
        <f>ROUND(BE102*'[1]数据-取费表'!$B$51/(1+'[1]数据-取费表'!$C$42),0)</f>
        <v>0</v>
      </c>
      <c r="BJ102" s="237">
        <f>ROUND(BG102*'[1]数据-取费表'!B$41/(1+'[1]数据-取费表'!C$42),0)</f>
        <v>0</v>
      </c>
      <c r="BK102" s="237">
        <f t="shared" si="69"/>
        <v>0</v>
      </c>
      <c r="BL102" s="237">
        <f t="shared" si="70"/>
        <v>0</v>
      </c>
      <c r="BM102" s="237">
        <f t="shared" si="85"/>
        <v>0</v>
      </c>
      <c r="BN102" s="238">
        <f t="shared" si="71"/>
        <v>0</v>
      </c>
      <c r="BO102" s="239"/>
      <c r="BP102" s="239"/>
      <c r="BQ102" s="239"/>
      <c r="BR102" s="195"/>
    </row>
    <row r="103" spans="1:70" x14ac:dyDescent="0.2">
      <c r="A103" s="146">
        <v>86</v>
      </c>
      <c r="B103" s="141" t="s">
        <v>82</v>
      </c>
      <c r="C103" s="142" t="s">
        <v>85</v>
      </c>
      <c r="D103" s="143">
        <v>1112</v>
      </c>
      <c r="E103" s="143">
        <v>208.48</v>
      </c>
      <c r="F103" s="143" t="s">
        <v>83</v>
      </c>
      <c r="G103" s="143" t="s">
        <v>75</v>
      </c>
      <c r="H103" s="144">
        <v>56009</v>
      </c>
      <c r="I103" s="144">
        <v>44987</v>
      </c>
      <c r="J103" s="143">
        <f>IF(F103="商业",[1]项目基本情况!D$15,[1]项目基本情况!E$15)</f>
        <v>30.19</v>
      </c>
      <c r="K103" s="143" t="s">
        <v>84</v>
      </c>
      <c r="L103" s="230"/>
      <c r="M103" s="143">
        <v>10</v>
      </c>
      <c r="N103" s="143" t="s">
        <v>11</v>
      </c>
      <c r="O103" s="143">
        <v>2008</v>
      </c>
      <c r="P103" s="230">
        <f t="shared" si="54"/>
        <v>0</v>
      </c>
      <c r="Q103" s="230">
        <f>ROUND(P103*'[1]数据-取费表'!B$52,0)</f>
        <v>0</v>
      </c>
      <c r="R103" s="230">
        <f t="shared" si="86"/>
        <v>0</v>
      </c>
      <c r="S103" s="230">
        <f t="shared" si="72"/>
        <v>0</v>
      </c>
      <c r="T103" s="233">
        <v>0.8</v>
      </c>
      <c r="U103" s="230">
        <f t="shared" si="87"/>
        <v>0</v>
      </c>
      <c r="V103" s="230">
        <f t="shared" si="55"/>
        <v>0</v>
      </c>
      <c r="W103" s="230">
        <f t="shared" si="73"/>
        <v>0</v>
      </c>
      <c r="X103" s="230">
        <f>ROUND(AC103*'[1]数据-取费表'!$B$41/(1+'[1]数据-取费表'!$C$42),0)</f>
        <v>0</v>
      </c>
      <c r="Y103" s="230">
        <f>ROUND(AC103*'[1]数据-取费表'!$B$51/(1+'[1]数据-取费表'!$C$42),0)</f>
        <v>0</v>
      </c>
      <c r="Z103" s="230">
        <f t="shared" si="56"/>
        <v>0</v>
      </c>
      <c r="AA103" s="230">
        <f t="shared" si="57"/>
        <v>0</v>
      </c>
      <c r="AB103" s="231">
        <f t="shared" si="74"/>
        <v>8.6</v>
      </c>
      <c r="AC103" s="230"/>
      <c r="AD103" s="230">
        <f t="shared" si="75"/>
        <v>0</v>
      </c>
      <c r="AE103" s="230">
        <f t="shared" si="76"/>
        <v>0</v>
      </c>
      <c r="AF103" s="232"/>
      <c r="AG103" s="230"/>
      <c r="AH103" s="236"/>
      <c r="AI103" s="230">
        <f t="shared" si="88"/>
        <v>-123.25</v>
      </c>
      <c r="AJ103" s="230">
        <f t="shared" si="58"/>
        <v>0</v>
      </c>
      <c r="AK103" s="235">
        <f t="shared" si="59"/>
        <v>0</v>
      </c>
      <c r="AL103" s="233">
        <f t="shared" si="60"/>
        <v>2.8</v>
      </c>
      <c r="AM103" s="230">
        <f t="shared" si="61"/>
        <v>0</v>
      </c>
      <c r="AN103" s="230">
        <f t="shared" si="62"/>
        <v>0</v>
      </c>
      <c r="AO103" s="230">
        <f t="shared" si="63"/>
        <v>0</v>
      </c>
      <c r="AP103" s="230">
        <f>ROUND(AV103*'[1]数据-取费表'!$B$41/(1+'[1]数据-取费表'!$B$42),0)</f>
        <v>0</v>
      </c>
      <c r="AQ103" s="230">
        <f>ROUND(AV103*'[1]数据-取费表'!B$51/(1+'[1]数据-取费表'!C$42),0)</f>
        <v>0</v>
      </c>
      <c r="AR103" s="230">
        <f t="shared" si="64"/>
        <v>0</v>
      </c>
      <c r="AS103" s="230">
        <f t="shared" si="77"/>
        <v>0</v>
      </c>
      <c r="AT103" s="234">
        <f t="shared" si="92"/>
        <v>8.6</v>
      </c>
      <c r="AU103" s="235">
        <f t="shared" si="78"/>
        <v>0.23</v>
      </c>
      <c r="AV103" s="230">
        <f t="shared" si="79"/>
        <v>0</v>
      </c>
      <c r="AW103" s="230">
        <f t="shared" si="80"/>
        <v>0</v>
      </c>
      <c r="AX103" s="230">
        <f t="shared" si="65"/>
        <v>0</v>
      </c>
      <c r="AY103" s="230">
        <f t="shared" si="89"/>
        <v>153.44</v>
      </c>
      <c r="AZ103" s="237">
        <f t="shared" si="90"/>
        <v>0</v>
      </c>
      <c r="BA103" s="237">
        <f t="shared" si="81"/>
        <v>0</v>
      </c>
      <c r="BB103" s="239">
        <f t="shared" si="66"/>
        <v>0</v>
      </c>
      <c r="BC103" s="239">
        <f t="shared" si="91"/>
        <v>0</v>
      </c>
      <c r="BD103" s="239">
        <f t="shared" si="82"/>
        <v>0</v>
      </c>
      <c r="BE103" s="237">
        <f t="shared" si="83"/>
        <v>0</v>
      </c>
      <c r="BF103" s="237">
        <f t="shared" si="84"/>
        <v>0</v>
      </c>
      <c r="BG103" s="237">
        <f t="shared" si="67"/>
        <v>0</v>
      </c>
      <c r="BH103" s="237">
        <f t="shared" si="68"/>
        <v>0</v>
      </c>
      <c r="BI103" s="237">
        <f>ROUND(BE103*'[1]数据-取费表'!$B$51/(1+'[1]数据-取费表'!$C$42),0)</f>
        <v>0</v>
      </c>
      <c r="BJ103" s="237">
        <f>ROUND(BG103*'[1]数据-取费表'!B$41/(1+'[1]数据-取费表'!C$42),0)</f>
        <v>0</v>
      </c>
      <c r="BK103" s="237">
        <f t="shared" si="69"/>
        <v>0</v>
      </c>
      <c r="BL103" s="237">
        <f t="shared" si="70"/>
        <v>0</v>
      </c>
      <c r="BM103" s="237">
        <f t="shared" si="85"/>
        <v>0</v>
      </c>
      <c r="BN103" s="238">
        <f t="shared" si="71"/>
        <v>0</v>
      </c>
      <c r="BO103" s="239"/>
      <c r="BP103" s="239"/>
      <c r="BQ103" s="239"/>
      <c r="BR103" s="195"/>
    </row>
    <row r="104" spans="1:70" x14ac:dyDescent="0.2">
      <c r="A104" s="146">
        <v>87</v>
      </c>
      <c r="B104" s="125" t="s">
        <v>82</v>
      </c>
      <c r="C104" s="126" t="s">
        <v>85</v>
      </c>
      <c r="D104" s="127">
        <v>2101</v>
      </c>
      <c r="E104" s="127">
        <v>134.94</v>
      </c>
      <c r="F104" s="127" t="s">
        <v>83</v>
      </c>
      <c r="G104" s="143" t="s">
        <v>75</v>
      </c>
      <c r="H104" s="144">
        <v>56009</v>
      </c>
      <c r="I104" s="144">
        <v>44987</v>
      </c>
      <c r="J104" s="143">
        <f>IF(F104="商业",[1]项目基本情况!D$15,[1]项目基本情况!E$15)</f>
        <v>30.19</v>
      </c>
      <c r="K104" s="143" t="s">
        <v>84</v>
      </c>
      <c r="L104" s="230"/>
      <c r="M104" s="127">
        <v>18</v>
      </c>
      <c r="N104" s="127" t="s">
        <v>12</v>
      </c>
      <c r="O104" s="143">
        <v>2008</v>
      </c>
      <c r="P104" s="230">
        <f t="shared" si="54"/>
        <v>0</v>
      </c>
      <c r="Q104" s="230">
        <f>ROUND(P104*'[1]数据-取费表'!B$52,0)</f>
        <v>0</v>
      </c>
      <c r="R104" s="230">
        <f t="shared" si="86"/>
        <v>0</v>
      </c>
      <c r="S104" s="230">
        <f t="shared" si="72"/>
        <v>0</v>
      </c>
      <c r="T104" s="233">
        <v>0.8</v>
      </c>
      <c r="U104" s="230">
        <f t="shared" si="87"/>
        <v>0</v>
      </c>
      <c r="V104" s="230">
        <f t="shared" si="55"/>
        <v>0</v>
      </c>
      <c r="W104" s="230">
        <f t="shared" si="73"/>
        <v>0</v>
      </c>
      <c r="X104" s="230">
        <f>ROUND(AC104*'[1]数据-取费表'!$B$41/(1+'[1]数据-取费表'!$C$42),0)</f>
        <v>0</v>
      </c>
      <c r="Y104" s="230">
        <f>ROUND(AC104*'[1]数据-取费表'!$B$51/(1+'[1]数据-取费表'!$C$42),0)</f>
        <v>0</v>
      </c>
      <c r="Z104" s="230">
        <f t="shared" si="56"/>
        <v>0</v>
      </c>
      <c r="AA104" s="230">
        <f t="shared" si="57"/>
        <v>0</v>
      </c>
      <c r="AB104" s="231">
        <f t="shared" si="74"/>
        <v>8.77</v>
      </c>
      <c r="AC104" s="230"/>
      <c r="AD104" s="230">
        <f t="shared" si="75"/>
        <v>0</v>
      </c>
      <c r="AE104" s="230">
        <f t="shared" si="76"/>
        <v>0</v>
      </c>
      <c r="AF104" s="232"/>
      <c r="AG104" s="230"/>
      <c r="AH104" s="236"/>
      <c r="AI104" s="230">
        <f t="shared" si="88"/>
        <v>-123.25</v>
      </c>
      <c r="AJ104" s="230">
        <f t="shared" si="58"/>
        <v>0</v>
      </c>
      <c r="AK104" s="235">
        <f t="shared" si="59"/>
        <v>0</v>
      </c>
      <c r="AL104" s="233">
        <f t="shared" si="60"/>
        <v>2.8</v>
      </c>
      <c r="AM104" s="230">
        <f t="shared" si="61"/>
        <v>0</v>
      </c>
      <c r="AN104" s="230">
        <f t="shared" si="62"/>
        <v>0</v>
      </c>
      <c r="AO104" s="230">
        <f t="shared" si="63"/>
        <v>0</v>
      </c>
      <c r="AP104" s="230">
        <f>ROUND(AV104*'[1]数据-取费表'!$B$41/(1+'[1]数据-取费表'!$B$42),0)</f>
        <v>0</v>
      </c>
      <c r="AQ104" s="230">
        <f>ROUND(AV104*'[1]数据-取费表'!B$51/(1+'[1]数据-取费表'!C$42),0)</f>
        <v>0</v>
      </c>
      <c r="AR104" s="230">
        <f t="shared" si="64"/>
        <v>0</v>
      </c>
      <c r="AS104" s="230">
        <f t="shared" si="77"/>
        <v>0</v>
      </c>
      <c r="AT104" s="234">
        <f t="shared" si="92"/>
        <v>8.77</v>
      </c>
      <c r="AU104" s="235">
        <f t="shared" si="78"/>
        <v>0.23</v>
      </c>
      <c r="AV104" s="230">
        <f t="shared" si="79"/>
        <v>0</v>
      </c>
      <c r="AW104" s="230">
        <f t="shared" si="80"/>
        <v>0</v>
      </c>
      <c r="AX104" s="230">
        <f t="shared" si="65"/>
        <v>0</v>
      </c>
      <c r="AY104" s="230">
        <f t="shared" si="89"/>
        <v>153.44</v>
      </c>
      <c r="AZ104" s="237">
        <f t="shared" si="90"/>
        <v>0</v>
      </c>
      <c r="BA104" s="237">
        <f t="shared" si="81"/>
        <v>0</v>
      </c>
      <c r="BB104" s="239">
        <f t="shared" si="66"/>
        <v>0</v>
      </c>
      <c r="BC104" s="239">
        <f t="shared" si="91"/>
        <v>0</v>
      </c>
      <c r="BD104" s="239">
        <f t="shared" si="82"/>
        <v>0</v>
      </c>
      <c r="BE104" s="237">
        <f t="shared" si="83"/>
        <v>0</v>
      </c>
      <c r="BF104" s="237">
        <f t="shared" si="84"/>
        <v>0</v>
      </c>
      <c r="BG104" s="237">
        <f t="shared" si="67"/>
        <v>0</v>
      </c>
      <c r="BH104" s="237">
        <f t="shared" si="68"/>
        <v>0</v>
      </c>
      <c r="BI104" s="237">
        <f>ROUND(BE104*'[1]数据-取费表'!$B$51/(1+'[1]数据-取费表'!$C$42),0)</f>
        <v>0</v>
      </c>
      <c r="BJ104" s="237">
        <f>ROUND(BG104*'[1]数据-取费表'!B$41/(1+'[1]数据-取费表'!C$42),0)</f>
        <v>0</v>
      </c>
      <c r="BK104" s="237">
        <f t="shared" si="69"/>
        <v>0</v>
      </c>
      <c r="BL104" s="237">
        <f t="shared" si="70"/>
        <v>0</v>
      </c>
      <c r="BM104" s="237">
        <f t="shared" si="85"/>
        <v>0</v>
      </c>
      <c r="BN104" s="238">
        <f t="shared" si="71"/>
        <v>0</v>
      </c>
      <c r="BO104" s="239"/>
      <c r="BP104" s="229">
        <f>BO93/BV95*BV94</f>
        <v>8154.4301482654409</v>
      </c>
      <c r="BQ104" s="229">
        <f>ROUND(BP104*10000/BS94,0)</f>
        <v>49669</v>
      </c>
      <c r="BR104" s="194"/>
    </row>
    <row r="105" spans="1:70" x14ac:dyDescent="0.2">
      <c r="A105" s="146">
        <v>88</v>
      </c>
      <c r="B105" s="125" t="s">
        <v>82</v>
      </c>
      <c r="C105" s="126" t="s">
        <v>85</v>
      </c>
      <c r="D105" s="127">
        <v>2102</v>
      </c>
      <c r="E105" s="127">
        <v>215.21</v>
      </c>
      <c r="F105" s="127" t="s">
        <v>83</v>
      </c>
      <c r="G105" s="143" t="s">
        <v>75</v>
      </c>
      <c r="H105" s="144">
        <v>56009</v>
      </c>
      <c r="I105" s="144">
        <v>44987</v>
      </c>
      <c r="J105" s="143">
        <f>IF(F105="商业",[1]项目基本情况!D$15,[1]项目基本情况!E$15)</f>
        <v>30.19</v>
      </c>
      <c r="K105" s="143" t="s">
        <v>84</v>
      </c>
      <c r="L105" s="230"/>
      <c r="M105" s="127">
        <v>18</v>
      </c>
      <c r="N105" s="127" t="s">
        <v>12</v>
      </c>
      <c r="O105" s="143">
        <v>2008</v>
      </c>
      <c r="P105" s="230">
        <f t="shared" si="54"/>
        <v>0</v>
      </c>
      <c r="Q105" s="230">
        <f>ROUND(P105*'[1]数据-取费表'!B$52,0)</f>
        <v>0</v>
      </c>
      <c r="R105" s="230">
        <f t="shared" si="86"/>
        <v>0</v>
      </c>
      <c r="S105" s="230">
        <f t="shared" si="72"/>
        <v>0</v>
      </c>
      <c r="T105" s="233">
        <v>0.8</v>
      </c>
      <c r="U105" s="230">
        <f t="shared" si="87"/>
        <v>0</v>
      </c>
      <c r="V105" s="230">
        <f t="shared" si="55"/>
        <v>0</v>
      </c>
      <c r="W105" s="230">
        <f t="shared" si="73"/>
        <v>0</v>
      </c>
      <c r="X105" s="230">
        <f>ROUND(AC105*'[1]数据-取费表'!$B$41/(1+'[1]数据-取费表'!$C$42),0)</f>
        <v>0</v>
      </c>
      <c r="Y105" s="230">
        <f>ROUND(AC105*'[1]数据-取费表'!$B$51/(1+'[1]数据-取费表'!$C$42),0)</f>
        <v>0</v>
      </c>
      <c r="Z105" s="230">
        <f t="shared" si="56"/>
        <v>0</v>
      </c>
      <c r="AA105" s="230">
        <f t="shared" si="57"/>
        <v>0</v>
      </c>
      <c r="AB105" s="231">
        <f t="shared" si="74"/>
        <v>8.77</v>
      </c>
      <c r="AC105" s="230"/>
      <c r="AD105" s="230">
        <f t="shared" si="75"/>
        <v>0</v>
      </c>
      <c r="AE105" s="230">
        <f t="shared" si="76"/>
        <v>0</v>
      </c>
      <c r="AF105" s="232"/>
      <c r="AG105" s="230"/>
      <c r="AH105" s="236"/>
      <c r="AI105" s="230">
        <f t="shared" si="88"/>
        <v>-123.25</v>
      </c>
      <c r="AJ105" s="230">
        <f t="shared" si="58"/>
        <v>0</v>
      </c>
      <c r="AK105" s="235">
        <f t="shared" si="59"/>
        <v>0</v>
      </c>
      <c r="AL105" s="233">
        <f t="shared" si="60"/>
        <v>2.8</v>
      </c>
      <c r="AM105" s="230">
        <f t="shared" si="61"/>
        <v>0</v>
      </c>
      <c r="AN105" s="230">
        <f t="shared" si="62"/>
        <v>0</v>
      </c>
      <c r="AO105" s="230">
        <f t="shared" si="63"/>
        <v>0</v>
      </c>
      <c r="AP105" s="230">
        <f>ROUND(AV105*'[1]数据-取费表'!$B$41/(1+'[1]数据-取费表'!$B$42),0)</f>
        <v>0</v>
      </c>
      <c r="AQ105" s="230">
        <f>ROUND(AV105*'[1]数据-取费表'!B$51/(1+'[1]数据-取费表'!C$42),0)</f>
        <v>0</v>
      </c>
      <c r="AR105" s="230">
        <f t="shared" si="64"/>
        <v>0</v>
      </c>
      <c r="AS105" s="230">
        <f t="shared" si="77"/>
        <v>0</v>
      </c>
      <c r="AT105" s="234">
        <f t="shared" si="92"/>
        <v>8.77</v>
      </c>
      <c r="AU105" s="235">
        <f t="shared" si="78"/>
        <v>0.23</v>
      </c>
      <c r="AV105" s="230">
        <f t="shared" si="79"/>
        <v>0</v>
      </c>
      <c r="AW105" s="230">
        <f t="shared" si="80"/>
        <v>0</v>
      </c>
      <c r="AX105" s="230">
        <f t="shared" si="65"/>
        <v>0</v>
      </c>
      <c r="AY105" s="230">
        <f t="shared" si="89"/>
        <v>153.44</v>
      </c>
      <c r="AZ105" s="237">
        <f t="shared" si="90"/>
        <v>0</v>
      </c>
      <c r="BA105" s="237">
        <f t="shared" si="81"/>
        <v>0</v>
      </c>
      <c r="BB105" s="239">
        <f t="shared" si="66"/>
        <v>0</v>
      </c>
      <c r="BC105" s="239">
        <f t="shared" si="91"/>
        <v>0</v>
      </c>
      <c r="BD105" s="239">
        <f t="shared" si="82"/>
        <v>0</v>
      </c>
      <c r="BE105" s="237">
        <f t="shared" si="83"/>
        <v>0</v>
      </c>
      <c r="BF105" s="237">
        <f t="shared" si="84"/>
        <v>0</v>
      </c>
      <c r="BG105" s="237">
        <f t="shared" si="67"/>
        <v>0</v>
      </c>
      <c r="BH105" s="237">
        <f t="shared" si="68"/>
        <v>0</v>
      </c>
      <c r="BI105" s="237">
        <f>ROUND(BE105*'[1]数据-取费表'!$B$51/(1+'[1]数据-取费表'!$C$42),0)</f>
        <v>0</v>
      </c>
      <c r="BJ105" s="237">
        <f>ROUND(BG105*'[1]数据-取费表'!B$41/(1+'[1]数据-取费表'!C$42),0)</f>
        <v>0</v>
      </c>
      <c r="BK105" s="237">
        <f t="shared" si="69"/>
        <v>0</v>
      </c>
      <c r="BL105" s="237">
        <f t="shared" si="70"/>
        <v>0</v>
      </c>
      <c r="BM105" s="237">
        <f t="shared" si="85"/>
        <v>0</v>
      </c>
      <c r="BN105" s="238">
        <f t="shared" si="71"/>
        <v>0</v>
      </c>
      <c r="BO105" s="239"/>
      <c r="BP105" s="229"/>
      <c r="BQ105" s="229"/>
      <c r="BR105" s="194"/>
    </row>
    <row r="106" spans="1:70" x14ac:dyDescent="0.2">
      <c r="A106" s="146">
        <v>89</v>
      </c>
      <c r="B106" s="125" t="s">
        <v>82</v>
      </c>
      <c r="C106" s="126" t="s">
        <v>85</v>
      </c>
      <c r="D106" s="127">
        <v>2105</v>
      </c>
      <c r="E106" s="127">
        <v>245.12</v>
      </c>
      <c r="F106" s="127" t="s">
        <v>83</v>
      </c>
      <c r="G106" s="143" t="s">
        <v>75</v>
      </c>
      <c r="H106" s="144">
        <v>56009</v>
      </c>
      <c r="I106" s="144">
        <v>44987</v>
      </c>
      <c r="J106" s="143">
        <f>IF(F106="商业",[1]项目基本情况!D$15,[1]项目基本情况!E$15)</f>
        <v>30.19</v>
      </c>
      <c r="K106" s="143" t="s">
        <v>84</v>
      </c>
      <c r="L106" s="230"/>
      <c r="M106" s="127">
        <v>18</v>
      </c>
      <c r="N106" s="127" t="s">
        <v>12</v>
      </c>
      <c r="O106" s="143">
        <v>2008</v>
      </c>
      <c r="P106" s="230">
        <f t="shared" si="54"/>
        <v>0</v>
      </c>
      <c r="Q106" s="230">
        <f>ROUND(P106*'[1]数据-取费表'!B$52,0)</f>
        <v>0</v>
      </c>
      <c r="R106" s="230">
        <f t="shared" si="86"/>
        <v>0</v>
      </c>
      <c r="S106" s="230">
        <f t="shared" si="72"/>
        <v>0</v>
      </c>
      <c r="T106" s="233">
        <v>0.8</v>
      </c>
      <c r="U106" s="230">
        <f t="shared" si="87"/>
        <v>0</v>
      </c>
      <c r="V106" s="230">
        <f t="shared" si="55"/>
        <v>0</v>
      </c>
      <c r="W106" s="230">
        <f t="shared" si="73"/>
        <v>0</v>
      </c>
      <c r="X106" s="230">
        <f>ROUND(AC106*'[1]数据-取费表'!$B$41/(1+'[1]数据-取费表'!$C$42),0)</f>
        <v>0</v>
      </c>
      <c r="Y106" s="230">
        <f>ROUND(AC106*'[1]数据-取费表'!$B$51/(1+'[1]数据-取费表'!$C$42),0)</f>
        <v>0</v>
      </c>
      <c r="Z106" s="230">
        <f t="shared" si="56"/>
        <v>0</v>
      </c>
      <c r="AA106" s="230">
        <f t="shared" si="57"/>
        <v>0</v>
      </c>
      <c r="AB106" s="231">
        <f t="shared" si="74"/>
        <v>8.77</v>
      </c>
      <c r="AC106" s="230"/>
      <c r="AD106" s="230">
        <f t="shared" si="75"/>
        <v>0</v>
      </c>
      <c r="AE106" s="230">
        <f t="shared" si="76"/>
        <v>0</v>
      </c>
      <c r="AF106" s="232"/>
      <c r="AG106" s="230"/>
      <c r="AH106" s="236"/>
      <c r="AI106" s="230">
        <f t="shared" si="88"/>
        <v>-123.25</v>
      </c>
      <c r="AJ106" s="230">
        <f t="shared" si="58"/>
        <v>0</v>
      </c>
      <c r="AK106" s="235">
        <f t="shared" si="59"/>
        <v>0</v>
      </c>
      <c r="AL106" s="233">
        <f t="shared" si="60"/>
        <v>2.8</v>
      </c>
      <c r="AM106" s="230">
        <f t="shared" si="61"/>
        <v>0</v>
      </c>
      <c r="AN106" s="230">
        <f t="shared" si="62"/>
        <v>0</v>
      </c>
      <c r="AO106" s="230">
        <f t="shared" si="63"/>
        <v>0</v>
      </c>
      <c r="AP106" s="230">
        <f>ROUND(AV106*'[1]数据-取费表'!$B$41/(1+'[1]数据-取费表'!$B$42),0)</f>
        <v>0</v>
      </c>
      <c r="AQ106" s="230">
        <f>ROUND(AV106*'[1]数据-取费表'!B$51/(1+'[1]数据-取费表'!C$42),0)</f>
        <v>0</v>
      </c>
      <c r="AR106" s="230">
        <f t="shared" si="64"/>
        <v>0</v>
      </c>
      <c r="AS106" s="230">
        <f t="shared" si="77"/>
        <v>0</v>
      </c>
      <c r="AT106" s="234">
        <f t="shared" si="92"/>
        <v>8.77</v>
      </c>
      <c r="AU106" s="235">
        <f t="shared" si="78"/>
        <v>0.23</v>
      </c>
      <c r="AV106" s="230">
        <f t="shared" si="79"/>
        <v>0</v>
      </c>
      <c r="AW106" s="230">
        <f t="shared" si="80"/>
        <v>0</v>
      </c>
      <c r="AX106" s="230">
        <f t="shared" si="65"/>
        <v>0</v>
      </c>
      <c r="AY106" s="230">
        <f t="shared" si="89"/>
        <v>153.44</v>
      </c>
      <c r="AZ106" s="237">
        <f t="shared" si="90"/>
        <v>0</v>
      </c>
      <c r="BA106" s="237">
        <f t="shared" si="81"/>
        <v>0</v>
      </c>
      <c r="BB106" s="239">
        <f t="shared" si="66"/>
        <v>0</v>
      </c>
      <c r="BC106" s="239">
        <f t="shared" si="91"/>
        <v>0</v>
      </c>
      <c r="BD106" s="239">
        <f t="shared" si="82"/>
        <v>0</v>
      </c>
      <c r="BE106" s="237">
        <f t="shared" si="83"/>
        <v>0</v>
      </c>
      <c r="BF106" s="237">
        <f t="shared" si="84"/>
        <v>0</v>
      </c>
      <c r="BG106" s="237">
        <f t="shared" si="67"/>
        <v>0</v>
      </c>
      <c r="BH106" s="237">
        <f t="shared" si="68"/>
        <v>0</v>
      </c>
      <c r="BI106" s="237">
        <f>ROUND(BE106*'[1]数据-取费表'!$B$51/(1+'[1]数据-取费表'!$C$42),0)</f>
        <v>0</v>
      </c>
      <c r="BJ106" s="237">
        <f>ROUND(BG106*'[1]数据-取费表'!B$41/(1+'[1]数据-取费表'!C$42),0)</f>
        <v>0</v>
      </c>
      <c r="BK106" s="237">
        <f t="shared" si="69"/>
        <v>0</v>
      </c>
      <c r="BL106" s="237">
        <f t="shared" si="70"/>
        <v>0</v>
      </c>
      <c r="BM106" s="237">
        <f t="shared" si="85"/>
        <v>0</v>
      </c>
      <c r="BN106" s="238">
        <f t="shared" si="71"/>
        <v>0</v>
      </c>
      <c r="BO106" s="239"/>
      <c r="BP106" s="229"/>
      <c r="BQ106" s="229"/>
      <c r="BR106" s="194"/>
    </row>
    <row r="107" spans="1:70" x14ac:dyDescent="0.2">
      <c r="A107" s="146">
        <v>90</v>
      </c>
      <c r="B107" s="125" t="s">
        <v>82</v>
      </c>
      <c r="C107" s="126" t="s">
        <v>85</v>
      </c>
      <c r="D107" s="127">
        <v>2106</v>
      </c>
      <c r="E107" s="127">
        <v>145.26</v>
      </c>
      <c r="F107" s="127" t="s">
        <v>83</v>
      </c>
      <c r="G107" s="143" t="s">
        <v>75</v>
      </c>
      <c r="H107" s="144">
        <v>56009</v>
      </c>
      <c r="I107" s="144">
        <v>44987</v>
      </c>
      <c r="J107" s="143">
        <f>IF(F107="商业",[1]项目基本情况!D$15,[1]项目基本情况!E$15)</f>
        <v>30.19</v>
      </c>
      <c r="K107" s="143" t="s">
        <v>84</v>
      </c>
      <c r="L107" s="230"/>
      <c r="M107" s="127">
        <v>18</v>
      </c>
      <c r="N107" s="127" t="s">
        <v>12</v>
      </c>
      <c r="O107" s="143">
        <v>2008</v>
      </c>
      <c r="P107" s="230">
        <f t="shared" si="54"/>
        <v>0</v>
      </c>
      <c r="Q107" s="230">
        <f>ROUND(P107*'[1]数据-取费表'!B$52,0)</f>
        <v>0</v>
      </c>
      <c r="R107" s="230">
        <f t="shared" si="86"/>
        <v>0</v>
      </c>
      <c r="S107" s="230">
        <f t="shared" si="72"/>
        <v>0</v>
      </c>
      <c r="T107" s="233">
        <v>0.8</v>
      </c>
      <c r="U107" s="230">
        <f t="shared" si="87"/>
        <v>0</v>
      </c>
      <c r="V107" s="230">
        <f t="shared" si="55"/>
        <v>0</v>
      </c>
      <c r="W107" s="230">
        <f t="shared" si="73"/>
        <v>0</v>
      </c>
      <c r="X107" s="230">
        <f>ROUND(AC107*'[1]数据-取费表'!$B$41/(1+'[1]数据-取费表'!$C$42),0)</f>
        <v>0</v>
      </c>
      <c r="Y107" s="230">
        <f>ROUND(AC107*'[1]数据-取费表'!$B$51/(1+'[1]数据-取费表'!$C$42),0)</f>
        <v>0</v>
      </c>
      <c r="Z107" s="230">
        <f t="shared" si="56"/>
        <v>0</v>
      </c>
      <c r="AA107" s="230">
        <f t="shared" si="57"/>
        <v>0</v>
      </c>
      <c r="AB107" s="231">
        <f t="shared" si="74"/>
        <v>8.77</v>
      </c>
      <c r="AC107" s="230"/>
      <c r="AD107" s="230">
        <f t="shared" si="75"/>
        <v>0</v>
      </c>
      <c r="AE107" s="230">
        <f t="shared" si="76"/>
        <v>0</v>
      </c>
      <c r="AF107" s="232"/>
      <c r="AG107" s="230"/>
      <c r="AH107" s="236"/>
      <c r="AI107" s="230">
        <f t="shared" si="88"/>
        <v>-123.25</v>
      </c>
      <c r="AJ107" s="230">
        <f t="shared" si="58"/>
        <v>0</v>
      </c>
      <c r="AK107" s="235">
        <f t="shared" si="59"/>
        <v>0</v>
      </c>
      <c r="AL107" s="233">
        <f t="shared" si="60"/>
        <v>2.8</v>
      </c>
      <c r="AM107" s="230">
        <f t="shared" si="61"/>
        <v>0</v>
      </c>
      <c r="AN107" s="230">
        <f t="shared" si="62"/>
        <v>0</v>
      </c>
      <c r="AO107" s="230">
        <f t="shared" si="63"/>
        <v>0</v>
      </c>
      <c r="AP107" s="230">
        <f>ROUND(AV107*'[1]数据-取费表'!$B$41/(1+'[1]数据-取费表'!$B$42),0)</f>
        <v>0</v>
      </c>
      <c r="AQ107" s="230">
        <f>ROUND(AV107*'[1]数据-取费表'!B$51/(1+'[1]数据-取费表'!C$42),0)</f>
        <v>0</v>
      </c>
      <c r="AR107" s="230">
        <f t="shared" si="64"/>
        <v>0</v>
      </c>
      <c r="AS107" s="230">
        <f t="shared" si="77"/>
        <v>0</v>
      </c>
      <c r="AT107" s="234">
        <f t="shared" si="92"/>
        <v>8.77</v>
      </c>
      <c r="AU107" s="235">
        <f t="shared" si="78"/>
        <v>0.23</v>
      </c>
      <c r="AV107" s="230">
        <f t="shared" si="79"/>
        <v>0</v>
      </c>
      <c r="AW107" s="230">
        <f t="shared" si="80"/>
        <v>0</v>
      </c>
      <c r="AX107" s="230">
        <f t="shared" si="65"/>
        <v>0</v>
      </c>
      <c r="AY107" s="230">
        <f t="shared" si="89"/>
        <v>153.44</v>
      </c>
      <c r="AZ107" s="237">
        <f t="shared" si="90"/>
        <v>0</v>
      </c>
      <c r="BA107" s="237">
        <f t="shared" si="81"/>
        <v>0</v>
      </c>
      <c r="BB107" s="239">
        <f t="shared" si="66"/>
        <v>0</v>
      </c>
      <c r="BC107" s="239">
        <f t="shared" si="91"/>
        <v>0</v>
      </c>
      <c r="BD107" s="239">
        <f t="shared" si="82"/>
        <v>0</v>
      </c>
      <c r="BE107" s="237">
        <f t="shared" si="83"/>
        <v>0</v>
      </c>
      <c r="BF107" s="237">
        <f t="shared" si="84"/>
        <v>0</v>
      </c>
      <c r="BG107" s="237">
        <f t="shared" si="67"/>
        <v>0</v>
      </c>
      <c r="BH107" s="237">
        <f t="shared" si="68"/>
        <v>0</v>
      </c>
      <c r="BI107" s="237">
        <f>ROUND(BE107*'[1]数据-取费表'!$B$51/(1+'[1]数据-取费表'!$C$42),0)</f>
        <v>0</v>
      </c>
      <c r="BJ107" s="237">
        <f>ROUND(BG107*'[1]数据-取费表'!B$41/(1+'[1]数据-取费表'!C$42),0)</f>
        <v>0</v>
      </c>
      <c r="BK107" s="237">
        <f t="shared" si="69"/>
        <v>0</v>
      </c>
      <c r="BL107" s="237">
        <f t="shared" si="70"/>
        <v>0</v>
      </c>
      <c r="BM107" s="237">
        <f t="shared" si="85"/>
        <v>0</v>
      </c>
      <c r="BN107" s="238">
        <f t="shared" si="71"/>
        <v>0</v>
      </c>
      <c r="BO107" s="239"/>
      <c r="BP107" s="229"/>
      <c r="BQ107" s="229"/>
      <c r="BR107" s="194"/>
    </row>
    <row r="108" spans="1:70" x14ac:dyDescent="0.2">
      <c r="A108" s="146">
        <v>91</v>
      </c>
      <c r="B108" s="125" t="s">
        <v>82</v>
      </c>
      <c r="C108" s="126" t="s">
        <v>85</v>
      </c>
      <c r="D108" s="127">
        <v>2107</v>
      </c>
      <c r="E108" s="127">
        <v>139.97999999999999</v>
      </c>
      <c r="F108" s="127" t="s">
        <v>83</v>
      </c>
      <c r="G108" s="143" t="s">
        <v>75</v>
      </c>
      <c r="H108" s="144">
        <v>56009</v>
      </c>
      <c r="I108" s="144">
        <v>44987</v>
      </c>
      <c r="J108" s="143">
        <f>IF(F108="商业",[1]项目基本情况!D$15,[1]项目基本情况!E$15)</f>
        <v>30.19</v>
      </c>
      <c r="K108" s="143" t="s">
        <v>84</v>
      </c>
      <c r="L108" s="230"/>
      <c r="M108" s="127">
        <v>18</v>
      </c>
      <c r="N108" s="127" t="s">
        <v>12</v>
      </c>
      <c r="O108" s="143">
        <v>2008</v>
      </c>
      <c r="P108" s="230">
        <f t="shared" si="54"/>
        <v>0</v>
      </c>
      <c r="Q108" s="230">
        <f>ROUND(P108*'[1]数据-取费表'!B$52,0)</f>
        <v>0</v>
      </c>
      <c r="R108" s="230">
        <f t="shared" si="86"/>
        <v>0</v>
      </c>
      <c r="S108" s="230">
        <f t="shared" si="72"/>
        <v>0</v>
      </c>
      <c r="T108" s="233">
        <v>0.8</v>
      </c>
      <c r="U108" s="230">
        <f t="shared" si="87"/>
        <v>0</v>
      </c>
      <c r="V108" s="230">
        <f t="shared" si="55"/>
        <v>0</v>
      </c>
      <c r="W108" s="230">
        <f t="shared" si="73"/>
        <v>0</v>
      </c>
      <c r="X108" s="230">
        <f>ROUND(AC108*'[1]数据-取费表'!$B$41/(1+'[1]数据-取费表'!$C$42),0)</f>
        <v>0</v>
      </c>
      <c r="Y108" s="230">
        <f>ROUND(AC108*'[1]数据-取费表'!$B$51/(1+'[1]数据-取费表'!$C$42),0)</f>
        <v>0</v>
      </c>
      <c r="Z108" s="230">
        <f t="shared" si="56"/>
        <v>0</v>
      </c>
      <c r="AA108" s="230">
        <f t="shared" si="57"/>
        <v>0</v>
      </c>
      <c r="AB108" s="231">
        <f t="shared" si="74"/>
        <v>8.77</v>
      </c>
      <c r="AC108" s="230"/>
      <c r="AD108" s="230">
        <f t="shared" si="75"/>
        <v>0</v>
      </c>
      <c r="AE108" s="230">
        <f t="shared" si="76"/>
        <v>0</v>
      </c>
      <c r="AF108" s="232"/>
      <c r="AG108" s="230"/>
      <c r="AH108" s="236"/>
      <c r="AI108" s="230">
        <f t="shared" si="88"/>
        <v>-123.25</v>
      </c>
      <c r="AJ108" s="230">
        <f t="shared" si="58"/>
        <v>0</v>
      </c>
      <c r="AK108" s="235">
        <f t="shared" si="59"/>
        <v>0</v>
      </c>
      <c r="AL108" s="233">
        <f t="shared" si="60"/>
        <v>2.8</v>
      </c>
      <c r="AM108" s="230">
        <f t="shared" si="61"/>
        <v>0</v>
      </c>
      <c r="AN108" s="230">
        <f t="shared" si="62"/>
        <v>0</v>
      </c>
      <c r="AO108" s="230">
        <f t="shared" si="63"/>
        <v>0</v>
      </c>
      <c r="AP108" s="230">
        <f>ROUND(AV108*'[1]数据-取费表'!$B$41/(1+'[1]数据-取费表'!$B$42),0)</f>
        <v>0</v>
      </c>
      <c r="AQ108" s="230">
        <f>ROUND(AV108*'[1]数据-取费表'!B$51/(1+'[1]数据-取费表'!C$42),0)</f>
        <v>0</v>
      </c>
      <c r="AR108" s="230">
        <f t="shared" si="64"/>
        <v>0</v>
      </c>
      <c r="AS108" s="230">
        <f t="shared" si="77"/>
        <v>0</v>
      </c>
      <c r="AT108" s="234">
        <f t="shared" si="92"/>
        <v>8.77</v>
      </c>
      <c r="AU108" s="235">
        <f t="shared" si="78"/>
        <v>0.23</v>
      </c>
      <c r="AV108" s="230">
        <f t="shared" si="79"/>
        <v>0</v>
      </c>
      <c r="AW108" s="230">
        <f t="shared" si="80"/>
        <v>0</v>
      </c>
      <c r="AX108" s="230">
        <f t="shared" si="65"/>
        <v>0</v>
      </c>
      <c r="AY108" s="230">
        <f t="shared" si="89"/>
        <v>153.44</v>
      </c>
      <c r="AZ108" s="237">
        <f t="shared" si="90"/>
        <v>0</v>
      </c>
      <c r="BA108" s="237">
        <f t="shared" si="81"/>
        <v>0</v>
      </c>
      <c r="BB108" s="239">
        <f t="shared" si="66"/>
        <v>0</v>
      </c>
      <c r="BC108" s="239">
        <f t="shared" si="91"/>
        <v>0</v>
      </c>
      <c r="BD108" s="239">
        <f t="shared" si="82"/>
        <v>0</v>
      </c>
      <c r="BE108" s="237">
        <f t="shared" si="83"/>
        <v>0</v>
      </c>
      <c r="BF108" s="237">
        <f t="shared" si="84"/>
        <v>0</v>
      </c>
      <c r="BG108" s="237">
        <f t="shared" si="67"/>
        <v>0</v>
      </c>
      <c r="BH108" s="237">
        <f t="shared" si="68"/>
        <v>0</v>
      </c>
      <c r="BI108" s="237">
        <f>ROUND(BE108*'[1]数据-取费表'!$B$51/(1+'[1]数据-取费表'!$C$42),0)</f>
        <v>0</v>
      </c>
      <c r="BJ108" s="237">
        <f>ROUND(BG108*'[1]数据-取费表'!B$41/(1+'[1]数据-取费表'!C$42),0)</f>
        <v>0</v>
      </c>
      <c r="BK108" s="237">
        <f t="shared" si="69"/>
        <v>0</v>
      </c>
      <c r="BL108" s="237">
        <f t="shared" si="70"/>
        <v>0</v>
      </c>
      <c r="BM108" s="237">
        <f t="shared" si="85"/>
        <v>0</v>
      </c>
      <c r="BN108" s="238">
        <f t="shared" si="71"/>
        <v>0</v>
      </c>
      <c r="BO108" s="239"/>
      <c r="BP108" s="229"/>
      <c r="BQ108" s="229"/>
      <c r="BR108" s="194"/>
    </row>
    <row r="109" spans="1:70" x14ac:dyDescent="0.2">
      <c r="A109" s="146">
        <v>92</v>
      </c>
      <c r="B109" s="125" t="s">
        <v>82</v>
      </c>
      <c r="C109" s="126" t="s">
        <v>85</v>
      </c>
      <c r="D109" s="127">
        <v>2108</v>
      </c>
      <c r="E109" s="127">
        <v>135.16999999999999</v>
      </c>
      <c r="F109" s="127" t="s">
        <v>83</v>
      </c>
      <c r="G109" s="143" t="s">
        <v>75</v>
      </c>
      <c r="H109" s="144">
        <v>56009</v>
      </c>
      <c r="I109" s="144">
        <v>44987</v>
      </c>
      <c r="J109" s="143">
        <f>IF(F109="商业",[1]项目基本情况!D$15,[1]项目基本情况!E$15)</f>
        <v>30.19</v>
      </c>
      <c r="K109" s="143" t="s">
        <v>84</v>
      </c>
      <c r="L109" s="230"/>
      <c r="M109" s="127">
        <v>18</v>
      </c>
      <c r="N109" s="127" t="s">
        <v>12</v>
      </c>
      <c r="O109" s="143">
        <v>2008</v>
      </c>
      <c r="P109" s="230">
        <f t="shared" si="54"/>
        <v>0</v>
      </c>
      <c r="Q109" s="230">
        <f>ROUND(P109*'[1]数据-取费表'!B$52,0)</f>
        <v>0</v>
      </c>
      <c r="R109" s="230">
        <f t="shared" si="86"/>
        <v>0</v>
      </c>
      <c r="S109" s="230">
        <f t="shared" si="72"/>
        <v>0</v>
      </c>
      <c r="T109" s="233">
        <v>0.8</v>
      </c>
      <c r="U109" s="230">
        <f t="shared" si="87"/>
        <v>0</v>
      </c>
      <c r="V109" s="230">
        <f t="shared" si="55"/>
        <v>0</v>
      </c>
      <c r="W109" s="230">
        <f t="shared" si="73"/>
        <v>0</v>
      </c>
      <c r="X109" s="230">
        <f>ROUND(AC109*'[1]数据-取费表'!$B$41/(1+'[1]数据-取费表'!$C$42),0)</f>
        <v>0</v>
      </c>
      <c r="Y109" s="230">
        <f>ROUND(AC109*'[1]数据-取费表'!$B$51/(1+'[1]数据-取费表'!$C$42),0)</f>
        <v>0</v>
      </c>
      <c r="Z109" s="230">
        <f t="shared" si="56"/>
        <v>0</v>
      </c>
      <c r="AA109" s="230">
        <f t="shared" si="57"/>
        <v>0</v>
      </c>
      <c r="AB109" s="231">
        <f t="shared" si="74"/>
        <v>8.77</v>
      </c>
      <c r="AC109" s="230"/>
      <c r="AD109" s="230">
        <f t="shared" si="75"/>
        <v>0</v>
      </c>
      <c r="AE109" s="230">
        <f t="shared" si="76"/>
        <v>0</v>
      </c>
      <c r="AF109" s="232"/>
      <c r="AG109" s="230"/>
      <c r="AH109" s="236"/>
      <c r="AI109" s="230">
        <f t="shared" si="88"/>
        <v>-123.25</v>
      </c>
      <c r="AJ109" s="230">
        <f t="shared" si="58"/>
        <v>0</v>
      </c>
      <c r="AK109" s="235">
        <f t="shared" si="59"/>
        <v>0</v>
      </c>
      <c r="AL109" s="233">
        <f t="shared" si="60"/>
        <v>2.8</v>
      </c>
      <c r="AM109" s="230">
        <f t="shared" si="61"/>
        <v>0</v>
      </c>
      <c r="AN109" s="230">
        <f t="shared" si="62"/>
        <v>0</v>
      </c>
      <c r="AO109" s="230">
        <f t="shared" si="63"/>
        <v>0</v>
      </c>
      <c r="AP109" s="230">
        <f>ROUND(AV109*'[1]数据-取费表'!$B$41/(1+'[1]数据-取费表'!$B$42),0)</f>
        <v>0</v>
      </c>
      <c r="AQ109" s="230">
        <f>ROUND(AV109*'[1]数据-取费表'!B$51/(1+'[1]数据-取费表'!C$42),0)</f>
        <v>0</v>
      </c>
      <c r="AR109" s="230">
        <f t="shared" si="64"/>
        <v>0</v>
      </c>
      <c r="AS109" s="230">
        <f t="shared" si="77"/>
        <v>0</v>
      </c>
      <c r="AT109" s="234">
        <f t="shared" si="92"/>
        <v>8.77</v>
      </c>
      <c r="AU109" s="235">
        <f t="shared" si="78"/>
        <v>0.23</v>
      </c>
      <c r="AV109" s="230">
        <f t="shared" si="79"/>
        <v>0</v>
      </c>
      <c r="AW109" s="230">
        <f t="shared" si="80"/>
        <v>0</v>
      </c>
      <c r="AX109" s="230">
        <f t="shared" si="65"/>
        <v>0</v>
      </c>
      <c r="AY109" s="230">
        <f t="shared" si="89"/>
        <v>153.44</v>
      </c>
      <c r="AZ109" s="237">
        <f t="shared" si="90"/>
        <v>0</v>
      </c>
      <c r="BA109" s="237">
        <f t="shared" si="81"/>
        <v>0</v>
      </c>
      <c r="BB109" s="239">
        <f t="shared" si="66"/>
        <v>0</v>
      </c>
      <c r="BC109" s="239">
        <f t="shared" si="91"/>
        <v>0</v>
      </c>
      <c r="BD109" s="239">
        <f t="shared" si="82"/>
        <v>0</v>
      </c>
      <c r="BE109" s="237">
        <f t="shared" si="83"/>
        <v>0</v>
      </c>
      <c r="BF109" s="237">
        <f t="shared" si="84"/>
        <v>0</v>
      </c>
      <c r="BG109" s="237">
        <f t="shared" si="67"/>
        <v>0</v>
      </c>
      <c r="BH109" s="237">
        <f t="shared" si="68"/>
        <v>0</v>
      </c>
      <c r="BI109" s="237">
        <f>ROUND(BE109*'[1]数据-取费表'!$B$51/(1+'[1]数据-取费表'!$C$42),0)</f>
        <v>0</v>
      </c>
      <c r="BJ109" s="237">
        <f>ROUND(BG109*'[1]数据-取费表'!B$41/(1+'[1]数据-取费表'!C$42),0)</f>
        <v>0</v>
      </c>
      <c r="BK109" s="237">
        <f t="shared" si="69"/>
        <v>0</v>
      </c>
      <c r="BL109" s="237">
        <f t="shared" si="70"/>
        <v>0</v>
      </c>
      <c r="BM109" s="237">
        <f t="shared" si="85"/>
        <v>0</v>
      </c>
      <c r="BN109" s="238">
        <f t="shared" si="71"/>
        <v>0</v>
      </c>
      <c r="BO109" s="239"/>
      <c r="BP109" s="229"/>
      <c r="BQ109" s="229"/>
      <c r="BR109" s="194"/>
    </row>
    <row r="110" spans="1:70" x14ac:dyDescent="0.2">
      <c r="A110" s="146">
        <v>93</v>
      </c>
      <c r="B110" s="125" t="s">
        <v>82</v>
      </c>
      <c r="C110" s="126" t="s">
        <v>85</v>
      </c>
      <c r="D110" s="127">
        <v>2109</v>
      </c>
      <c r="E110" s="127">
        <v>135.16999999999999</v>
      </c>
      <c r="F110" s="127" t="s">
        <v>83</v>
      </c>
      <c r="G110" s="143" t="s">
        <v>75</v>
      </c>
      <c r="H110" s="144">
        <v>56009</v>
      </c>
      <c r="I110" s="144">
        <v>44987</v>
      </c>
      <c r="J110" s="143">
        <f>IF(F110="商业",[1]项目基本情况!D$15,[1]项目基本情况!E$15)</f>
        <v>30.19</v>
      </c>
      <c r="K110" s="143" t="s">
        <v>84</v>
      </c>
      <c r="L110" s="230"/>
      <c r="M110" s="127">
        <v>18</v>
      </c>
      <c r="N110" s="127" t="s">
        <v>12</v>
      </c>
      <c r="O110" s="143">
        <v>2008</v>
      </c>
      <c r="P110" s="230">
        <f t="shared" si="54"/>
        <v>0</v>
      </c>
      <c r="Q110" s="230">
        <f>ROUND(P110*'[1]数据-取费表'!B$52,0)</f>
        <v>0</v>
      </c>
      <c r="R110" s="230">
        <f t="shared" si="86"/>
        <v>0</v>
      </c>
      <c r="S110" s="230">
        <f t="shared" si="72"/>
        <v>0</v>
      </c>
      <c r="T110" s="233">
        <v>0.8</v>
      </c>
      <c r="U110" s="230">
        <f t="shared" si="87"/>
        <v>0</v>
      </c>
      <c r="V110" s="230">
        <f t="shared" si="55"/>
        <v>0</v>
      </c>
      <c r="W110" s="230">
        <f t="shared" si="73"/>
        <v>0</v>
      </c>
      <c r="X110" s="230">
        <f>ROUND(AC110*'[1]数据-取费表'!$B$41/(1+'[1]数据-取费表'!$C$42),0)</f>
        <v>0</v>
      </c>
      <c r="Y110" s="230">
        <f>ROUND(AC110*'[1]数据-取费表'!$B$51/(1+'[1]数据-取费表'!$C$42),0)</f>
        <v>0</v>
      </c>
      <c r="Z110" s="230">
        <f t="shared" si="56"/>
        <v>0</v>
      </c>
      <c r="AA110" s="230">
        <f t="shared" si="57"/>
        <v>0</v>
      </c>
      <c r="AB110" s="231">
        <f t="shared" si="74"/>
        <v>8.77</v>
      </c>
      <c r="AC110" s="230"/>
      <c r="AD110" s="230">
        <f t="shared" si="75"/>
        <v>0</v>
      </c>
      <c r="AE110" s="230">
        <f t="shared" si="76"/>
        <v>0</v>
      </c>
      <c r="AF110" s="232"/>
      <c r="AG110" s="230"/>
      <c r="AH110" s="236"/>
      <c r="AI110" s="230">
        <f t="shared" si="88"/>
        <v>-123.25</v>
      </c>
      <c r="AJ110" s="230">
        <f t="shared" si="58"/>
        <v>0</v>
      </c>
      <c r="AK110" s="235">
        <f t="shared" si="59"/>
        <v>0</v>
      </c>
      <c r="AL110" s="233">
        <f t="shared" si="60"/>
        <v>2.8</v>
      </c>
      <c r="AM110" s="230">
        <f t="shared" si="61"/>
        <v>0</v>
      </c>
      <c r="AN110" s="230">
        <f t="shared" si="62"/>
        <v>0</v>
      </c>
      <c r="AO110" s="230">
        <f t="shared" si="63"/>
        <v>0</v>
      </c>
      <c r="AP110" s="230">
        <f>ROUND(AV110*'[1]数据-取费表'!$B$41/(1+'[1]数据-取费表'!$B$42),0)</f>
        <v>0</v>
      </c>
      <c r="AQ110" s="230">
        <f>ROUND(AV110*'[1]数据-取费表'!B$51/(1+'[1]数据-取费表'!C$42),0)</f>
        <v>0</v>
      </c>
      <c r="AR110" s="230">
        <f t="shared" si="64"/>
        <v>0</v>
      </c>
      <c r="AS110" s="230">
        <f t="shared" si="77"/>
        <v>0</v>
      </c>
      <c r="AT110" s="234">
        <f t="shared" si="92"/>
        <v>8.77</v>
      </c>
      <c r="AU110" s="235">
        <f t="shared" si="78"/>
        <v>0.23</v>
      </c>
      <c r="AV110" s="230">
        <f t="shared" si="79"/>
        <v>0</v>
      </c>
      <c r="AW110" s="230">
        <f t="shared" si="80"/>
        <v>0</v>
      </c>
      <c r="AX110" s="230">
        <f t="shared" si="65"/>
        <v>0</v>
      </c>
      <c r="AY110" s="230">
        <f t="shared" si="89"/>
        <v>153.44</v>
      </c>
      <c r="AZ110" s="237">
        <f t="shared" si="90"/>
        <v>0</v>
      </c>
      <c r="BA110" s="237">
        <f t="shared" si="81"/>
        <v>0</v>
      </c>
      <c r="BB110" s="239">
        <f t="shared" si="66"/>
        <v>0</v>
      </c>
      <c r="BC110" s="239">
        <f t="shared" si="91"/>
        <v>0</v>
      </c>
      <c r="BD110" s="239">
        <f t="shared" si="82"/>
        <v>0</v>
      </c>
      <c r="BE110" s="237">
        <f t="shared" si="83"/>
        <v>0</v>
      </c>
      <c r="BF110" s="237">
        <f t="shared" si="84"/>
        <v>0</v>
      </c>
      <c r="BG110" s="237">
        <f t="shared" si="67"/>
        <v>0</v>
      </c>
      <c r="BH110" s="237">
        <f t="shared" si="68"/>
        <v>0</v>
      </c>
      <c r="BI110" s="237">
        <f>ROUND(BE110*'[1]数据-取费表'!$B$51/(1+'[1]数据-取费表'!$C$42),0)</f>
        <v>0</v>
      </c>
      <c r="BJ110" s="237">
        <f>ROUND(BG110*'[1]数据-取费表'!B$41/(1+'[1]数据-取费表'!C$42),0)</f>
        <v>0</v>
      </c>
      <c r="BK110" s="237">
        <f t="shared" si="69"/>
        <v>0</v>
      </c>
      <c r="BL110" s="237">
        <f t="shared" si="70"/>
        <v>0</v>
      </c>
      <c r="BM110" s="237">
        <f t="shared" si="85"/>
        <v>0</v>
      </c>
      <c r="BN110" s="238">
        <f t="shared" si="71"/>
        <v>0</v>
      </c>
      <c r="BO110" s="239"/>
      <c r="BP110" s="229"/>
      <c r="BQ110" s="229"/>
      <c r="BR110" s="194"/>
    </row>
    <row r="111" spans="1:70" x14ac:dyDescent="0.2">
      <c r="A111" s="146">
        <v>94</v>
      </c>
      <c r="B111" s="125" t="s">
        <v>82</v>
      </c>
      <c r="C111" s="126" t="s">
        <v>85</v>
      </c>
      <c r="D111" s="127">
        <v>2110</v>
      </c>
      <c r="E111" s="127">
        <v>139.97999999999999</v>
      </c>
      <c r="F111" s="127" t="s">
        <v>83</v>
      </c>
      <c r="G111" s="143" t="s">
        <v>75</v>
      </c>
      <c r="H111" s="144">
        <v>56009</v>
      </c>
      <c r="I111" s="144">
        <v>44987</v>
      </c>
      <c r="J111" s="143">
        <f>IF(F111="商业",[1]项目基本情况!D$15,[1]项目基本情况!E$15)</f>
        <v>30.19</v>
      </c>
      <c r="K111" s="143" t="s">
        <v>84</v>
      </c>
      <c r="L111" s="230"/>
      <c r="M111" s="127">
        <v>18</v>
      </c>
      <c r="N111" s="127" t="s">
        <v>12</v>
      </c>
      <c r="O111" s="143">
        <v>2008</v>
      </c>
      <c r="P111" s="230">
        <f t="shared" si="54"/>
        <v>0</v>
      </c>
      <c r="Q111" s="230">
        <f>ROUND(P111*'[1]数据-取费表'!B$52,0)</f>
        <v>0</v>
      </c>
      <c r="R111" s="230">
        <f t="shared" si="86"/>
        <v>0</v>
      </c>
      <c r="S111" s="230">
        <f t="shared" si="72"/>
        <v>0</v>
      </c>
      <c r="T111" s="233">
        <v>0.8</v>
      </c>
      <c r="U111" s="230">
        <f t="shared" si="87"/>
        <v>0</v>
      </c>
      <c r="V111" s="230">
        <f t="shared" si="55"/>
        <v>0</v>
      </c>
      <c r="W111" s="230">
        <f t="shared" si="73"/>
        <v>0</v>
      </c>
      <c r="X111" s="230">
        <f>ROUND(AC111*'[1]数据-取费表'!$B$41/(1+'[1]数据-取费表'!$C$42),0)</f>
        <v>0</v>
      </c>
      <c r="Y111" s="230">
        <f>ROUND(AC111*'[1]数据-取费表'!$B$51/(1+'[1]数据-取费表'!$C$42),0)</f>
        <v>0</v>
      </c>
      <c r="Z111" s="230">
        <f t="shared" si="56"/>
        <v>0</v>
      </c>
      <c r="AA111" s="230">
        <f t="shared" si="57"/>
        <v>0</v>
      </c>
      <c r="AB111" s="231">
        <f t="shared" si="74"/>
        <v>8.77</v>
      </c>
      <c r="AC111" s="230"/>
      <c r="AD111" s="230">
        <f t="shared" si="75"/>
        <v>0</v>
      </c>
      <c r="AE111" s="230">
        <f t="shared" si="76"/>
        <v>0</v>
      </c>
      <c r="AF111" s="232"/>
      <c r="AG111" s="230"/>
      <c r="AH111" s="236"/>
      <c r="AI111" s="230">
        <f t="shared" si="88"/>
        <v>-123.25</v>
      </c>
      <c r="AJ111" s="230">
        <f t="shared" si="58"/>
        <v>0</v>
      </c>
      <c r="AK111" s="235">
        <f t="shared" si="59"/>
        <v>0</v>
      </c>
      <c r="AL111" s="233">
        <f t="shared" si="60"/>
        <v>2.8</v>
      </c>
      <c r="AM111" s="230">
        <f t="shared" si="61"/>
        <v>0</v>
      </c>
      <c r="AN111" s="230">
        <f t="shared" si="62"/>
        <v>0</v>
      </c>
      <c r="AO111" s="230">
        <f t="shared" si="63"/>
        <v>0</v>
      </c>
      <c r="AP111" s="230">
        <f>ROUND(AV111*'[1]数据-取费表'!$B$41/(1+'[1]数据-取费表'!$B$42),0)</f>
        <v>0</v>
      </c>
      <c r="AQ111" s="230">
        <f>ROUND(AV111*'[1]数据-取费表'!B$51/(1+'[1]数据-取费表'!C$42),0)</f>
        <v>0</v>
      </c>
      <c r="AR111" s="230">
        <f t="shared" si="64"/>
        <v>0</v>
      </c>
      <c r="AS111" s="230">
        <f t="shared" si="77"/>
        <v>0</v>
      </c>
      <c r="AT111" s="234">
        <f t="shared" si="92"/>
        <v>8.77</v>
      </c>
      <c r="AU111" s="235">
        <f t="shared" si="78"/>
        <v>0.23</v>
      </c>
      <c r="AV111" s="230">
        <f t="shared" si="79"/>
        <v>0</v>
      </c>
      <c r="AW111" s="230">
        <f t="shared" si="80"/>
        <v>0</v>
      </c>
      <c r="AX111" s="230">
        <f t="shared" si="65"/>
        <v>0</v>
      </c>
      <c r="AY111" s="230">
        <f t="shared" si="89"/>
        <v>153.44</v>
      </c>
      <c r="AZ111" s="237">
        <f t="shared" si="90"/>
        <v>0</v>
      </c>
      <c r="BA111" s="237">
        <f t="shared" si="81"/>
        <v>0</v>
      </c>
      <c r="BB111" s="239">
        <f t="shared" si="66"/>
        <v>0</v>
      </c>
      <c r="BC111" s="239">
        <f t="shared" si="91"/>
        <v>0</v>
      </c>
      <c r="BD111" s="239">
        <f t="shared" si="82"/>
        <v>0</v>
      </c>
      <c r="BE111" s="237">
        <f t="shared" si="83"/>
        <v>0</v>
      </c>
      <c r="BF111" s="237">
        <f t="shared" si="84"/>
        <v>0</v>
      </c>
      <c r="BG111" s="237">
        <f t="shared" si="67"/>
        <v>0</v>
      </c>
      <c r="BH111" s="237">
        <f t="shared" si="68"/>
        <v>0</v>
      </c>
      <c r="BI111" s="237">
        <f>ROUND(BE111*'[1]数据-取费表'!$B$51/(1+'[1]数据-取费表'!$C$42),0)</f>
        <v>0</v>
      </c>
      <c r="BJ111" s="237">
        <f>ROUND(BG111*'[1]数据-取费表'!B$41/(1+'[1]数据-取费表'!C$42),0)</f>
        <v>0</v>
      </c>
      <c r="BK111" s="237">
        <f t="shared" si="69"/>
        <v>0</v>
      </c>
      <c r="BL111" s="237">
        <f t="shared" si="70"/>
        <v>0</v>
      </c>
      <c r="BM111" s="237">
        <f t="shared" si="85"/>
        <v>0</v>
      </c>
      <c r="BN111" s="238">
        <f t="shared" si="71"/>
        <v>0</v>
      </c>
      <c r="BO111" s="239"/>
      <c r="BP111" s="229"/>
      <c r="BQ111" s="229"/>
      <c r="BR111" s="194"/>
    </row>
    <row r="112" spans="1:70" x14ac:dyDescent="0.2">
      <c r="A112" s="146">
        <v>95</v>
      </c>
      <c r="B112" s="125" t="s">
        <v>82</v>
      </c>
      <c r="C112" s="126" t="s">
        <v>85</v>
      </c>
      <c r="D112" s="127">
        <v>2111</v>
      </c>
      <c r="E112" s="127">
        <v>140.18</v>
      </c>
      <c r="F112" s="127" t="s">
        <v>83</v>
      </c>
      <c r="G112" s="143" t="s">
        <v>75</v>
      </c>
      <c r="H112" s="144">
        <v>56009</v>
      </c>
      <c r="I112" s="144">
        <v>44987</v>
      </c>
      <c r="J112" s="143">
        <f>IF(F112="商业",[1]项目基本情况!D$15,[1]项目基本情况!E$15)</f>
        <v>30.19</v>
      </c>
      <c r="K112" s="143" t="s">
        <v>84</v>
      </c>
      <c r="L112" s="230"/>
      <c r="M112" s="127">
        <v>18</v>
      </c>
      <c r="N112" s="127" t="s">
        <v>12</v>
      </c>
      <c r="O112" s="143">
        <v>2008</v>
      </c>
      <c r="P112" s="230">
        <f t="shared" si="54"/>
        <v>0</v>
      </c>
      <c r="Q112" s="230">
        <f>ROUND(P112*'[1]数据-取费表'!B$52,0)</f>
        <v>0</v>
      </c>
      <c r="R112" s="230">
        <f t="shared" si="86"/>
        <v>0</v>
      </c>
      <c r="S112" s="230">
        <f t="shared" si="72"/>
        <v>0</v>
      </c>
      <c r="T112" s="233">
        <v>0.8</v>
      </c>
      <c r="U112" s="230">
        <f t="shared" si="87"/>
        <v>0</v>
      </c>
      <c r="V112" s="230">
        <f t="shared" si="55"/>
        <v>0</v>
      </c>
      <c r="W112" s="230">
        <f t="shared" si="73"/>
        <v>0</v>
      </c>
      <c r="X112" s="230">
        <f>ROUND(AC112*'[1]数据-取费表'!$B$41/(1+'[1]数据-取费表'!$C$42),0)</f>
        <v>0</v>
      </c>
      <c r="Y112" s="230">
        <f>ROUND(AC112*'[1]数据-取费表'!$B$51/(1+'[1]数据-取费表'!$C$42),0)</f>
        <v>0</v>
      </c>
      <c r="Z112" s="230">
        <f t="shared" si="56"/>
        <v>0</v>
      </c>
      <c r="AA112" s="230">
        <f t="shared" si="57"/>
        <v>0</v>
      </c>
      <c r="AB112" s="231">
        <f t="shared" si="74"/>
        <v>8.77</v>
      </c>
      <c r="AC112" s="230"/>
      <c r="AD112" s="230">
        <f t="shared" si="75"/>
        <v>0</v>
      </c>
      <c r="AE112" s="230">
        <f t="shared" si="76"/>
        <v>0</v>
      </c>
      <c r="AF112" s="232"/>
      <c r="AG112" s="230"/>
      <c r="AH112" s="236"/>
      <c r="AI112" s="230">
        <f t="shared" si="88"/>
        <v>-123.25</v>
      </c>
      <c r="AJ112" s="230">
        <f t="shared" si="58"/>
        <v>0</v>
      </c>
      <c r="AK112" s="235">
        <f t="shared" si="59"/>
        <v>0</v>
      </c>
      <c r="AL112" s="233">
        <f t="shared" si="60"/>
        <v>2.8</v>
      </c>
      <c r="AM112" s="230">
        <f t="shared" si="61"/>
        <v>0</v>
      </c>
      <c r="AN112" s="230">
        <f t="shared" si="62"/>
        <v>0</v>
      </c>
      <c r="AO112" s="230">
        <f t="shared" si="63"/>
        <v>0</v>
      </c>
      <c r="AP112" s="230">
        <f>ROUND(AV112*'[1]数据-取费表'!$B$41/(1+'[1]数据-取费表'!$B$42),0)</f>
        <v>0</v>
      </c>
      <c r="AQ112" s="230">
        <f>ROUND(AV112*'[1]数据-取费表'!B$51/(1+'[1]数据-取费表'!C$42),0)</f>
        <v>0</v>
      </c>
      <c r="AR112" s="230">
        <f t="shared" si="64"/>
        <v>0</v>
      </c>
      <c r="AS112" s="230">
        <f t="shared" si="77"/>
        <v>0</v>
      </c>
      <c r="AT112" s="234">
        <f t="shared" si="92"/>
        <v>8.77</v>
      </c>
      <c r="AU112" s="235">
        <f t="shared" si="78"/>
        <v>0.23</v>
      </c>
      <c r="AV112" s="230">
        <f t="shared" si="79"/>
        <v>0</v>
      </c>
      <c r="AW112" s="230">
        <f t="shared" si="80"/>
        <v>0</v>
      </c>
      <c r="AX112" s="230">
        <f t="shared" si="65"/>
        <v>0</v>
      </c>
      <c r="AY112" s="230">
        <f t="shared" si="89"/>
        <v>153.44</v>
      </c>
      <c r="AZ112" s="237">
        <f t="shared" si="90"/>
        <v>0</v>
      </c>
      <c r="BA112" s="237">
        <f t="shared" si="81"/>
        <v>0</v>
      </c>
      <c r="BB112" s="239">
        <f t="shared" si="66"/>
        <v>0</v>
      </c>
      <c r="BC112" s="239">
        <f t="shared" si="91"/>
        <v>0</v>
      </c>
      <c r="BD112" s="239">
        <f t="shared" si="82"/>
        <v>0</v>
      </c>
      <c r="BE112" s="237">
        <f t="shared" si="83"/>
        <v>0</v>
      </c>
      <c r="BF112" s="237">
        <f t="shared" si="84"/>
        <v>0</v>
      </c>
      <c r="BG112" s="237">
        <f t="shared" si="67"/>
        <v>0</v>
      </c>
      <c r="BH112" s="237">
        <f t="shared" si="68"/>
        <v>0</v>
      </c>
      <c r="BI112" s="237">
        <f>ROUND(BE112*'[1]数据-取费表'!$B$51/(1+'[1]数据-取费表'!$C$42),0)</f>
        <v>0</v>
      </c>
      <c r="BJ112" s="237">
        <f>ROUND(BG112*'[1]数据-取费表'!B$41/(1+'[1]数据-取费表'!C$42),0)</f>
        <v>0</v>
      </c>
      <c r="BK112" s="237">
        <f t="shared" si="69"/>
        <v>0</v>
      </c>
      <c r="BL112" s="237">
        <f t="shared" si="70"/>
        <v>0</v>
      </c>
      <c r="BM112" s="237">
        <f t="shared" si="85"/>
        <v>0</v>
      </c>
      <c r="BN112" s="238">
        <f t="shared" si="71"/>
        <v>0</v>
      </c>
      <c r="BO112" s="239"/>
      <c r="BP112" s="229"/>
      <c r="BQ112" s="229"/>
      <c r="BR112" s="194"/>
    </row>
    <row r="113" spans="1:71" x14ac:dyDescent="0.2">
      <c r="A113" s="146">
        <v>96</v>
      </c>
      <c r="B113" s="125" t="s">
        <v>82</v>
      </c>
      <c r="C113" s="126" t="s">
        <v>85</v>
      </c>
      <c r="D113" s="127">
        <v>2112</v>
      </c>
      <c r="E113" s="127">
        <v>210.76</v>
      </c>
      <c r="F113" s="127" t="s">
        <v>83</v>
      </c>
      <c r="G113" s="143" t="s">
        <v>75</v>
      </c>
      <c r="H113" s="144">
        <v>56009</v>
      </c>
      <c r="I113" s="144">
        <v>44987</v>
      </c>
      <c r="J113" s="143">
        <f>IF(F113="商业",[1]项目基本情况!D$15,[1]项目基本情况!E$15)</f>
        <v>30.19</v>
      </c>
      <c r="K113" s="143" t="s">
        <v>84</v>
      </c>
      <c r="L113" s="230"/>
      <c r="M113" s="127">
        <v>18</v>
      </c>
      <c r="N113" s="127" t="s">
        <v>12</v>
      </c>
      <c r="O113" s="143">
        <v>2008</v>
      </c>
      <c r="P113" s="230">
        <f t="shared" si="54"/>
        <v>0</v>
      </c>
      <c r="Q113" s="230">
        <f>ROUND(P113*'[1]数据-取费表'!B$52,0)</f>
        <v>0</v>
      </c>
      <c r="R113" s="230">
        <f t="shared" si="86"/>
        <v>0</v>
      </c>
      <c r="S113" s="230">
        <f t="shared" si="72"/>
        <v>0</v>
      </c>
      <c r="T113" s="233">
        <v>0.8</v>
      </c>
      <c r="U113" s="230">
        <f t="shared" si="87"/>
        <v>0</v>
      </c>
      <c r="V113" s="230">
        <f t="shared" si="55"/>
        <v>0</v>
      </c>
      <c r="W113" s="230">
        <f t="shared" si="73"/>
        <v>0</v>
      </c>
      <c r="X113" s="230">
        <f>ROUND(AC113*'[1]数据-取费表'!$B$41/(1+'[1]数据-取费表'!$C$42),0)</f>
        <v>0</v>
      </c>
      <c r="Y113" s="230">
        <f>ROUND(AC113*'[1]数据-取费表'!$B$51/(1+'[1]数据-取费表'!$C$42),0)</f>
        <v>0</v>
      </c>
      <c r="Z113" s="230">
        <f t="shared" si="56"/>
        <v>0</v>
      </c>
      <c r="AA113" s="230">
        <f t="shared" si="57"/>
        <v>0</v>
      </c>
      <c r="AB113" s="231">
        <f t="shared" si="74"/>
        <v>8.77</v>
      </c>
      <c r="AC113" s="230"/>
      <c r="AD113" s="230">
        <f t="shared" si="75"/>
        <v>0</v>
      </c>
      <c r="AE113" s="230">
        <f t="shared" si="76"/>
        <v>0</v>
      </c>
      <c r="AF113" s="232"/>
      <c r="AG113" s="230"/>
      <c r="AH113" s="236"/>
      <c r="AI113" s="230">
        <f t="shared" si="88"/>
        <v>-123.25</v>
      </c>
      <c r="AJ113" s="230">
        <f t="shared" si="58"/>
        <v>0</v>
      </c>
      <c r="AK113" s="235">
        <f t="shared" si="59"/>
        <v>0</v>
      </c>
      <c r="AL113" s="233">
        <f t="shared" si="60"/>
        <v>2.8</v>
      </c>
      <c r="AM113" s="230">
        <f t="shared" si="61"/>
        <v>0</v>
      </c>
      <c r="AN113" s="230">
        <f t="shared" si="62"/>
        <v>0</v>
      </c>
      <c r="AO113" s="230">
        <f t="shared" si="63"/>
        <v>0</v>
      </c>
      <c r="AP113" s="230">
        <f>ROUND(AV113*'[1]数据-取费表'!$B$41/(1+'[1]数据-取费表'!$B$42),0)</f>
        <v>0</v>
      </c>
      <c r="AQ113" s="230">
        <f>ROUND(AV113*'[1]数据-取费表'!B$51/(1+'[1]数据-取费表'!C$42),0)</f>
        <v>0</v>
      </c>
      <c r="AR113" s="230">
        <f t="shared" si="64"/>
        <v>0</v>
      </c>
      <c r="AS113" s="230">
        <f t="shared" si="77"/>
        <v>0</v>
      </c>
      <c r="AT113" s="234">
        <f t="shared" si="92"/>
        <v>8.77</v>
      </c>
      <c r="AU113" s="235">
        <f t="shared" si="78"/>
        <v>0.23</v>
      </c>
      <c r="AV113" s="230">
        <f t="shared" si="79"/>
        <v>0</v>
      </c>
      <c r="AW113" s="230">
        <f t="shared" si="80"/>
        <v>0</v>
      </c>
      <c r="AX113" s="230">
        <f t="shared" si="65"/>
        <v>0</v>
      </c>
      <c r="AY113" s="230">
        <f t="shared" si="89"/>
        <v>153.44</v>
      </c>
      <c r="AZ113" s="237">
        <f t="shared" si="90"/>
        <v>0</v>
      </c>
      <c r="BA113" s="237">
        <f t="shared" si="81"/>
        <v>0</v>
      </c>
      <c r="BB113" s="239">
        <f t="shared" si="66"/>
        <v>0</v>
      </c>
      <c r="BC113" s="239">
        <f t="shared" si="91"/>
        <v>0</v>
      </c>
      <c r="BD113" s="239">
        <f t="shared" si="82"/>
        <v>0</v>
      </c>
      <c r="BE113" s="237">
        <f t="shared" si="83"/>
        <v>0</v>
      </c>
      <c r="BF113" s="237">
        <f t="shared" si="84"/>
        <v>0</v>
      </c>
      <c r="BG113" s="237">
        <f t="shared" si="67"/>
        <v>0</v>
      </c>
      <c r="BH113" s="237">
        <f t="shared" si="68"/>
        <v>0</v>
      </c>
      <c r="BI113" s="237">
        <f>ROUND(BE113*'[1]数据-取费表'!$B$51/(1+'[1]数据-取费表'!$C$42),0)</f>
        <v>0</v>
      </c>
      <c r="BJ113" s="237">
        <f>ROUND(BG113*'[1]数据-取费表'!B$41/(1+'[1]数据-取费表'!C$42),0)</f>
        <v>0</v>
      </c>
      <c r="BK113" s="237">
        <f t="shared" si="69"/>
        <v>0</v>
      </c>
      <c r="BL113" s="237">
        <f t="shared" si="70"/>
        <v>0</v>
      </c>
      <c r="BM113" s="237">
        <f t="shared" si="85"/>
        <v>0</v>
      </c>
      <c r="BN113" s="238">
        <f t="shared" si="71"/>
        <v>0</v>
      </c>
      <c r="BO113" s="239"/>
      <c r="BP113" s="229"/>
      <c r="BQ113" s="229"/>
      <c r="BR113" s="194"/>
    </row>
    <row r="114" spans="1:71" x14ac:dyDescent="0.2">
      <c r="A114" s="146">
        <v>97</v>
      </c>
      <c r="B114" s="141" t="s">
        <v>82</v>
      </c>
      <c r="C114" s="142" t="s">
        <v>85</v>
      </c>
      <c r="D114" s="143">
        <v>1201</v>
      </c>
      <c r="E114" s="143">
        <v>243.71</v>
      </c>
      <c r="F114" s="143" t="s">
        <v>83</v>
      </c>
      <c r="G114" s="143" t="s">
        <v>75</v>
      </c>
      <c r="H114" s="144">
        <v>56009</v>
      </c>
      <c r="I114" s="144">
        <v>44987</v>
      </c>
      <c r="J114" s="143">
        <f>IF(F114="商业",[1]项目基本情况!D$15,[1]项目基本情况!E$15)</f>
        <v>30.19</v>
      </c>
      <c r="K114" s="143" t="s">
        <v>84</v>
      </c>
      <c r="L114" s="230">
        <f>SUM(E114:E118)</f>
        <v>884.75</v>
      </c>
      <c r="M114" s="143">
        <v>11</v>
      </c>
      <c r="N114" s="143" t="s">
        <v>11</v>
      </c>
      <c r="O114" s="143">
        <v>2008</v>
      </c>
      <c r="P114" s="230">
        <f t="shared" si="54"/>
        <v>165.37</v>
      </c>
      <c r="Q114" s="230">
        <f>ROUND(P114*'[1]数据-取费表'!B$52,0)</f>
        <v>4961</v>
      </c>
      <c r="R114" s="230">
        <f t="shared" si="86"/>
        <v>10025607</v>
      </c>
      <c r="S114" s="230">
        <f t="shared" si="72"/>
        <v>150384</v>
      </c>
      <c r="T114" s="233">
        <v>0.8</v>
      </c>
      <c r="U114" s="230">
        <f t="shared" si="87"/>
        <v>8020486</v>
      </c>
      <c r="V114" s="230">
        <f t="shared" si="55"/>
        <v>8020</v>
      </c>
      <c r="W114" s="230">
        <f t="shared" si="73"/>
        <v>10273</v>
      </c>
      <c r="X114" s="230">
        <f>ROUND(AC114*'[1]数据-取费表'!$B$41/(1+'[1]数据-取费表'!$C$42),0)</f>
        <v>109174</v>
      </c>
      <c r="Y114" s="230">
        <f>ROUND(AC114*'[1]数据-取费表'!$B$51/(1+'[1]数据-取费表'!$C$42),0)</f>
        <v>233945</v>
      </c>
      <c r="Z114" s="230">
        <f t="shared" si="56"/>
        <v>348080</v>
      </c>
      <c r="AA114" s="230">
        <f t="shared" si="57"/>
        <v>516757</v>
      </c>
      <c r="AB114" s="231">
        <f>ROUND(AC114/365/L114,2)</f>
        <v>6.34</v>
      </c>
      <c r="AC114" s="230">
        <v>2047017</v>
      </c>
      <c r="AD114" s="230">
        <f t="shared" si="75"/>
        <v>7676</v>
      </c>
      <c r="AE114" s="230">
        <f t="shared" si="76"/>
        <v>2054693</v>
      </c>
      <c r="AF114" s="232">
        <v>0</v>
      </c>
      <c r="AG114" s="230"/>
      <c r="AH114" s="236">
        <v>45443</v>
      </c>
      <c r="AI114" s="230">
        <f t="shared" si="88"/>
        <v>1.24</v>
      </c>
      <c r="AJ114" s="230">
        <f t="shared" si="58"/>
        <v>1537936</v>
      </c>
      <c r="AK114" s="235">
        <f t="shared" si="59"/>
        <v>1796160</v>
      </c>
      <c r="AL114" s="233">
        <f t="shared" si="60"/>
        <v>0.73</v>
      </c>
      <c r="AM114" s="230">
        <f t="shared" si="61"/>
        <v>7318693</v>
      </c>
      <c r="AN114" s="230">
        <f t="shared" si="62"/>
        <v>7319</v>
      </c>
      <c r="AO114" s="230">
        <f t="shared" si="63"/>
        <v>13011</v>
      </c>
      <c r="AP114" s="230">
        <f>ROUND(AV114*'[1]数据-取费表'!$B$41/(1+'[1]数据-取费表'!$B$42),0)</f>
        <v>138267</v>
      </c>
      <c r="AQ114" s="230">
        <f>ROUND(AV114*'[1]数据-取费表'!B$51/(1+'[1]数据-取费表'!C$42),0)</f>
        <v>296287</v>
      </c>
      <c r="AR114" s="230">
        <f t="shared" si="64"/>
        <v>439515</v>
      </c>
      <c r="AS114" s="230">
        <f t="shared" si="77"/>
        <v>610229</v>
      </c>
      <c r="AT114" s="234">
        <f t="shared" si="92"/>
        <v>8.6</v>
      </c>
      <c r="AU114" s="235">
        <f t="shared" si="78"/>
        <v>8.92</v>
      </c>
      <c r="AV114" s="230">
        <f t="shared" si="79"/>
        <v>2592512</v>
      </c>
      <c r="AW114" s="230">
        <f t="shared" si="80"/>
        <v>9722</v>
      </c>
      <c r="AX114" s="230">
        <f t="shared" si="65"/>
        <v>2602234</v>
      </c>
      <c r="AY114" s="230">
        <f t="shared" si="89"/>
        <v>28.950000000000003</v>
      </c>
      <c r="AZ114" s="237">
        <f t="shared" si="90"/>
        <v>1992005</v>
      </c>
      <c r="BA114" s="237">
        <f t="shared" si="81"/>
        <v>39885122</v>
      </c>
      <c r="BB114" s="239">
        <f t="shared" si="66"/>
        <v>37323114</v>
      </c>
      <c r="BC114" s="239">
        <f t="shared" si="91"/>
        <v>598976</v>
      </c>
      <c r="BD114" s="239">
        <f t="shared" si="82"/>
        <v>3971.83</v>
      </c>
      <c r="BE114" s="237">
        <f t="shared" si="83"/>
        <v>2499507</v>
      </c>
      <c r="BF114" s="237">
        <f t="shared" si="84"/>
        <v>9373</v>
      </c>
      <c r="BG114" s="237">
        <f t="shared" si="67"/>
        <v>2508880</v>
      </c>
      <c r="BH114" s="237">
        <f t="shared" si="68"/>
        <v>12544</v>
      </c>
      <c r="BI114" s="237">
        <f>ROUND(BE114*'[1]数据-取费表'!$B$51/(1+'[1]数据-取费表'!$C$42),0)</f>
        <v>285658</v>
      </c>
      <c r="BJ114" s="237">
        <f>ROUND(BG114*'[1]数据-取费表'!B$41/(1+'[1]数据-取费表'!C$42),0)</f>
        <v>133807</v>
      </c>
      <c r="BK114" s="237">
        <f t="shared" si="69"/>
        <v>595374</v>
      </c>
      <c r="BL114" s="237">
        <f t="shared" si="70"/>
        <v>1913506</v>
      </c>
      <c r="BM114" s="237">
        <f t="shared" si="85"/>
        <v>2242616</v>
      </c>
      <c r="BN114" s="238">
        <f t="shared" si="71"/>
        <v>446456</v>
      </c>
      <c r="BO114" s="239">
        <f>BD114/$BD$234*$BS$3</f>
        <v>5517.3722842478337</v>
      </c>
      <c r="BP114" s="239">
        <f>SUM(BO114:BO124)</f>
        <v>10721.371636219243</v>
      </c>
      <c r="BQ114" s="239">
        <f>ROUND(BP114*10000/BS114,0)</f>
        <v>62454</v>
      </c>
      <c r="BR114" s="195"/>
      <c r="BS114" s="20">
        <f>SUM(E114:E124)</f>
        <v>1716.6800000000003</v>
      </c>
    </row>
    <row r="115" spans="1:71" x14ac:dyDescent="0.2">
      <c r="A115" s="146">
        <v>98</v>
      </c>
      <c r="B115" s="141" t="s">
        <v>82</v>
      </c>
      <c r="C115" s="142" t="s">
        <v>85</v>
      </c>
      <c r="D115" s="143">
        <v>1202</v>
      </c>
      <c r="E115" s="143">
        <v>234.16</v>
      </c>
      <c r="F115" s="143" t="s">
        <v>83</v>
      </c>
      <c r="G115" s="143" t="s">
        <v>75</v>
      </c>
      <c r="H115" s="144">
        <v>56009</v>
      </c>
      <c r="I115" s="144">
        <v>44987</v>
      </c>
      <c r="J115" s="143">
        <f>IF(F115="商业",[1]项目基本情况!D$15,[1]项目基本情况!E$15)</f>
        <v>30.19</v>
      </c>
      <c r="K115" s="143" t="s">
        <v>84</v>
      </c>
      <c r="L115" s="230"/>
      <c r="M115" s="143">
        <v>11</v>
      </c>
      <c r="N115" s="143" t="s">
        <v>11</v>
      </c>
      <c r="O115" s="143">
        <v>2008</v>
      </c>
      <c r="P115" s="230">
        <f t="shared" si="54"/>
        <v>0</v>
      </c>
      <c r="Q115" s="230">
        <f>ROUND(P115*'[1]数据-取费表'!B$52,0)</f>
        <v>0</v>
      </c>
      <c r="R115" s="230">
        <f t="shared" si="86"/>
        <v>0</v>
      </c>
      <c r="S115" s="230">
        <f t="shared" si="72"/>
        <v>0</v>
      </c>
      <c r="T115" s="233">
        <v>0.8</v>
      </c>
      <c r="U115" s="230">
        <f t="shared" si="87"/>
        <v>0</v>
      </c>
      <c r="V115" s="230">
        <f t="shared" si="55"/>
        <v>0</v>
      </c>
      <c r="W115" s="230">
        <f t="shared" si="73"/>
        <v>0</v>
      </c>
      <c r="X115" s="230">
        <f>ROUND(AC115*'[1]数据-取费表'!$B$41/(1+'[1]数据-取费表'!$C$42),0)</f>
        <v>0</v>
      </c>
      <c r="Y115" s="230">
        <f>ROUND(AC115*'[1]数据-取费表'!$B$51/(1+'[1]数据-取费表'!$C$42),0)</f>
        <v>0</v>
      </c>
      <c r="Z115" s="230">
        <f t="shared" si="56"/>
        <v>0</v>
      </c>
      <c r="AA115" s="230">
        <f t="shared" si="57"/>
        <v>0</v>
      </c>
      <c r="AB115" s="231">
        <f t="shared" si="74"/>
        <v>8.6</v>
      </c>
      <c r="AC115" s="230"/>
      <c r="AD115" s="230">
        <f t="shared" si="75"/>
        <v>0</v>
      </c>
      <c r="AE115" s="230">
        <f t="shared" si="76"/>
        <v>0</v>
      </c>
      <c r="AF115" s="232"/>
      <c r="AG115" s="230"/>
      <c r="AH115" s="236"/>
      <c r="AI115" s="230">
        <f t="shared" si="88"/>
        <v>-123.25</v>
      </c>
      <c r="AJ115" s="230">
        <f t="shared" si="58"/>
        <v>0</v>
      </c>
      <c r="AK115" s="235">
        <f t="shared" si="59"/>
        <v>0</v>
      </c>
      <c r="AL115" s="233">
        <f t="shared" si="60"/>
        <v>2.8</v>
      </c>
      <c r="AM115" s="230">
        <f t="shared" si="61"/>
        <v>0</v>
      </c>
      <c r="AN115" s="230">
        <f t="shared" si="62"/>
        <v>0</v>
      </c>
      <c r="AO115" s="230">
        <f t="shared" si="63"/>
        <v>0</v>
      </c>
      <c r="AP115" s="230">
        <f>ROUND(AV115*'[1]数据-取费表'!$B$41/(1+'[1]数据-取费表'!$B$42),0)</f>
        <v>0</v>
      </c>
      <c r="AQ115" s="230">
        <f>ROUND(AV115*'[1]数据-取费表'!B$51/(1+'[1]数据-取费表'!C$42),0)</f>
        <v>0</v>
      </c>
      <c r="AR115" s="230">
        <f t="shared" si="64"/>
        <v>0</v>
      </c>
      <c r="AS115" s="230">
        <f t="shared" si="77"/>
        <v>0</v>
      </c>
      <c r="AT115" s="234">
        <f t="shared" si="92"/>
        <v>8.6</v>
      </c>
      <c r="AU115" s="235">
        <f t="shared" si="78"/>
        <v>0.23</v>
      </c>
      <c r="AV115" s="230">
        <f t="shared" si="79"/>
        <v>0</v>
      </c>
      <c r="AW115" s="230">
        <f t="shared" si="80"/>
        <v>0</v>
      </c>
      <c r="AX115" s="230">
        <f t="shared" si="65"/>
        <v>0</v>
      </c>
      <c r="AY115" s="230">
        <f t="shared" si="89"/>
        <v>153.44</v>
      </c>
      <c r="AZ115" s="237">
        <f t="shared" si="90"/>
        <v>0</v>
      </c>
      <c r="BA115" s="237">
        <f t="shared" si="81"/>
        <v>0</v>
      </c>
      <c r="BB115" s="239">
        <f t="shared" si="66"/>
        <v>0</v>
      </c>
      <c r="BC115" s="239">
        <f t="shared" si="91"/>
        <v>0</v>
      </c>
      <c r="BD115" s="239">
        <f t="shared" si="82"/>
        <v>0</v>
      </c>
      <c r="BE115" s="237">
        <f t="shared" si="83"/>
        <v>0</v>
      </c>
      <c r="BF115" s="237">
        <f t="shared" si="84"/>
        <v>0</v>
      </c>
      <c r="BG115" s="237">
        <f t="shared" si="67"/>
        <v>0</v>
      </c>
      <c r="BH115" s="237">
        <f t="shared" si="68"/>
        <v>0</v>
      </c>
      <c r="BI115" s="237">
        <f>ROUND(BE115*'[1]数据-取费表'!$B$51/(1+'[1]数据-取费表'!$C$42),0)</f>
        <v>0</v>
      </c>
      <c r="BJ115" s="237">
        <f>ROUND(BG115*'[1]数据-取费表'!B$41/(1+'[1]数据-取费表'!C$42),0)</f>
        <v>0</v>
      </c>
      <c r="BK115" s="237">
        <f t="shared" si="69"/>
        <v>0</v>
      </c>
      <c r="BL115" s="237">
        <f t="shared" si="70"/>
        <v>0</v>
      </c>
      <c r="BM115" s="237">
        <f t="shared" si="85"/>
        <v>0</v>
      </c>
      <c r="BN115" s="238">
        <f t="shared" si="71"/>
        <v>0</v>
      </c>
      <c r="BO115" s="239"/>
      <c r="BP115" s="239"/>
      <c r="BQ115" s="239"/>
      <c r="BR115" s="195"/>
    </row>
    <row r="116" spans="1:71" x14ac:dyDescent="0.2">
      <c r="A116" s="146">
        <v>99</v>
      </c>
      <c r="B116" s="141" t="s">
        <v>82</v>
      </c>
      <c r="C116" s="142" t="s">
        <v>85</v>
      </c>
      <c r="D116" s="143">
        <v>1211</v>
      </c>
      <c r="E116" s="143">
        <v>140.79</v>
      </c>
      <c r="F116" s="143" t="s">
        <v>83</v>
      </c>
      <c r="G116" s="143" t="s">
        <v>75</v>
      </c>
      <c r="H116" s="144">
        <v>56009</v>
      </c>
      <c r="I116" s="144">
        <v>44987</v>
      </c>
      <c r="J116" s="143">
        <f>IF(F116="商业",[1]项目基本情况!D$15,[1]项目基本情况!E$15)</f>
        <v>30.19</v>
      </c>
      <c r="K116" s="143" t="s">
        <v>84</v>
      </c>
      <c r="L116" s="230"/>
      <c r="M116" s="143">
        <v>11</v>
      </c>
      <c r="N116" s="143" t="s">
        <v>11</v>
      </c>
      <c r="O116" s="143">
        <v>2008</v>
      </c>
      <c r="P116" s="230">
        <f t="shared" si="54"/>
        <v>0</v>
      </c>
      <c r="Q116" s="230">
        <f>ROUND(P116*'[1]数据-取费表'!B$52,0)</f>
        <v>0</v>
      </c>
      <c r="R116" s="230">
        <f t="shared" si="86"/>
        <v>0</v>
      </c>
      <c r="S116" s="230">
        <f t="shared" si="72"/>
        <v>0</v>
      </c>
      <c r="T116" s="233">
        <v>0.8</v>
      </c>
      <c r="U116" s="230">
        <f t="shared" si="87"/>
        <v>0</v>
      </c>
      <c r="V116" s="230">
        <f t="shared" si="55"/>
        <v>0</v>
      </c>
      <c r="W116" s="230">
        <f t="shared" si="73"/>
        <v>0</v>
      </c>
      <c r="X116" s="230">
        <f>ROUND(AC116*'[1]数据-取费表'!$B$41/(1+'[1]数据-取费表'!$C$42),0)</f>
        <v>0</v>
      </c>
      <c r="Y116" s="230">
        <f>ROUND(AC116*'[1]数据-取费表'!$B$51/(1+'[1]数据-取费表'!$C$42),0)</f>
        <v>0</v>
      </c>
      <c r="Z116" s="230">
        <f t="shared" si="56"/>
        <v>0</v>
      </c>
      <c r="AA116" s="230">
        <f t="shared" si="57"/>
        <v>0</v>
      </c>
      <c r="AB116" s="231">
        <f t="shared" si="74"/>
        <v>8.6</v>
      </c>
      <c r="AC116" s="230"/>
      <c r="AD116" s="230">
        <f t="shared" si="75"/>
        <v>0</v>
      </c>
      <c r="AE116" s="230">
        <f t="shared" si="76"/>
        <v>0</v>
      </c>
      <c r="AF116" s="232"/>
      <c r="AG116" s="230"/>
      <c r="AH116" s="236"/>
      <c r="AI116" s="230">
        <f t="shared" si="88"/>
        <v>-123.25</v>
      </c>
      <c r="AJ116" s="230">
        <f t="shared" si="58"/>
        <v>0</v>
      </c>
      <c r="AK116" s="235">
        <f t="shared" si="59"/>
        <v>0</v>
      </c>
      <c r="AL116" s="233">
        <f t="shared" si="60"/>
        <v>2.8</v>
      </c>
      <c r="AM116" s="230">
        <f t="shared" si="61"/>
        <v>0</v>
      </c>
      <c r="AN116" s="230">
        <f t="shared" si="62"/>
        <v>0</v>
      </c>
      <c r="AO116" s="230">
        <f t="shared" si="63"/>
        <v>0</v>
      </c>
      <c r="AP116" s="230">
        <f>ROUND(AV116*'[1]数据-取费表'!$B$41/(1+'[1]数据-取费表'!$B$42),0)</f>
        <v>0</v>
      </c>
      <c r="AQ116" s="230">
        <f>ROUND(AV116*'[1]数据-取费表'!B$51/(1+'[1]数据-取费表'!C$42),0)</f>
        <v>0</v>
      </c>
      <c r="AR116" s="230">
        <f t="shared" si="64"/>
        <v>0</v>
      </c>
      <c r="AS116" s="230">
        <f t="shared" si="77"/>
        <v>0</v>
      </c>
      <c r="AT116" s="234">
        <f t="shared" si="92"/>
        <v>8.6</v>
      </c>
      <c r="AU116" s="235">
        <f t="shared" si="78"/>
        <v>0.23</v>
      </c>
      <c r="AV116" s="230">
        <f t="shared" si="79"/>
        <v>0</v>
      </c>
      <c r="AW116" s="230">
        <f t="shared" si="80"/>
        <v>0</v>
      </c>
      <c r="AX116" s="230">
        <f t="shared" si="65"/>
        <v>0</v>
      </c>
      <c r="AY116" s="230">
        <f t="shared" si="89"/>
        <v>153.44</v>
      </c>
      <c r="AZ116" s="237">
        <f t="shared" si="90"/>
        <v>0</v>
      </c>
      <c r="BA116" s="237">
        <f t="shared" si="81"/>
        <v>0</v>
      </c>
      <c r="BB116" s="239">
        <f t="shared" si="66"/>
        <v>0</v>
      </c>
      <c r="BC116" s="239">
        <f t="shared" si="91"/>
        <v>0</v>
      </c>
      <c r="BD116" s="239">
        <f t="shared" si="82"/>
        <v>0</v>
      </c>
      <c r="BE116" s="237">
        <f t="shared" si="83"/>
        <v>0</v>
      </c>
      <c r="BF116" s="237">
        <f t="shared" si="84"/>
        <v>0</v>
      </c>
      <c r="BG116" s="237">
        <f t="shared" si="67"/>
        <v>0</v>
      </c>
      <c r="BH116" s="237">
        <f t="shared" si="68"/>
        <v>0</v>
      </c>
      <c r="BI116" s="237">
        <f>ROUND(BE116*'[1]数据-取费表'!$B$51/(1+'[1]数据-取费表'!$C$42),0)</f>
        <v>0</v>
      </c>
      <c r="BJ116" s="237">
        <f>ROUND(BG116*'[1]数据-取费表'!B$41/(1+'[1]数据-取费表'!C$42),0)</f>
        <v>0</v>
      </c>
      <c r="BK116" s="237">
        <f t="shared" si="69"/>
        <v>0</v>
      </c>
      <c r="BL116" s="237">
        <f t="shared" si="70"/>
        <v>0</v>
      </c>
      <c r="BM116" s="237">
        <f t="shared" si="85"/>
        <v>0</v>
      </c>
      <c r="BN116" s="238">
        <f t="shared" si="71"/>
        <v>0</v>
      </c>
      <c r="BO116" s="239"/>
      <c r="BP116" s="239"/>
      <c r="BQ116" s="239"/>
      <c r="BR116" s="195"/>
    </row>
    <row r="117" spans="1:71" x14ac:dyDescent="0.2">
      <c r="A117" s="146">
        <v>100</v>
      </c>
      <c r="B117" s="141" t="s">
        <v>82</v>
      </c>
      <c r="C117" s="142" t="s">
        <v>85</v>
      </c>
      <c r="D117" s="143">
        <v>1212</v>
      </c>
      <c r="E117" s="143">
        <v>204.62</v>
      </c>
      <c r="F117" s="143" t="s">
        <v>83</v>
      </c>
      <c r="G117" s="143" t="s">
        <v>75</v>
      </c>
      <c r="H117" s="144">
        <v>56009</v>
      </c>
      <c r="I117" s="144">
        <v>44987</v>
      </c>
      <c r="J117" s="143">
        <f>IF(F117="商业",[1]项目基本情况!D$15,[1]项目基本情况!E$15)</f>
        <v>30.19</v>
      </c>
      <c r="K117" s="143" t="s">
        <v>84</v>
      </c>
      <c r="L117" s="230"/>
      <c r="M117" s="143">
        <v>11</v>
      </c>
      <c r="N117" s="143" t="s">
        <v>11</v>
      </c>
      <c r="O117" s="143">
        <v>2008</v>
      </c>
      <c r="P117" s="230">
        <f t="shared" si="54"/>
        <v>0</v>
      </c>
      <c r="Q117" s="230">
        <f>ROUND(P117*'[1]数据-取费表'!B$52,0)</f>
        <v>0</v>
      </c>
      <c r="R117" s="230">
        <f t="shared" si="86"/>
        <v>0</v>
      </c>
      <c r="S117" s="230">
        <f t="shared" si="72"/>
        <v>0</v>
      </c>
      <c r="T117" s="233">
        <v>0.8</v>
      </c>
      <c r="U117" s="230">
        <f t="shared" si="87"/>
        <v>0</v>
      </c>
      <c r="V117" s="230">
        <f t="shared" si="55"/>
        <v>0</v>
      </c>
      <c r="W117" s="230">
        <f t="shared" si="73"/>
        <v>0</v>
      </c>
      <c r="X117" s="230">
        <f>ROUND(AC117*'[1]数据-取费表'!$B$41/(1+'[1]数据-取费表'!$C$42),0)</f>
        <v>0</v>
      </c>
      <c r="Y117" s="230">
        <f>ROUND(AC117*'[1]数据-取费表'!$B$51/(1+'[1]数据-取费表'!$C$42),0)</f>
        <v>0</v>
      </c>
      <c r="Z117" s="230">
        <f t="shared" si="56"/>
        <v>0</v>
      </c>
      <c r="AA117" s="230">
        <f t="shared" si="57"/>
        <v>0</v>
      </c>
      <c r="AB117" s="231">
        <f t="shared" si="74"/>
        <v>8.6</v>
      </c>
      <c r="AC117" s="230"/>
      <c r="AD117" s="230">
        <f t="shared" si="75"/>
        <v>0</v>
      </c>
      <c r="AE117" s="230">
        <f t="shared" si="76"/>
        <v>0</v>
      </c>
      <c r="AF117" s="232"/>
      <c r="AG117" s="230"/>
      <c r="AH117" s="236"/>
      <c r="AI117" s="230">
        <f t="shared" si="88"/>
        <v>-123.25</v>
      </c>
      <c r="AJ117" s="230">
        <f t="shared" si="58"/>
        <v>0</v>
      </c>
      <c r="AK117" s="235">
        <f t="shared" si="59"/>
        <v>0</v>
      </c>
      <c r="AL117" s="233">
        <f t="shared" si="60"/>
        <v>2.8</v>
      </c>
      <c r="AM117" s="230">
        <f t="shared" si="61"/>
        <v>0</v>
      </c>
      <c r="AN117" s="230">
        <f t="shared" si="62"/>
        <v>0</v>
      </c>
      <c r="AO117" s="230">
        <f t="shared" si="63"/>
        <v>0</v>
      </c>
      <c r="AP117" s="230">
        <f>ROUND(AV117*'[1]数据-取费表'!$B$41/(1+'[1]数据-取费表'!$B$42),0)</f>
        <v>0</v>
      </c>
      <c r="AQ117" s="230">
        <f>ROUND(AV117*'[1]数据-取费表'!B$51/(1+'[1]数据-取费表'!C$42),0)</f>
        <v>0</v>
      </c>
      <c r="AR117" s="230">
        <f t="shared" si="64"/>
        <v>0</v>
      </c>
      <c r="AS117" s="230">
        <f t="shared" si="77"/>
        <v>0</v>
      </c>
      <c r="AT117" s="234">
        <f t="shared" si="92"/>
        <v>8.6</v>
      </c>
      <c r="AU117" s="235">
        <f t="shared" si="78"/>
        <v>0.23</v>
      </c>
      <c r="AV117" s="230">
        <f t="shared" si="79"/>
        <v>0</v>
      </c>
      <c r="AW117" s="230">
        <f t="shared" si="80"/>
        <v>0</v>
      </c>
      <c r="AX117" s="230">
        <f t="shared" si="65"/>
        <v>0</v>
      </c>
      <c r="AY117" s="230">
        <f t="shared" si="89"/>
        <v>153.44</v>
      </c>
      <c r="AZ117" s="237">
        <f t="shared" si="90"/>
        <v>0</v>
      </c>
      <c r="BA117" s="237">
        <f t="shared" si="81"/>
        <v>0</v>
      </c>
      <c r="BB117" s="239">
        <f t="shared" si="66"/>
        <v>0</v>
      </c>
      <c r="BC117" s="239">
        <f t="shared" si="91"/>
        <v>0</v>
      </c>
      <c r="BD117" s="239">
        <f t="shared" si="82"/>
        <v>0</v>
      </c>
      <c r="BE117" s="237">
        <f t="shared" si="83"/>
        <v>0</v>
      </c>
      <c r="BF117" s="237">
        <f t="shared" si="84"/>
        <v>0</v>
      </c>
      <c r="BG117" s="237">
        <f t="shared" si="67"/>
        <v>0</v>
      </c>
      <c r="BH117" s="237">
        <f t="shared" si="68"/>
        <v>0</v>
      </c>
      <c r="BI117" s="237">
        <f>ROUND(BE117*'[1]数据-取费表'!$B$51/(1+'[1]数据-取费表'!$C$42),0)</f>
        <v>0</v>
      </c>
      <c r="BJ117" s="237">
        <f>ROUND(BG117*'[1]数据-取费表'!B$41/(1+'[1]数据-取费表'!C$42),0)</f>
        <v>0</v>
      </c>
      <c r="BK117" s="237">
        <f t="shared" si="69"/>
        <v>0</v>
      </c>
      <c r="BL117" s="237">
        <f t="shared" si="70"/>
        <v>0</v>
      </c>
      <c r="BM117" s="237">
        <f t="shared" si="85"/>
        <v>0</v>
      </c>
      <c r="BN117" s="238">
        <f t="shared" si="71"/>
        <v>0</v>
      </c>
      <c r="BO117" s="239"/>
      <c r="BP117" s="239"/>
      <c r="BQ117" s="239"/>
      <c r="BR117" s="195"/>
    </row>
    <row r="118" spans="1:71" x14ac:dyDescent="0.2">
      <c r="A118" s="146">
        <v>101</v>
      </c>
      <c r="B118" s="141" t="s">
        <v>82</v>
      </c>
      <c r="C118" s="142" t="s">
        <v>85</v>
      </c>
      <c r="D118" s="143" t="s">
        <v>91</v>
      </c>
      <c r="E118" s="143">
        <v>61.47</v>
      </c>
      <c r="F118" s="143" t="s">
        <v>83</v>
      </c>
      <c r="G118" s="143" t="s">
        <v>75</v>
      </c>
      <c r="H118" s="144">
        <v>56009</v>
      </c>
      <c r="I118" s="144">
        <v>44987</v>
      </c>
      <c r="J118" s="143">
        <f>IF(F118="商业",[1]项目基本情况!D$15,[1]项目基本情况!E$15)</f>
        <v>30.19</v>
      </c>
      <c r="K118" s="143" t="s">
        <v>84</v>
      </c>
      <c r="L118" s="230"/>
      <c r="M118" s="143">
        <v>11</v>
      </c>
      <c r="N118" s="143" t="s">
        <v>11</v>
      </c>
      <c r="O118" s="143">
        <v>2008</v>
      </c>
      <c r="P118" s="230">
        <f t="shared" si="54"/>
        <v>0</v>
      </c>
      <c r="Q118" s="230">
        <f>ROUND(P118*'[1]数据-取费表'!B$52,0)</f>
        <v>0</v>
      </c>
      <c r="R118" s="230">
        <f t="shared" si="86"/>
        <v>0</v>
      </c>
      <c r="S118" s="230">
        <f t="shared" si="72"/>
        <v>0</v>
      </c>
      <c r="T118" s="233">
        <v>0.8</v>
      </c>
      <c r="U118" s="230">
        <f t="shared" si="87"/>
        <v>0</v>
      </c>
      <c r="V118" s="230">
        <f t="shared" si="55"/>
        <v>0</v>
      </c>
      <c r="W118" s="230">
        <f t="shared" si="73"/>
        <v>0</v>
      </c>
      <c r="X118" s="230">
        <f>ROUND(AC118*'[1]数据-取费表'!$B$41/(1+'[1]数据-取费表'!$C$42),0)</f>
        <v>0</v>
      </c>
      <c r="Y118" s="230">
        <f>ROUND(AC118*'[1]数据-取费表'!$B$51/(1+'[1]数据-取费表'!$C$42),0)</f>
        <v>0</v>
      </c>
      <c r="Z118" s="230">
        <f t="shared" si="56"/>
        <v>0</v>
      </c>
      <c r="AA118" s="230">
        <f t="shared" si="57"/>
        <v>0</v>
      </c>
      <c r="AB118" s="231">
        <f t="shared" si="74"/>
        <v>8.6</v>
      </c>
      <c r="AC118" s="230"/>
      <c r="AD118" s="230">
        <f t="shared" si="75"/>
        <v>0</v>
      </c>
      <c r="AE118" s="230">
        <f t="shared" si="76"/>
        <v>0</v>
      </c>
      <c r="AF118" s="232"/>
      <c r="AG118" s="230"/>
      <c r="AH118" s="236"/>
      <c r="AI118" s="230">
        <f t="shared" si="88"/>
        <v>-123.25</v>
      </c>
      <c r="AJ118" s="230">
        <f t="shared" si="58"/>
        <v>0</v>
      </c>
      <c r="AK118" s="235">
        <f t="shared" si="59"/>
        <v>0</v>
      </c>
      <c r="AL118" s="233">
        <f t="shared" si="60"/>
        <v>2.8</v>
      </c>
      <c r="AM118" s="230">
        <f t="shared" si="61"/>
        <v>0</v>
      </c>
      <c r="AN118" s="230">
        <f t="shared" si="62"/>
        <v>0</v>
      </c>
      <c r="AO118" s="230">
        <f t="shared" si="63"/>
        <v>0</v>
      </c>
      <c r="AP118" s="230">
        <f>ROUND(AV118*'[1]数据-取费表'!$B$41/(1+'[1]数据-取费表'!$B$42),0)</f>
        <v>0</v>
      </c>
      <c r="AQ118" s="230">
        <f>ROUND(AV118*'[1]数据-取费表'!B$51/(1+'[1]数据-取费表'!C$42),0)</f>
        <v>0</v>
      </c>
      <c r="AR118" s="230">
        <f t="shared" si="64"/>
        <v>0</v>
      </c>
      <c r="AS118" s="230">
        <f t="shared" si="77"/>
        <v>0</v>
      </c>
      <c r="AT118" s="234">
        <f t="shared" si="92"/>
        <v>8.6</v>
      </c>
      <c r="AU118" s="235">
        <f t="shared" si="78"/>
        <v>0.23</v>
      </c>
      <c r="AV118" s="230">
        <f t="shared" si="79"/>
        <v>0</v>
      </c>
      <c r="AW118" s="230">
        <f t="shared" si="80"/>
        <v>0</v>
      </c>
      <c r="AX118" s="230">
        <f t="shared" si="65"/>
        <v>0</v>
      </c>
      <c r="AY118" s="230">
        <f t="shared" si="89"/>
        <v>153.44</v>
      </c>
      <c r="AZ118" s="237">
        <f t="shared" si="90"/>
        <v>0</v>
      </c>
      <c r="BA118" s="237">
        <f t="shared" si="81"/>
        <v>0</v>
      </c>
      <c r="BB118" s="239">
        <f t="shared" si="66"/>
        <v>0</v>
      </c>
      <c r="BC118" s="239">
        <f t="shared" si="91"/>
        <v>0</v>
      </c>
      <c r="BD118" s="239">
        <f t="shared" si="82"/>
        <v>0</v>
      </c>
      <c r="BE118" s="237">
        <f t="shared" si="83"/>
        <v>0</v>
      </c>
      <c r="BF118" s="237">
        <f t="shared" si="84"/>
        <v>0</v>
      </c>
      <c r="BG118" s="237">
        <f t="shared" si="67"/>
        <v>0</v>
      </c>
      <c r="BH118" s="237">
        <f t="shared" si="68"/>
        <v>0</v>
      </c>
      <c r="BI118" s="237">
        <f>ROUND(BE118*'[1]数据-取费表'!$B$51/(1+'[1]数据-取费表'!$C$42),0)</f>
        <v>0</v>
      </c>
      <c r="BJ118" s="237">
        <f>ROUND(BG118*'[1]数据-取费表'!B$41/(1+'[1]数据-取费表'!C$42),0)</f>
        <v>0</v>
      </c>
      <c r="BK118" s="237">
        <f t="shared" si="69"/>
        <v>0</v>
      </c>
      <c r="BL118" s="237">
        <f t="shared" si="70"/>
        <v>0</v>
      </c>
      <c r="BM118" s="237">
        <f t="shared" si="85"/>
        <v>0</v>
      </c>
      <c r="BN118" s="238">
        <f t="shared" si="71"/>
        <v>0</v>
      </c>
      <c r="BO118" s="239"/>
      <c r="BP118" s="239"/>
      <c r="BQ118" s="239"/>
      <c r="BR118" s="195"/>
    </row>
    <row r="119" spans="1:71" ht="13.5" customHeight="1" x14ac:dyDescent="0.2">
      <c r="A119" s="146">
        <v>102</v>
      </c>
      <c r="B119" s="141" t="s">
        <v>82</v>
      </c>
      <c r="C119" s="142" t="s">
        <v>85</v>
      </c>
      <c r="D119" s="143" t="s">
        <v>92</v>
      </c>
      <c r="E119" s="143">
        <v>136.37</v>
      </c>
      <c r="F119" s="143" t="s">
        <v>83</v>
      </c>
      <c r="G119" s="143" t="s">
        <v>75</v>
      </c>
      <c r="H119" s="144">
        <v>56009</v>
      </c>
      <c r="I119" s="144">
        <v>44987</v>
      </c>
      <c r="J119" s="143">
        <f>IF(F119="商业",[1]项目基本情况!D$15,[1]项目基本情况!E$15)</f>
        <v>30.19</v>
      </c>
      <c r="K119" s="143" t="s">
        <v>84</v>
      </c>
      <c r="L119" s="230">
        <f>SUM(E119:E121)</f>
        <v>421.61</v>
      </c>
      <c r="M119" s="143">
        <v>11</v>
      </c>
      <c r="N119" s="143" t="s">
        <v>11</v>
      </c>
      <c r="O119" s="143">
        <v>2008</v>
      </c>
      <c r="P119" s="230">
        <f t="shared" si="54"/>
        <v>78.81</v>
      </c>
      <c r="Q119" s="230">
        <f>ROUND(P119*'[1]数据-取费表'!B$52,0)</f>
        <v>2364</v>
      </c>
      <c r="R119" s="230">
        <f t="shared" si="86"/>
        <v>4777503</v>
      </c>
      <c r="S119" s="230">
        <f t="shared" si="72"/>
        <v>71663</v>
      </c>
      <c r="T119" s="233">
        <v>0.8</v>
      </c>
      <c r="U119" s="230">
        <f t="shared" si="87"/>
        <v>3822002</v>
      </c>
      <c r="V119" s="230">
        <f t="shared" si="55"/>
        <v>3822</v>
      </c>
      <c r="W119" s="230">
        <f t="shared" si="73"/>
        <v>4809</v>
      </c>
      <c r="X119" s="230">
        <f>ROUND(AC119*'[1]数据-取费表'!$B$41/(1+'[1]数据-取费表'!$C$42),0)</f>
        <v>51100</v>
      </c>
      <c r="Y119" s="230">
        <f>ROUND(AC119*'[1]数据-取费表'!$B$51/(1+'[1]数据-取费表'!$C$42),0)</f>
        <v>109501</v>
      </c>
      <c r="Z119" s="230">
        <f t="shared" si="56"/>
        <v>162965</v>
      </c>
      <c r="AA119" s="230">
        <f t="shared" si="57"/>
        <v>243259</v>
      </c>
      <c r="AB119" s="231">
        <f>ROUND(AC119/365/L119,2)</f>
        <v>6.23</v>
      </c>
      <c r="AC119" s="230">
        <v>958133</v>
      </c>
      <c r="AD119" s="230">
        <f>ROUND(IF(F$2="押一",AC119/12*G$2,IF(F$2="押二",AC119/12*2*G$2,IF(F$2="押三",AC119/12*3*G$2,0*G$2))),0)</f>
        <v>3593</v>
      </c>
      <c r="AE119" s="230">
        <f>ROUND(AC119+AD119,0)</f>
        <v>961726</v>
      </c>
      <c r="AF119" s="232">
        <v>2.7E-2</v>
      </c>
      <c r="AG119" s="230"/>
      <c r="AH119" s="236">
        <v>45473</v>
      </c>
      <c r="AI119" s="230">
        <f t="shared" si="88"/>
        <v>1.33</v>
      </c>
      <c r="AJ119" s="230">
        <f t="shared" si="58"/>
        <v>718467</v>
      </c>
      <c r="AK119" s="235">
        <f t="shared" si="59"/>
        <v>901755</v>
      </c>
      <c r="AL119" s="233">
        <f t="shared" si="60"/>
        <v>0.73</v>
      </c>
      <c r="AM119" s="230">
        <f t="shared" si="61"/>
        <v>3487577</v>
      </c>
      <c r="AN119" s="230">
        <f t="shared" si="62"/>
        <v>3488</v>
      </c>
      <c r="AO119" s="230">
        <f t="shared" si="63"/>
        <v>6214</v>
      </c>
      <c r="AP119" s="230">
        <f>ROUND(AV119*'[1]数据-取费表'!$B$41/(1+'[1]数据-取费表'!$B$42),0)</f>
        <v>66036</v>
      </c>
      <c r="AQ119" s="230">
        <f>ROUND(AV119*'[1]数据-取费表'!B$51/(1+'[1]数据-取费表'!C$42),0)</f>
        <v>141506</v>
      </c>
      <c r="AR119" s="230">
        <f t="shared" si="64"/>
        <v>209906</v>
      </c>
      <c r="AS119" s="230">
        <f t="shared" si="77"/>
        <v>291271</v>
      </c>
      <c r="AT119" s="234">
        <f t="shared" si="92"/>
        <v>8.6</v>
      </c>
      <c r="AU119" s="235">
        <f t="shared" si="78"/>
        <v>8.94</v>
      </c>
      <c r="AV119" s="230">
        <f t="shared" si="79"/>
        <v>1238180</v>
      </c>
      <c r="AW119" s="230">
        <f t="shared" si="80"/>
        <v>4643</v>
      </c>
      <c r="AX119" s="230">
        <f t="shared" si="65"/>
        <v>1242823</v>
      </c>
      <c r="AY119" s="230">
        <f t="shared" si="89"/>
        <v>28.86</v>
      </c>
      <c r="AZ119" s="237">
        <f t="shared" si="90"/>
        <v>951552</v>
      </c>
      <c r="BA119" s="237">
        <f t="shared" si="81"/>
        <v>19011472</v>
      </c>
      <c r="BB119" s="239">
        <f t="shared" si="66"/>
        <v>17704757</v>
      </c>
      <c r="BC119" s="239">
        <f t="shared" si="91"/>
        <v>285430</v>
      </c>
      <c r="BD119" s="239">
        <f t="shared" si="82"/>
        <v>1889.19</v>
      </c>
      <c r="BE119" s="237">
        <f t="shared" si="83"/>
        <v>1191090</v>
      </c>
      <c r="BF119" s="237">
        <f t="shared" si="84"/>
        <v>4467</v>
      </c>
      <c r="BG119" s="237">
        <f t="shared" si="67"/>
        <v>1195557</v>
      </c>
      <c r="BH119" s="237">
        <f t="shared" si="68"/>
        <v>5978</v>
      </c>
      <c r="BI119" s="237">
        <f>ROUND(BE119*'[1]数据-取费表'!$B$51/(1+'[1]数据-取费表'!$C$42),0)</f>
        <v>136125</v>
      </c>
      <c r="BJ119" s="237">
        <f>ROUND(BG119*'[1]数据-取费表'!B$41/(1+'[1]数据-取费表'!C$42),0)</f>
        <v>63763</v>
      </c>
      <c r="BK119" s="237">
        <f t="shared" si="69"/>
        <v>283715</v>
      </c>
      <c r="BL119" s="237">
        <f t="shared" si="70"/>
        <v>911842</v>
      </c>
      <c r="BM119" s="237">
        <f t="shared" si="85"/>
        <v>1145007</v>
      </c>
      <c r="BN119" s="238">
        <f t="shared" si="71"/>
        <v>243252</v>
      </c>
      <c r="BO119" s="239">
        <f>BD119/$BD$234*$BS$3</f>
        <v>2624.3229306587054</v>
      </c>
      <c r="BP119" s="239"/>
      <c r="BQ119" s="239"/>
      <c r="BR119" s="195"/>
    </row>
    <row r="120" spans="1:71" x14ac:dyDescent="0.2">
      <c r="A120" s="146">
        <v>103</v>
      </c>
      <c r="B120" s="141" t="s">
        <v>82</v>
      </c>
      <c r="C120" s="142" t="s">
        <v>85</v>
      </c>
      <c r="D120" s="143">
        <v>1206</v>
      </c>
      <c r="E120" s="143">
        <v>145.26</v>
      </c>
      <c r="F120" s="143" t="s">
        <v>83</v>
      </c>
      <c r="G120" s="143" t="s">
        <v>75</v>
      </c>
      <c r="H120" s="144">
        <v>56009</v>
      </c>
      <c r="I120" s="144">
        <v>44987</v>
      </c>
      <c r="J120" s="143">
        <f>IF(F120="商业",[1]项目基本情况!D$15,[1]项目基本情况!E$15)</f>
        <v>30.19</v>
      </c>
      <c r="K120" s="143" t="s">
        <v>84</v>
      </c>
      <c r="L120" s="230"/>
      <c r="M120" s="143">
        <v>11</v>
      </c>
      <c r="N120" s="143" t="s">
        <v>11</v>
      </c>
      <c r="O120" s="143">
        <v>2008</v>
      </c>
      <c r="P120" s="230">
        <f t="shared" si="54"/>
        <v>0</v>
      </c>
      <c r="Q120" s="230">
        <f>ROUND(P120*'[1]数据-取费表'!B$52,0)</f>
        <v>0</v>
      </c>
      <c r="R120" s="230">
        <f t="shared" si="86"/>
        <v>0</v>
      </c>
      <c r="S120" s="230">
        <f t="shared" si="72"/>
        <v>0</v>
      </c>
      <c r="T120" s="233">
        <v>0.8</v>
      </c>
      <c r="U120" s="230">
        <f t="shared" si="87"/>
        <v>0</v>
      </c>
      <c r="V120" s="230">
        <f t="shared" si="55"/>
        <v>0</v>
      </c>
      <c r="W120" s="230">
        <f t="shared" si="73"/>
        <v>0</v>
      </c>
      <c r="X120" s="230">
        <f>ROUND(AC120*'[1]数据-取费表'!$B$41/(1+'[1]数据-取费表'!$C$42),0)</f>
        <v>0</v>
      </c>
      <c r="Y120" s="230">
        <f>ROUND(AC120*'[1]数据-取费表'!$B$51/(1+'[1]数据-取费表'!$C$42),0)</f>
        <v>0</v>
      </c>
      <c r="Z120" s="230">
        <f t="shared" si="56"/>
        <v>0</v>
      </c>
      <c r="AA120" s="230">
        <f t="shared" si="57"/>
        <v>0</v>
      </c>
      <c r="AB120" s="231">
        <f t="shared" si="74"/>
        <v>8.6</v>
      </c>
      <c r="AC120" s="230"/>
      <c r="AD120" s="230">
        <f>ROUND(IF(F$2="押一",AC120/12*G$2,IF(F$2="押二",AC120/12*2*G$2,IF(F$2="押三",AC120/12*3*G$2,0*G$2))),0)</f>
        <v>0</v>
      </c>
      <c r="AE120" s="230">
        <f>ROUND(AC120+AD120,0)</f>
        <v>0</v>
      </c>
      <c r="AF120" s="232"/>
      <c r="AG120" s="230"/>
      <c r="AH120" s="236">
        <v>45473</v>
      </c>
      <c r="AI120" s="230">
        <f t="shared" si="88"/>
        <v>1.33</v>
      </c>
      <c r="AJ120" s="230">
        <f t="shared" si="58"/>
        <v>0</v>
      </c>
      <c r="AK120" s="235">
        <f t="shared" si="59"/>
        <v>0</v>
      </c>
      <c r="AL120" s="233">
        <f t="shared" si="60"/>
        <v>0.73</v>
      </c>
      <c r="AM120" s="230">
        <f t="shared" si="61"/>
        <v>0</v>
      </c>
      <c r="AN120" s="230">
        <f t="shared" si="62"/>
        <v>0</v>
      </c>
      <c r="AO120" s="230">
        <f t="shared" si="63"/>
        <v>0</v>
      </c>
      <c r="AP120" s="230">
        <f>ROUND(AV120*'[1]数据-取费表'!$B$41/(1+'[1]数据-取费表'!$B$42),0)</f>
        <v>0</v>
      </c>
      <c r="AQ120" s="230">
        <f>ROUND(AV120*'[1]数据-取费表'!B$51/(1+'[1]数据-取费表'!C$42),0)</f>
        <v>0</v>
      </c>
      <c r="AR120" s="230">
        <f t="shared" si="64"/>
        <v>0</v>
      </c>
      <c r="AS120" s="230">
        <f t="shared" si="77"/>
        <v>0</v>
      </c>
      <c r="AT120" s="234">
        <f t="shared" si="92"/>
        <v>8.6</v>
      </c>
      <c r="AU120" s="235">
        <f t="shared" si="78"/>
        <v>8.94</v>
      </c>
      <c r="AV120" s="230">
        <f t="shared" si="79"/>
        <v>0</v>
      </c>
      <c r="AW120" s="230">
        <f t="shared" si="80"/>
        <v>0</v>
      </c>
      <c r="AX120" s="230">
        <f t="shared" si="65"/>
        <v>0</v>
      </c>
      <c r="AY120" s="230">
        <f t="shared" si="89"/>
        <v>28.86</v>
      </c>
      <c r="AZ120" s="237">
        <f t="shared" si="90"/>
        <v>0</v>
      </c>
      <c r="BA120" s="237">
        <f t="shared" si="81"/>
        <v>0</v>
      </c>
      <c r="BB120" s="239">
        <f t="shared" si="66"/>
        <v>0</v>
      </c>
      <c r="BC120" s="239">
        <f t="shared" si="91"/>
        <v>0</v>
      </c>
      <c r="BD120" s="239">
        <f t="shared" si="82"/>
        <v>0</v>
      </c>
      <c r="BE120" s="237">
        <f t="shared" si="83"/>
        <v>0</v>
      </c>
      <c r="BF120" s="237">
        <f t="shared" si="84"/>
        <v>0</v>
      </c>
      <c r="BG120" s="237">
        <f t="shared" si="67"/>
        <v>0</v>
      </c>
      <c r="BH120" s="237">
        <f t="shared" si="68"/>
        <v>0</v>
      </c>
      <c r="BI120" s="237">
        <f>ROUND(BE120*'[1]数据-取费表'!$B$51/(1+'[1]数据-取费表'!$C$42),0)</f>
        <v>0</v>
      </c>
      <c r="BJ120" s="237">
        <f>ROUND(BG120*'[1]数据-取费表'!B$41/(1+'[1]数据-取费表'!C$42),0)</f>
        <v>0</v>
      </c>
      <c r="BK120" s="237">
        <f t="shared" si="69"/>
        <v>0</v>
      </c>
      <c r="BL120" s="237">
        <f t="shared" si="70"/>
        <v>0</v>
      </c>
      <c r="BM120" s="237">
        <f t="shared" si="85"/>
        <v>0</v>
      </c>
      <c r="BN120" s="238">
        <f t="shared" si="71"/>
        <v>0</v>
      </c>
      <c r="BO120" s="239"/>
      <c r="BP120" s="239"/>
      <c r="BQ120" s="239"/>
      <c r="BR120" s="195"/>
    </row>
    <row r="121" spans="1:71" x14ac:dyDescent="0.2">
      <c r="A121" s="146">
        <v>104</v>
      </c>
      <c r="B121" s="141" t="s">
        <v>82</v>
      </c>
      <c r="C121" s="142" t="s">
        <v>85</v>
      </c>
      <c r="D121" s="143">
        <v>1207</v>
      </c>
      <c r="E121" s="143">
        <v>139.97999999999999</v>
      </c>
      <c r="F121" s="143" t="s">
        <v>83</v>
      </c>
      <c r="G121" s="143" t="s">
        <v>75</v>
      </c>
      <c r="H121" s="144">
        <v>56009</v>
      </c>
      <c r="I121" s="144">
        <v>44987</v>
      </c>
      <c r="J121" s="143">
        <f>IF(F121="商业",[1]项目基本情况!D$15,[1]项目基本情况!E$15)</f>
        <v>30.19</v>
      </c>
      <c r="K121" s="143" t="s">
        <v>84</v>
      </c>
      <c r="L121" s="230"/>
      <c r="M121" s="143">
        <v>11</v>
      </c>
      <c r="N121" s="143" t="s">
        <v>11</v>
      </c>
      <c r="O121" s="143">
        <v>2008</v>
      </c>
      <c r="P121" s="230">
        <f t="shared" si="54"/>
        <v>0</v>
      </c>
      <c r="Q121" s="230">
        <f>ROUND(P121*'[1]数据-取费表'!B$52,0)</f>
        <v>0</v>
      </c>
      <c r="R121" s="230">
        <f t="shared" si="86"/>
        <v>0</v>
      </c>
      <c r="S121" s="230">
        <f t="shared" si="72"/>
        <v>0</v>
      </c>
      <c r="T121" s="233">
        <v>0.8</v>
      </c>
      <c r="U121" s="230">
        <f t="shared" si="87"/>
        <v>0</v>
      </c>
      <c r="V121" s="230">
        <f t="shared" si="55"/>
        <v>0</v>
      </c>
      <c r="W121" s="230">
        <f t="shared" si="73"/>
        <v>0</v>
      </c>
      <c r="X121" s="230">
        <f>ROUND(AC121*'[1]数据-取费表'!$B$41/(1+'[1]数据-取费表'!$C$42),0)</f>
        <v>0</v>
      </c>
      <c r="Y121" s="230">
        <f>ROUND(AC121*'[1]数据-取费表'!$B$51/(1+'[1]数据-取费表'!$C$42),0)</f>
        <v>0</v>
      </c>
      <c r="Z121" s="230">
        <f t="shared" si="56"/>
        <v>0</v>
      </c>
      <c r="AA121" s="230">
        <f t="shared" si="57"/>
        <v>0</v>
      </c>
      <c r="AB121" s="231">
        <f t="shared" si="74"/>
        <v>8.6</v>
      </c>
      <c r="AC121" s="230"/>
      <c r="AD121" s="230">
        <f t="shared" si="75"/>
        <v>0</v>
      </c>
      <c r="AE121" s="230">
        <f t="shared" si="76"/>
        <v>0</v>
      </c>
      <c r="AF121" s="232"/>
      <c r="AG121" s="230"/>
      <c r="AH121" s="236"/>
      <c r="AI121" s="230">
        <f t="shared" si="88"/>
        <v>-123.25</v>
      </c>
      <c r="AJ121" s="230">
        <f t="shared" si="58"/>
        <v>0</v>
      </c>
      <c r="AK121" s="235">
        <f t="shared" si="59"/>
        <v>0</v>
      </c>
      <c r="AL121" s="233">
        <f t="shared" si="60"/>
        <v>2.8</v>
      </c>
      <c r="AM121" s="230">
        <f t="shared" si="61"/>
        <v>0</v>
      </c>
      <c r="AN121" s="230">
        <f t="shared" si="62"/>
        <v>0</v>
      </c>
      <c r="AO121" s="230">
        <f t="shared" si="63"/>
        <v>0</v>
      </c>
      <c r="AP121" s="230">
        <f>ROUND(AV121*'[1]数据-取费表'!$B$41/(1+'[1]数据-取费表'!$B$42),0)</f>
        <v>0</v>
      </c>
      <c r="AQ121" s="230">
        <f>ROUND(AV121*'[1]数据-取费表'!B$51/(1+'[1]数据-取费表'!C$42),0)</f>
        <v>0</v>
      </c>
      <c r="AR121" s="230">
        <f t="shared" si="64"/>
        <v>0</v>
      </c>
      <c r="AS121" s="230">
        <f t="shared" si="77"/>
        <v>0</v>
      </c>
      <c r="AT121" s="234">
        <f t="shared" si="92"/>
        <v>8.6</v>
      </c>
      <c r="AU121" s="235">
        <f t="shared" si="78"/>
        <v>0.23</v>
      </c>
      <c r="AV121" s="230">
        <f t="shared" si="79"/>
        <v>0</v>
      </c>
      <c r="AW121" s="230">
        <f t="shared" si="80"/>
        <v>0</v>
      </c>
      <c r="AX121" s="230">
        <f t="shared" si="65"/>
        <v>0</v>
      </c>
      <c r="AY121" s="230">
        <f t="shared" si="89"/>
        <v>153.44</v>
      </c>
      <c r="AZ121" s="237">
        <f t="shared" si="90"/>
        <v>0</v>
      </c>
      <c r="BA121" s="237">
        <f t="shared" si="81"/>
        <v>0</v>
      </c>
      <c r="BB121" s="239">
        <f t="shared" si="66"/>
        <v>0</v>
      </c>
      <c r="BC121" s="239">
        <f t="shared" si="91"/>
        <v>0</v>
      </c>
      <c r="BD121" s="239">
        <f t="shared" si="82"/>
        <v>0</v>
      </c>
      <c r="BE121" s="237">
        <f t="shared" si="83"/>
        <v>0</v>
      </c>
      <c r="BF121" s="237">
        <f t="shared" si="84"/>
        <v>0</v>
      </c>
      <c r="BG121" s="237">
        <f t="shared" si="67"/>
        <v>0</v>
      </c>
      <c r="BH121" s="237">
        <f t="shared" si="68"/>
        <v>0</v>
      </c>
      <c r="BI121" s="237">
        <f>ROUND(BE121*'[1]数据-取费表'!$B$51/(1+'[1]数据-取费表'!$C$42),0)</f>
        <v>0</v>
      </c>
      <c r="BJ121" s="237">
        <f>ROUND(BG121*'[1]数据-取费表'!B$41/(1+'[1]数据-取费表'!C$42),0)</f>
        <v>0</v>
      </c>
      <c r="BK121" s="237">
        <f t="shared" si="69"/>
        <v>0</v>
      </c>
      <c r="BL121" s="237">
        <f t="shared" si="70"/>
        <v>0</v>
      </c>
      <c r="BM121" s="237">
        <f t="shared" si="85"/>
        <v>0</v>
      </c>
      <c r="BN121" s="238">
        <f t="shared" si="71"/>
        <v>0</v>
      </c>
      <c r="BO121" s="239"/>
      <c r="BP121" s="239"/>
      <c r="BQ121" s="239"/>
      <c r="BR121" s="195"/>
    </row>
    <row r="122" spans="1:71" x14ac:dyDescent="0.2">
      <c r="A122" s="146">
        <v>105</v>
      </c>
      <c r="B122" s="141" t="s">
        <v>82</v>
      </c>
      <c r="C122" s="142" t="s">
        <v>85</v>
      </c>
      <c r="D122" s="143">
        <v>1208</v>
      </c>
      <c r="E122" s="143">
        <v>135.16999999999999</v>
      </c>
      <c r="F122" s="143" t="s">
        <v>83</v>
      </c>
      <c r="G122" s="143" t="s">
        <v>75</v>
      </c>
      <c r="H122" s="144">
        <v>56009</v>
      </c>
      <c r="I122" s="144">
        <v>44987</v>
      </c>
      <c r="J122" s="143">
        <f>IF(F122="商业",[1]项目基本情况!D$15,[1]项目基本情况!E$15)</f>
        <v>30.19</v>
      </c>
      <c r="K122" s="143"/>
      <c r="L122" s="143">
        <v>135.16999999999999</v>
      </c>
      <c r="M122" s="143">
        <v>11</v>
      </c>
      <c r="N122" s="143" t="s">
        <v>11</v>
      </c>
      <c r="O122" s="143">
        <v>2008</v>
      </c>
      <c r="P122" s="172">
        <f t="shared" si="54"/>
        <v>25.27</v>
      </c>
      <c r="Q122" s="172">
        <f>ROUND(P122*'[1]数据-取费表'!B$52,0)</f>
        <v>758</v>
      </c>
      <c r="R122" s="172">
        <f t="shared" si="86"/>
        <v>1531688</v>
      </c>
      <c r="S122" s="173">
        <f t="shared" si="72"/>
        <v>22975</v>
      </c>
      <c r="T122" s="174">
        <v>0.8</v>
      </c>
      <c r="U122" s="172">
        <f t="shared" si="87"/>
        <v>1225350</v>
      </c>
      <c r="V122" s="173">
        <f t="shared" si="55"/>
        <v>1225</v>
      </c>
      <c r="W122" s="173">
        <f t="shared" si="73"/>
        <v>1917</v>
      </c>
      <c r="X122" s="172">
        <f>ROUND(AC122*'[1]数据-取费表'!$B$41/(1+'[1]数据-取费表'!$C$42),0)</f>
        <v>20366</v>
      </c>
      <c r="Y122" s="172">
        <f>ROUND(AC122*'[1]数据-取费表'!$B$51/(1+'[1]数据-取费表'!$C$42),0)</f>
        <v>43642</v>
      </c>
      <c r="Z122" s="172">
        <f t="shared" si="56"/>
        <v>64766</v>
      </c>
      <c r="AA122" s="173">
        <f t="shared" si="57"/>
        <v>90883</v>
      </c>
      <c r="AB122" s="175">
        <f t="shared" si="74"/>
        <v>8.6</v>
      </c>
      <c r="AC122" s="172">
        <f t="shared" ref="AC122:AC127" si="93">ROUND(AB122*365*L122*(1-I$2),0)</f>
        <v>381869</v>
      </c>
      <c r="AD122" s="172">
        <f t="shared" si="75"/>
        <v>1432</v>
      </c>
      <c r="AE122" s="172">
        <f t="shared" si="76"/>
        <v>383301</v>
      </c>
      <c r="AF122" s="176">
        <f t="shared" ref="AF122:AF127" si="94">H$2</f>
        <v>0.03</v>
      </c>
      <c r="AG122" s="177"/>
      <c r="AH122" s="144">
        <f t="shared" ref="AH122:AH127" si="95">H122</f>
        <v>56009</v>
      </c>
      <c r="AI122" s="143">
        <f t="shared" si="88"/>
        <v>30.19</v>
      </c>
      <c r="AJ122" s="173">
        <f t="shared" si="58"/>
        <v>292418</v>
      </c>
      <c r="AK122" s="178">
        <f t="shared" si="59"/>
        <v>6026131</v>
      </c>
      <c r="AL122" s="174">
        <f t="shared" si="60"/>
        <v>0.25</v>
      </c>
      <c r="AM122" s="172">
        <f t="shared" si="61"/>
        <v>0</v>
      </c>
      <c r="AN122" s="173">
        <f t="shared" si="62"/>
        <v>0</v>
      </c>
      <c r="AO122" s="173">
        <f t="shared" si="63"/>
        <v>0</v>
      </c>
      <c r="AP122" s="172">
        <f>ROUND(AV122*'[1]数据-取费表'!$B$41/(1+'[1]数据-取费表'!$B$42),0)</f>
        <v>0</v>
      </c>
      <c r="AQ122" s="172">
        <f>ROUND(AV122*'[1]数据-取费表'!B$51/(1+'[1]数据-取费表'!C$42),0)</f>
        <v>0</v>
      </c>
      <c r="AR122" s="179">
        <f t="shared" si="64"/>
        <v>0</v>
      </c>
      <c r="AS122" s="173">
        <f t="shared" si="77"/>
        <v>0</v>
      </c>
      <c r="AT122" s="180">
        <f t="shared" si="92"/>
        <v>8.6</v>
      </c>
      <c r="AU122" s="181">
        <f t="shared" si="78"/>
        <v>20.99</v>
      </c>
      <c r="AV122" s="172">
        <f t="shared" si="79"/>
        <v>0</v>
      </c>
      <c r="AW122" s="172">
        <f t="shared" si="80"/>
        <v>0</v>
      </c>
      <c r="AX122" s="172">
        <f t="shared" si="65"/>
        <v>0</v>
      </c>
      <c r="AY122" s="143">
        <f t="shared" si="89"/>
        <v>0</v>
      </c>
      <c r="AZ122" s="182">
        <f t="shared" si="90"/>
        <v>0</v>
      </c>
      <c r="BA122" s="182">
        <f t="shared" si="81"/>
        <v>0</v>
      </c>
      <c r="BB122" s="183">
        <f t="shared" si="66"/>
        <v>0</v>
      </c>
      <c r="BC122" s="183">
        <f t="shared" si="91"/>
        <v>91510</v>
      </c>
      <c r="BD122" s="183">
        <f t="shared" si="82"/>
        <v>611.76</v>
      </c>
      <c r="BE122" s="182">
        <f t="shared" si="83"/>
        <v>0</v>
      </c>
      <c r="BF122" s="182">
        <f t="shared" si="84"/>
        <v>0</v>
      </c>
      <c r="BG122" s="182">
        <f t="shared" si="67"/>
        <v>0</v>
      </c>
      <c r="BH122" s="182">
        <f t="shared" si="68"/>
        <v>0</v>
      </c>
      <c r="BI122" s="182">
        <f>ROUND(BE122*'[1]数据-取费表'!$B$51/(1+'[1]数据-取费表'!$C$42),0)</f>
        <v>0</v>
      </c>
      <c r="BJ122" s="182">
        <f>ROUND(BG122*'[1]数据-取费表'!B$41/(1+'[1]数据-取费表'!C$42),0)</f>
        <v>0</v>
      </c>
      <c r="BK122" s="182">
        <f t="shared" si="69"/>
        <v>0</v>
      </c>
      <c r="BL122" s="182">
        <f t="shared" si="70"/>
        <v>0</v>
      </c>
      <c r="BM122" s="182">
        <f t="shared" si="85"/>
        <v>0</v>
      </c>
      <c r="BN122" s="184">
        <f t="shared" si="71"/>
        <v>0</v>
      </c>
      <c r="BO122" s="183">
        <f t="shared" ref="BO122:BO128" si="96">BD122/$BD$234*$BS$3</f>
        <v>849.81171616394818</v>
      </c>
      <c r="BP122" s="239"/>
      <c r="BQ122" s="239"/>
      <c r="BR122" s="195"/>
    </row>
    <row r="123" spans="1:71" x14ac:dyDescent="0.2">
      <c r="A123" s="146">
        <v>106</v>
      </c>
      <c r="B123" s="141" t="s">
        <v>82</v>
      </c>
      <c r="C123" s="142" t="s">
        <v>85</v>
      </c>
      <c r="D123" s="143">
        <v>1209</v>
      </c>
      <c r="E123" s="143">
        <v>135.16999999999999</v>
      </c>
      <c r="F123" s="143" t="s">
        <v>83</v>
      </c>
      <c r="G123" s="143" t="s">
        <v>75</v>
      </c>
      <c r="H123" s="144">
        <v>56009</v>
      </c>
      <c r="I123" s="144">
        <v>44987</v>
      </c>
      <c r="J123" s="143">
        <f>IF(F123="商业",[1]项目基本情况!D$15,[1]项目基本情况!E$15)</f>
        <v>30.19</v>
      </c>
      <c r="K123" s="143"/>
      <c r="L123" s="143">
        <v>135.16999999999999</v>
      </c>
      <c r="M123" s="143">
        <v>11</v>
      </c>
      <c r="N123" s="143" t="s">
        <v>11</v>
      </c>
      <c r="O123" s="143">
        <v>2008</v>
      </c>
      <c r="P123" s="172">
        <f t="shared" si="54"/>
        <v>25.27</v>
      </c>
      <c r="Q123" s="172">
        <f>ROUND(P123*'[1]数据-取费表'!B$52,0)</f>
        <v>758</v>
      </c>
      <c r="R123" s="172">
        <f t="shared" si="86"/>
        <v>1531688</v>
      </c>
      <c r="S123" s="173">
        <f t="shared" si="72"/>
        <v>22975</v>
      </c>
      <c r="T123" s="174">
        <v>0.8</v>
      </c>
      <c r="U123" s="172">
        <f t="shared" si="87"/>
        <v>1225350</v>
      </c>
      <c r="V123" s="173">
        <f t="shared" si="55"/>
        <v>1225</v>
      </c>
      <c r="W123" s="173">
        <f t="shared" si="73"/>
        <v>1917</v>
      </c>
      <c r="X123" s="172">
        <f>ROUND(AC123*'[1]数据-取费表'!$B$41/(1+'[1]数据-取费表'!$C$42),0)</f>
        <v>20366</v>
      </c>
      <c r="Y123" s="172">
        <f>ROUND(AC123*'[1]数据-取费表'!$B$51/(1+'[1]数据-取费表'!$C$42),0)</f>
        <v>43642</v>
      </c>
      <c r="Z123" s="172">
        <f t="shared" si="56"/>
        <v>64766</v>
      </c>
      <c r="AA123" s="173">
        <f t="shared" si="57"/>
        <v>90883</v>
      </c>
      <c r="AB123" s="175">
        <f t="shared" si="74"/>
        <v>8.6</v>
      </c>
      <c r="AC123" s="172">
        <f t="shared" si="93"/>
        <v>381869</v>
      </c>
      <c r="AD123" s="172">
        <f t="shared" si="75"/>
        <v>1432</v>
      </c>
      <c r="AE123" s="172">
        <f t="shared" si="76"/>
        <v>383301</v>
      </c>
      <c r="AF123" s="176">
        <f t="shared" si="94"/>
        <v>0.03</v>
      </c>
      <c r="AG123" s="177"/>
      <c r="AH123" s="144">
        <f t="shared" si="95"/>
        <v>56009</v>
      </c>
      <c r="AI123" s="143">
        <f t="shared" si="88"/>
        <v>30.19</v>
      </c>
      <c r="AJ123" s="173">
        <f t="shared" si="58"/>
        <v>292418</v>
      </c>
      <c r="AK123" s="178">
        <f t="shared" si="59"/>
        <v>6026131</v>
      </c>
      <c r="AL123" s="174">
        <f t="shared" si="60"/>
        <v>0.25</v>
      </c>
      <c r="AM123" s="172">
        <f t="shared" si="61"/>
        <v>0</v>
      </c>
      <c r="AN123" s="173">
        <f t="shared" si="62"/>
        <v>0</v>
      </c>
      <c r="AO123" s="173">
        <f t="shared" si="63"/>
        <v>0</v>
      </c>
      <c r="AP123" s="172">
        <f>ROUND(AV123*'[1]数据-取费表'!$B$41/(1+'[1]数据-取费表'!$B$42),0)</f>
        <v>0</v>
      </c>
      <c r="AQ123" s="172">
        <f>ROUND(AV123*'[1]数据-取费表'!B$51/(1+'[1]数据-取费表'!C$42),0)</f>
        <v>0</v>
      </c>
      <c r="AR123" s="179">
        <f t="shared" si="64"/>
        <v>0</v>
      </c>
      <c r="AS123" s="173">
        <f t="shared" si="77"/>
        <v>0</v>
      </c>
      <c r="AT123" s="180">
        <f t="shared" si="92"/>
        <v>8.6</v>
      </c>
      <c r="AU123" s="181">
        <f t="shared" si="78"/>
        <v>20.99</v>
      </c>
      <c r="AV123" s="172">
        <f t="shared" si="79"/>
        <v>0</v>
      </c>
      <c r="AW123" s="172">
        <f t="shared" si="80"/>
        <v>0</v>
      </c>
      <c r="AX123" s="172">
        <f t="shared" si="65"/>
        <v>0</v>
      </c>
      <c r="AY123" s="143">
        <f t="shared" si="89"/>
        <v>0</v>
      </c>
      <c r="AZ123" s="182">
        <f t="shared" si="90"/>
        <v>0</v>
      </c>
      <c r="BA123" s="182">
        <f t="shared" si="81"/>
        <v>0</v>
      </c>
      <c r="BB123" s="183">
        <f t="shared" si="66"/>
        <v>0</v>
      </c>
      <c r="BC123" s="183">
        <f t="shared" si="91"/>
        <v>91510</v>
      </c>
      <c r="BD123" s="183">
        <f t="shared" si="82"/>
        <v>611.76</v>
      </c>
      <c r="BE123" s="182">
        <f t="shared" si="83"/>
        <v>0</v>
      </c>
      <c r="BF123" s="182">
        <f t="shared" si="84"/>
        <v>0</v>
      </c>
      <c r="BG123" s="182">
        <f t="shared" si="67"/>
        <v>0</v>
      </c>
      <c r="BH123" s="182">
        <f t="shared" si="68"/>
        <v>0</v>
      </c>
      <c r="BI123" s="182">
        <f>ROUND(BE123*'[1]数据-取费表'!$B$51/(1+'[1]数据-取费表'!$C$42),0)</f>
        <v>0</v>
      </c>
      <c r="BJ123" s="182">
        <f>ROUND(BG123*'[1]数据-取费表'!B$41/(1+'[1]数据-取费表'!C$42),0)</f>
        <v>0</v>
      </c>
      <c r="BK123" s="182">
        <f t="shared" si="69"/>
        <v>0</v>
      </c>
      <c r="BL123" s="182">
        <f t="shared" si="70"/>
        <v>0</v>
      </c>
      <c r="BM123" s="182">
        <f t="shared" si="85"/>
        <v>0</v>
      </c>
      <c r="BN123" s="184">
        <f t="shared" si="71"/>
        <v>0</v>
      </c>
      <c r="BO123" s="183">
        <f t="shared" si="96"/>
        <v>849.81171616394818</v>
      </c>
      <c r="BP123" s="239"/>
      <c r="BQ123" s="239"/>
      <c r="BR123" s="195"/>
    </row>
    <row r="124" spans="1:71" x14ac:dyDescent="0.2">
      <c r="A124" s="146">
        <v>107</v>
      </c>
      <c r="B124" s="141" t="s">
        <v>82</v>
      </c>
      <c r="C124" s="142" t="s">
        <v>85</v>
      </c>
      <c r="D124" s="143">
        <v>1210</v>
      </c>
      <c r="E124" s="143">
        <v>139.97999999999999</v>
      </c>
      <c r="F124" s="143" t="s">
        <v>83</v>
      </c>
      <c r="G124" s="143" t="s">
        <v>75</v>
      </c>
      <c r="H124" s="144">
        <v>56009</v>
      </c>
      <c r="I124" s="144">
        <v>44987</v>
      </c>
      <c r="J124" s="143">
        <f>IF(F124="商业",[1]项目基本情况!D$15,[1]项目基本情况!E$15)</f>
        <v>30.19</v>
      </c>
      <c r="K124" s="143"/>
      <c r="L124" s="143">
        <v>139.97999999999999</v>
      </c>
      <c r="M124" s="143">
        <v>11</v>
      </c>
      <c r="N124" s="143" t="s">
        <v>11</v>
      </c>
      <c r="O124" s="143">
        <v>2008</v>
      </c>
      <c r="P124" s="172">
        <f t="shared" si="54"/>
        <v>26.16</v>
      </c>
      <c r="Q124" s="172">
        <f>ROUND(P124*'[1]数据-取费表'!B$52,0)</f>
        <v>785</v>
      </c>
      <c r="R124" s="172">
        <f t="shared" si="86"/>
        <v>1586193</v>
      </c>
      <c r="S124" s="173">
        <f t="shared" si="72"/>
        <v>23793</v>
      </c>
      <c r="T124" s="174">
        <v>0.8</v>
      </c>
      <c r="U124" s="172">
        <f t="shared" si="87"/>
        <v>1268954</v>
      </c>
      <c r="V124" s="173">
        <f t="shared" si="55"/>
        <v>1269</v>
      </c>
      <c r="W124" s="173">
        <f t="shared" si="73"/>
        <v>1985</v>
      </c>
      <c r="X124" s="172">
        <f>ROUND(AC124*'[1]数据-取费表'!$B$41/(1+'[1]数据-取费表'!$C$42),0)</f>
        <v>21091</v>
      </c>
      <c r="Y124" s="172">
        <f>ROUND(AC124*'[1]数据-取费表'!$B$51/(1+'[1]数据-取费表'!$C$42),0)</f>
        <v>45195</v>
      </c>
      <c r="Z124" s="172">
        <f t="shared" si="56"/>
        <v>67071</v>
      </c>
      <c r="AA124" s="173">
        <f t="shared" si="57"/>
        <v>94118</v>
      </c>
      <c r="AB124" s="175">
        <f t="shared" si="74"/>
        <v>8.6</v>
      </c>
      <c r="AC124" s="172">
        <f t="shared" si="93"/>
        <v>395457</v>
      </c>
      <c r="AD124" s="172">
        <f t="shared" si="75"/>
        <v>1483</v>
      </c>
      <c r="AE124" s="172">
        <f t="shared" si="76"/>
        <v>396940</v>
      </c>
      <c r="AF124" s="176">
        <f t="shared" si="94"/>
        <v>0.03</v>
      </c>
      <c r="AG124" s="177"/>
      <c r="AH124" s="144">
        <f t="shared" si="95"/>
        <v>56009</v>
      </c>
      <c r="AI124" s="143">
        <f t="shared" si="88"/>
        <v>30.19</v>
      </c>
      <c r="AJ124" s="173">
        <f t="shared" si="58"/>
        <v>302822</v>
      </c>
      <c r="AK124" s="178">
        <f t="shared" si="59"/>
        <v>6240536</v>
      </c>
      <c r="AL124" s="174">
        <f t="shared" si="60"/>
        <v>0.25</v>
      </c>
      <c r="AM124" s="172">
        <f t="shared" si="61"/>
        <v>0</v>
      </c>
      <c r="AN124" s="173">
        <f t="shared" si="62"/>
        <v>0</v>
      </c>
      <c r="AO124" s="173">
        <f t="shared" si="63"/>
        <v>0</v>
      </c>
      <c r="AP124" s="172">
        <f>ROUND(AV124*'[1]数据-取费表'!$B$41/(1+'[1]数据-取费表'!$B$42),0)</f>
        <v>0</v>
      </c>
      <c r="AQ124" s="172">
        <f>ROUND(AV124*'[1]数据-取费表'!B$51/(1+'[1]数据-取费表'!C$42),0)</f>
        <v>0</v>
      </c>
      <c r="AR124" s="179">
        <f t="shared" si="64"/>
        <v>0</v>
      </c>
      <c r="AS124" s="173">
        <f t="shared" si="77"/>
        <v>0</v>
      </c>
      <c r="AT124" s="180">
        <f t="shared" si="92"/>
        <v>8.6</v>
      </c>
      <c r="AU124" s="181">
        <f t="shared" si="78"/>
        <v>20.99</v>
      </c>
      <c r="AV124" s="172">
        <f t="shared" si="79"/>
        <v>0</v>
      </c>
      <c r="AW124" s="172">
        <f t="shared" si="80"/>
        <v>0</v>
      </c>
      <c r="AX124" s="172">
        <f t="shared" si="65"/>
        <v>0</v>
      </c>
      <c r="AY124" s="143">
        <f t="shared" si="89"/>
        <v>0</v>
      </c>
      <c r="AZ124" s="182">
        <f t="shared" si="90"/>
        <v>0</v>
      </c>
      <c r="BA124" s="182">
        <f t="shared" si="81"/>
        <v>0</v>
      </c>
      <c r="BB124" s="183">
        <f t="shared" si="66"/>
        <v>0</v>
      </c>
      <c r="BC124" s="183">
        <f t="shared" si="91"/>
        <v>94766</v>
      </c>
      <c r="BD124" s="183">
        <f t="shared" si="82"/>
        <v>633.53</v>
      </c>
      <c r="BE124" s="182">
        <f t="shared" si="83"/>
        <v>0</v>
      </c>
      <c r="BF124" s="182">
        <f t="shared" si="84"/>
        <v>0</v>
      </c>
      <c r="BG124" s="182">
        <f t="shared" si="67"/>
        <v>0</v>
      </c>
      <c r="BH124" s="182">
        <f t="shared" si="68"/>
        <v>0</v>
      </c>
      <c r="BI124" s="182">
        <f>ROUND(BE124*'[1]数据-取费表'!$B$51/(1+'[1]数据-取费表'!$C$42),0)</f>
        <v>0</v>
      </c>
      <c r="BJ124" s="182">
        <f>ROUND(BG124*'[1]数据-取费表'!B$41/(1+'[1]数据-取费表'!C$42),0)</f>
        <v>0</v>
      </c>
      <c r="BK124" s="182">
        <f t="shared" si="69"/>
        <v>0</v>
      </c>
      <c r="BL124" s="182">
        <f t="shared" si="70"/>
        <v>0</v>
      </c>
      <c r="BM124" s="182">
        <f t="shared" si="85"/>
        <v>0</v>
      </c>
      <c r="BN124" s="184">
        <f t="shared" si="71"/>
        <v>0</v>
      </c>
      <c r="BO124" s="183">
        <f t="shared" si="96"/>
        <v>880.05298898480794</v>
      </c>
      <c r="BP124" s="239"/>
      <c r="BQ124" s="239"/>
      <c r="BR124" s="195"/>
    </row>
    <row r="125" spans="1:71" x14ac:dyDescent="0.2">
      <c r="A125" s="146">
        <v>108</v>
      </c>
      <c r="B125" s="125" t="s">
        <v>82</v>
      </c>
      <c r="C125" s="126" t="s">
        <v>85</v>
      </c>
      <c r="D125" s="127">
        <v>1501</v>
      </c>
      <c r="E125" s="127">
        <v>242.71</v>
      </c>
      <c r="F125" s="127" t="s">
        <v>83</v>
      </c>
      <c r="G125" s="127" t="s">
        <v>75</v>
      </c>
      <c r="H125" s="128">
        <v>56009</v>
      </c>
      <c r="I125" s="128">
        <v>44987</v>
      </c>
      <c r="J125" s="127">
        <f>IF(F125="商业",[1]项目基本情况!D$15,[1]项目基本情况!E$15)</f>
        <v>30.19</v>
      </c>
      <c r="K125" s="127"/>
      <c r="L125" s="127">
        <v>242.71</v>
      </c>
      <c r="M125" s="127">
        <v>12</v>
      </c>
      <c r="N125" s="127" t="s">
        <v>11</v>
      </c>
      <c r="O125" s="127">
        <v>2008</v>
      </c>
      <c r="P125" s="129">
        <f t="shared" si="54"/>
        <v>45.37</v>
      </c>
      <c r="Q125" s="129">
        <f>ROUND(P125*'[1]数据-取费表'!B$52,0)</f>
        <v>1361</v>
      </c>
      <c r="R125" s="129">
        <f t="shared" si="86"/>
        <v>2750285</v>
      </c>
      <c r="S125" s="130">
        <f t="shared" si="72"/>
        <v>41254</v>
      </c>
      <c r="T125" s="131">
        <v>0.8</v>
      </c>
      <c r="U125" s="129">
        <f t="shared" si="87"/>
        <v>2200228</v>
      </c>
      <c r="V125" s="130">
        <f t="shared" si="55"/>
        <v>2200</v>
      </c>
      <c r="W125" s="130">
        <f t="shared" si="73"/>
        <v>3441</v>
      </c>
      <c r="X125" s="129">
        <f>ROUND(AC125*'[1]数据-取费表'!$B$41/(1+'[1]数据-取费表'!$C$42),0)</f>
        <v>36570</v>
      </c>
      <c r="Y125" s="129">
        <f>ROUND(AC125*'[1]数据-取费表'!$B$51/(1+'[1]数据-取费表'!$C$42),0)</f>
        <v>78363</v>
      </c>
      <c r="Z125" s="129">
        <f t="shared" si="56"/>
        <v>116294</v>
      </c>
      <c r="AA125" s="130">
        <f t="shared" si="57"/>
        <v>163189</v>
      </c>
      <c r="AB125" s="132">
        <f t="shared" si="74"/>
        <v>8.6</v>
      </c>
      <c r="AC125" s="129">
        <f t="shared" si="93"/>
        <v>685680</v>
      </c>
      <c r="AD125" s="129">
        <f t="shared" si="75"/>
        <v>2571</v>
      </c>
      <c r="AE125" s="129">
        <f t="shared" si="76"/>
        <v>688251</v>
      </c>
      <c r="AF125" s="133">
        <f t="shared" si="94"/>
        <v>0.03</v>
      </c>
      <c r="AG125" s="134"/>
      <c r="AH125" s="128">
        <f t="shared" si="95"/>
        <v>56009</v>
      </c>
      <c r="AI125" s="127">
        <f t="shared" si="88"/>
        <v>30.19</v>
      </c>
      <c r="AJ125" s="130">
        <f t="shared" si="58"/>
        <v>525062</v>
      </c>
      <c r="AK125" s="135">
        <f t="shared" si="59"/>
        <v>10820444</v>
      </c>
      <c r="AL125" s="131">
        <f t="shared" si="60"/>
        <v>0.25</v>
      </c>
      <c r="AM125" s="129">
        <f t="shared" si="61"/>
        <v>0</v>
      </c>
      <c r="AN125" s="130">
        <f t="shared" si="62"/>
        <v>0</v>
      </c>
      <c r="AO125" s="130">
        <f t="shared" si="63"/>
        <v>0</v>
      </c>
      <c r="AP125" s="129">
        <f>ROUND(AV125*'[1]数据-取费表'!$B$41/(1+'[1]数据-取费表'!$B$42),0)</f>
        <v>0</v>
      </c>
      <c r="AQ125" s="129">
        <f>ROUND(AV125*'[1]数据-取费表'!B$51/(1+'[1]数据-取费表'!C$42),0)</f>
        <v>0</v>
      </c>
      <c r="AR125" s="136">
        <f t="shared" si="64"/>
        <v>0</v>
      </c>
      <c r="AS125" s="130">
        <f t="shared" si="77"/>
        <v>0</v>
      </c>
      <c r="AT125" s="137">
        <f t="shared" si="92"/>
        <v>8.6</v>
      </c>
      <c r="AU125" s="138">
        <f t="shared" si="78"/>
        <v>20.99</v>
      </c>
      <c r="AV125" s="129">
        <f t="shared" si="79"/>
        <v>0</v>
      </c>
      <c r="AW125" s="129">
        <f t="shared" si="80"/>
        <v>0</v>
      </c>
      <c r="AX125" s="129">
        <f t="shared" si="65"/>
        <v>0</v>
      </c>
      <c r="AY125" s="127">
        <f t="shared" si="89"/>
        <v>0</v>
      </c>
      <c r="AZ125" s="139">
        <f t="shared" si="90"/>
        <v>0</v>
      </c>
      <c r="BA125" s="139">
        <f t="shared" si="81"/>
        <v>0</v>
      </c>
      <c r="BB125" s="140">
        <f t="shared" si="66"/>
        <v>0</v>
      </c>
      <c r="BC125" s="140">
        <f t="shared" si="91"/>
        <v>164315</v>
      </c>
      <c r="BD125" s="140">
        <f t="shared" si="82"/>
        <v>1098.48</v>
      </c>
      <c r="BE125" s="139">
        <f t="shared" si="83"/>
        <v>0</v>
      </c>
      <c r="BF125" s="139">
        <f t="shared" si="84"/>
        <v>0</v>
      </c>
      <c r="BG125" s="139">
        <f t="shared" si="67"/>
        <v>0</v>
      </c>
      <c r="BH125" s="139">
        <f t="shared" si="68"/>
        <v>0</v>
      </c>
      <c r="BI125" s="139">
        <f>ROUND(BE125*'[1]数据-取费表'!$B$51/(1+'[1]数据-取费表'!$C$42),0)</f>
        <v>0</v>
      </c>
      <c r="BJ125" s="139">
        <f>ROUND(BG125*'[1]数据-取费表'!B$41/(1+'[1]数据-取费表'!C$42),0)</f>
        <v>0</v>
      </c>
      <c r="BK125" s="139">
        <f t="shared" si="69"/>
        <v>0</v>
      </c>
      <c r="BL125" s="139">
        <f t="shared" si="70"/>
        <v>0</v>
      </c>
      <c r="BM125" s="139">
        <f t="shared" si="85"/>
        <v>0</v>
      </c>
      <c r="BN125" s="165">
        <f t="shared" si="71"/>
        <v>0</v>
      </c>
      <c r="BO125" s="140">
        <f t="shared" si="96"/>
        <v>1525.9271184316954</v>
      </c>
      <c r="BP125" s="194">
        <f>SUM(BO125:BO132)</f>
        <v>8090.0614018265496</v>
      </c>
      <c r="BQ125" s="194">
        <f>ROUND(BP125*10000/BS125,0)</f>
        <v>62683</v>
      </c>
      <c r="BR125" s="194"/>
      <c r="BS125" s="20">
        <f>SUM(E125:E132)</f>
        <v>1290.6299999999999</v>
      </c>
    </row>
    <row r="126" spans="1:71" x14ac:dyDescent="0.2">
      <c r="A126" s="146">
        <v>109</v>
      </c>
      <c r="B126" s="125" t="s">
        <v>82</v>
      </c>
      <c r="C126" s="126" t="s">
        <v>85</v>
      </c>
      <c r="D126" s="127">
        <v>1502</v>
      </c>
      <c r="E126" s="127">
        <v>106.44</v>
      </c>
      <c r="F126" s="127" t="s">
        <v>83</v>
      </c>
      <c r="G126" s="127" t="s">
        <v>75</v>
      </c>
      <c r="H126" s="128">
        <v>56009</v>
      </c>
      <c r="I126" s="128">
        <v>44987</v>
      </c>
      <c r="J126" s="127">
        <f>IF(F126="商业",[1]项目基本情况!D$15,[1]项目基本情况!E$15)</f>
        <v>30.19</v>
      </c>
      <c r="K126" s="127"/>
      <c r="L126" s="127">
        <v>106.44</v>
      </c>
      <c r="M126" s="127">
        <v>12</v>
      </c>
      <c r="N126" s="127" t="s">
        <v>11</v>
      </c>
      <c r="O126" s="127">
        <v>2008</v>
      </c>
      <c r="P126" s="129">
        <f t="shared" si="54"/>
        <v>19.899999999999999</v>
      </c>
      <c r="Q126" s="129">
        <f>ROUND(P126*'[1]数据-取费表'!B$52,0)</f>
        <v>597</v>
      </c>
      <c r="R126" s="129">
        <f t="shared" si="86"/>
        <v>1206132</v>
      </c>
      <c r="S126" s="130">
        <f t="shared" si="72"/>
        <v>18092</v>
      </c>
      <c r="T126" s="131">
        <v>0.8</v>
      </c>
      <c r="U126" s="129">
        <f t="shared" si="87"/>
        <v>964906</v>
      </c>
      <c r="V126" s="130">
        <f t="shared" si="55"/>
        <v>965</v>
      </c>
      <c r="W126" s="130">
        <f t="shared" si="73"/>
        <v>1509</v>
      </c>
      <c r="X126" s="129">
        <f>ROUND(AC126*'[1]数据-取费表'!$B$41/(1+'[1]数据-取费表'!$C$42),0)</f>
        <v>16038</v>
      </c>
      <c r="Y126" s="129">
        <f>ROUND(AC126*'[1]数据-取费表'!$B$51/(1+'[1]数据-取费表'!$C$42),0)</f>
        <v>34366</v>
      </c>
      <c r="Z126" s="129">
        <f t="shared" si="56"/>
        <v>51001</v>
      </c>
      <c r="AA126" s="130">
        <f t="shared" si="57"/>
        <v>71567</v>
      </c>
      <c r="AB126" s="132">
        <f t="shared" si="74"/>
        <v>8.6</v>
      </c>
      <c r="AC126" s="129">
        <f t="shared" si="93"/>
        <v>300704</v>
      </c>
      <c r="AD126" s="129">
        <f t="shared" si="75"/>
        <v>1128</v>
      </c>
      <c r="AE126" s="129">
        <f t="shared" si="76"/>
        <v>301832</v>
      </c>
      <c r="AF126" s="133">
        <f t="shared" si="94"/>
        <v>0.03</v>
      </c>
      <c r="AG126" s="134"/>
      <c r="AH126" s="128">
        <f t="shared" si="95"/>
        <v>56009</v>
      </c>
      <c r="AI126" s="127">
        <f t="shared" si="88"/>
        <v>30.19</v>
      </c>
      <c r="AJ126" s="130">
        <f t="shared" si="58"/>
        <v>230265</v>
      </c>
      <c r="AK126" s="135">
        <f t="shared" si="59"/>
        <v>4745286</v>
      </c>
      <c r="AL126" s="131">
        <f t="shared" si="60"/>
        <v>0.25</v>
      </c>
      <c r="AM126" s="129">
        <f t="shared" si="61"/>
        <v>0</v>
      </c>
      <c r="AN126" s="130">
        <f t="shared" si="62"/>
        <v>0</v>
      </c>
      <c r="AO126" s="130">
        <f t="shared" si="63"/>
        <v>0</v>
      </c>
      <c r="AP126" s="129">
        <f>ROUND(AV126*'[1]数据-取费表'!$B$41/(1+'[1]数据-取费表'!$B$42),0)</f>
        <v>0</v>
      </c>
      <c r="AQ126" s="129">
        <f>ROUND(AV126*'[1]数据-取费表'!B$51/(1+'[1]数据-取费表'!C$42),0)</f>
        <v>0</v>
      </c>
      <c r="AR126" s="136">
        <f t="shared" si="64"/>
        <v>0</v>
      </c>
      <c r="AS126" s="130">
        <f t="shared" si="77"/>
        <v>0</v>
      </c>
      <c r="AT126" s="137">
        <f t="shared" si="92"/>
        <v>8.6</v>
      </c>
      <c r="AU126" s="138">
        <f t="shared" si="78"/>
        <v>20.99</v>
      </c>
      <c r="AV126" s="129">
        <f t="shared" si="79"/>
        <v>0</v>
      </c>
      <c r="AW126" s="129">
        <f t="shared" si="80"/>
        <v>0</v>
      </c>
      <c r="AX126" s="129">
        <f t="shared" si="65"/>
        <v>0</v>
      </c>
      <c r="AY126" s="127">
        <f t="shared" si="89"/>
        <v>0</v>
      </c>
      <c r="AZ126" s="139">
        <f t="shared" si="90"/>
        <v>0</v>
      </c>
      <c r="BA126" s="139">
        <f t="shared" si="81"/>
        <v>0</v>
      </c>
      <c r="BB126" s="140">
        <f t="shared" si="66"/>
        <v>0</v>
      </c>
      <c r="BC126" s="140">
        <f t="shared" si="91"/>
        <v>72060</v>
      </c>
      <c r="BD126" s="140">
        <f t="shared" si="82"/>
        <v>481.73</v>
      </c>
      <c r="BE126" s="139">
        <f t="shared" si="83"/>
        <v>0</v>
      </c>
      <c r="BF126" s="139">
        <f t="shared" si="84"/>
        <v>0</v>
      </c>
      <c r="BG126" s="139">
        <f t="shared" si="67"/>
        <v>0</v>
      </c>
      <c r="BH126" s="139">
        <f t="shared" si="68"/>
        <v>0</v>
      </c>
      <c r="BI126" s="139">
        <f>ROUND(BE126*'[1]数据-取费表'!$B$51/(1+'[1]数据-取费表'!$C$42),0)</f>
        <v>0</v>
      </c>
      <c r="BJ126" s="139">
        <f>ROUND(BG126*'[1]数据-取费表'!B$41/(1+'[1]数据-取费表'!C$42),0)</f>
        <v>0</v>
      </c>
      <c r="BK126" s="139">
        <f t="shared" si="69"/>
        <v>0</v>
      </c>
      <c r="BL126" s="139">
        <f t="shared" si="70"/>
        <v>0</v>
      </c>
      <c r="BM126" s="139">
        <f t="shared" si="85"/>
        <v>0</v>
      </c>
      <c r="BN126" s="165">
        <f t="shared" si="71"/>
        <v>0</v>
      </c>
      <c r="BO126" s="140">
        <f t="shared" si="96"/>
        <v>669.18366357339278</v>
      </c>
      <c r="BP126" s="194"/>
      <c r="BQ126" s="194"/>
      <c r="BR126" s="194"/>
    </row>
    <row r="127" spans="1:71" x14ac:dyDescent="0.2">
      <c r="A127" s="146">
        <v>110</v>
      </c>
      <c r="B127" s="125" t="s">
        <v>82</v>
      </c>
      <c r="C127" s="126" t="s">
        <v>85</v>
      </c>
      <c r="D127" s="127">
        <v>1505</v>
      </c>
      <c r="E127" s="127">
        <v>245.92</v>
      </c>
      <c r="F127" s="127" t="s">
        <v>83</v>
      </c>
      <c r="G127" s="127" t="s">
        <v>75</v>
      </c>
      <c r="H127" s="128">
        <v>56009</v>
      </c>
      <c r="I127" s="128">
        <v>44987</v>
      </c>
      <c r="J127" s="127">
        <f>IF(F127="商业",[1]项目基本情况!D$15,[1]项目基本情况!E$15)</f>
        <v>30.19</v>
      </c>
      <c r="K127" s="127"/>
      <c r="L127" s="127">
        <v>245.92</v>
      </c>
      <c r="M127" s="127">
        <v>12</v>
      </c>
      <c r="N127" s="127" t="s">
        <v>11</v>
      </c>
      <c r="O127" s="127">
        <v>2008</v>
      </c>
      <c r="P127" s="129">
        <f t="shared" si="54"/>
        <v>45.97</v>
      </c>
      <c r="Q127" s="129">
        <f>ROUND(P127*'[1]数据-取费表'!B$52,0)</f>
        <v>1379</v>
      </c>
      <c r="R127" s="129">
        <f t="shared" si="86"/>
        <v>2786660</v>
      </c>
      <c r="S127" s="130">
        <f t="shared" si="72"/>
        <v>41800</v>
      </c>
      <c r="T127" s="131">
        <v>0.8</v>
      </c>
      <c r="U127" s="129">
        <f t="shared" si="87"/>
        <v>2229328</v>
      </c>
      <c r="V127" s="130">
        <f t="shared" si="55"/>
        <v>2229</v>
      </c>
      <c r="W127" s="130">
        <f t="shared" si="73"/>
        <v>3487</v>
      </c>
      <c r="X127" s="129">
        <f>ROUND(AC127*'[1]数据-取费表'!$B$41/(1+'[1]数据-取费表'!$C$42),0)</f>
        <v>37053</v>
      </c>
      <c r="Y127" s="129">
        <f>ROUND(AC127*'[1]数据-取费表'!$B$51/(1+'[1]数据-取费表'!$C$42),0)</f>
        <v>79400</v>
      </c>
      <c r="Z127" s="129">
        <f t="shared" si="56"/>
        <v>117832</v>
      </c>
      <c r="AA127" s="130">
        <f t="shared" si="57"/>
        <v>165348</v>
      </c>
      <c r="AB127" s="132">
        <f t="shared" si="74"/>
        <v>8.6</v>
      </c>
      <c r="AC127" s="129">
        <f t="shared" si="93"/>
        <v>694749</v>
      </c>
      <c r="AD127" s="129">
        <f t="shared" si="75"/>
        <v>2605</v>
      </c>
      <c r="AE127" s="129">
        <f t="shared" si="76"/>
        <v>697354</v>
      </c>
      <c r="AF127" s="133">
        <f t="shared" si="94"/>
        <v>0.03</v>
      </c>
      <c r="AG127" s="134"/>
      <c r="AH127" s="128">
        <f t="shared" si="95"/>
        <v>56009</v>
      </c>
      <c r="AI127" s="127">
        <f t="shared" si="88"/>
        <v>30.19</v>
      </c>
      <c r="AJ127" s="130">
        <f t="shared" si="58"/>
        <v>532006</v>
      </c>
      <c r="AK127" s="135">
        <f t="shared" si="59"/>
        <v>10963545</v>
      </c>
      <c r="AL127" s="131">
        <f t="shared" si="60"/>
        <v>0.25</v>
      </c>
      <c r="AM127" s="129">
        <f t="shared" si="61"/>
        <v>0</v>
      </c>
      <c r="AN127" s="130">
        <f t="shared" si="62"/>
        <v>0</v>
      </c>
      <c r="AO127" s="130">
        <f t="shared" si="63"/>
        <v>0</v>
      </c>
      <c r="AP127" s="129">
        <f>ROUND(AV127*'[1]数据-取费表'!$B$41/(1+'[1]数据-取费表'!$B$42),0)</f>
        <v>0</v>
      </c>
      <c r="AQ127" s="129">
        <f>ROUND(AV127*'[1]数据-取费表'!B$51/(1+'[1]数据-取费表'!C$42),0)</f>
        <v>0</v>
      </c>
      <c r="AR127" s="136">
        <f t="shared" si="64"/>
        <v>0</v>
      </c>
      <c r="AS127" s="130">
        <f t="shared" si="77"/>
        <v>0</v>
      </c>
      <c r="AT127" s="137">
        <f t="shared" si="92"/>
        <v>8.6</v>
      </c>
      <c r="AU127" s="138">
        <f t="shared" si="78"/>
        <v>20.99</v>
      </c>
      <c r="AV127" s="129">
        <f t="shared" si="79"/>
        <v>0</v>
      </c>
      <c r="AW127" s="129">
        <f t="shared" si="80"/>
        <v>0</v>
      </c>
      <c r="AX127" s="129">
        <f t="shared" si="65"/>
        <v>0</v>
      </c>
      <c r="AY127" s="127">
        <f t="shared" si="89"/>
        <v>0</v>
      </c>
      <c r="AZ127" s="139">
        <f t="shared" si="90"/>
        <v>0</v>
      </c>
      <c r="BA127" s="139">
        <f t="shared" si="81"/>
        <v>0</v>
      </c>
      <c r="BB127" s="140">
        <f t="shared" si="66"/>
        <v>0</v>
      </c>
      <c r="BC127" s="140">
        <f t="shared" si="91"/>
        <v>166488</v>
      </c>
      <c r="BD127" s="140">
        <f t="shared" si="82"/>
        <v>1113</v>
      </c>
      <c r="BE127" s="139">
        <f t="shared" si="83"/>
        <v>0</v>
      </c>
      <c r="BF127" s="139">
        <f t="shared" si="84"/>
        <v>0</v>
      </c>
      <c r="BG127" s="139">
        <f t="shared" si="67"/>
        <v>0</v>
      </c>
      <c r="BH127" s="139">
        <f t="shared" si="68"/>
        <v>0</v>
      </c>
      <c r="BI127" s="139">
        <f>ROUND(BE127*'[1]数据-取费表'!$B$51/(1+'[1]数据-取费表'!$C$42),0)</f>
        <v>0</v>
      </c>
      <c r="BJ127" s="139">
        <f>ROUND(BG127*'[1]数据-取费表'!B$41/(1+'[1]数据-取费表'!C$42),0)</f>
        <v>0</v>
      </c>
      <c r="BK127" s="139">
        <f t="shared" si="69"/>
        <v>0</v>
      </c>
      <c r="BL127" s="139">
        <f t="shared" si="70"/>
        <v>0</v>
      </c>
      <c r="BM127" s="139">
        <f t="shared" si="85"/>
        <v>0</v>
      </c>
      <c r="BN127" s="165">
        <f t="shared" si="71"/>
        <v>0</v>
      </c>
      <c r="BO127" s="140">
        <f t="shared" si="96"/>
        <v>1546.097227818874</v>
      </c>
      <c r="BP127" s="194"/>
      <c r="BQ127" s="194"/>
      <c r="BR127" s="194"/>
    </row>
    <row r="128" spans="1:71" x14ac:dyDescent="0.2">
      <c r="A128" s="146">
        <v>111</v>
      </c>
      <c r="B128" s="125" t="s">
        <v>82</v>
      </c>
      <c r="C128" s="126" t="s">
        <v>85</v>
      </c>
      <c r="D128" s="127">
        <v>1506</v>
      </c>
      <c r="E128" s="127">
        <v>145.26</v>
      </c>
      <c r="F128" s="127" t="s">
        <v>83</v>
      </c>
      <c r="G128" s="127" t="s">
        <v>75</v>
      </c>
      <c r="H128" s="128">
        <v>56009</v>
      </c>
      <c r="I128" s="128">
        <v>44987</v>
      </c>
      <c r="J128" s="127">
        <f>IF(F128="商业",[1]项目基本情况!D$15,[1]项目基本情况!E$15)</f>
        <v>30.19</v>
      </c>
      <c r="K128" s="127" t="s">
        <v>84</v>
      </c>
      <c r="L128" s="218">
        <f>SUM(E128:E129)</f>
        <v>285.24</v>
      </c>
      <c r="M128" s="127">
        <v>12</v>
      </c>
      <c r="N128" s="127" t="s">
        <v>11</v>
      </c>
      <c r="O128" s="127">
        <v>2008</v>
      </c>
      <c r="P128" s="218">
        <f t="shared" si="54"/>
        <v>53.32</v>
      </c>
      <c r="Q128" s="218">
        <f>ROUND(P128*'[1]数据-取费表'!B$52,0)</f>
        <v>1600</v>
      </c>
      <c r="R128" s="218">
        <f t="shared" si="86"/>
        <v>3232217</v>
      </c>
      <c r="S128" s="218">
        <f t="shared" si="72"/>
        <v>48483</v>
      </c>
      <c r="T128" s="220">
        <v>0.8</v>
      </c>
      <c r="U128" s="218">
        <f t="shared" si="87"/>
        <v>2585774</v>
      </c>
      <c r="V128" s="218">
        <f t="shared" si="55"/>
        <v>2586</v>
      </c>
      <c r="W128" s="218">
        <f t="shared" si="73"/>
        <v>3397</v>
      </c>
      <c r="X128" s="218">
        <f>ROUND(AC128*'[1]数据-取费表'!$B$41/(1+'[1]数据-取费表'!$C$42),0)</f>
        <v>36104</v>
      </c>
      <c r="Y128" s="218">
        <f>ROUND(AC128*'[1]数据-取费表'!$B$51/(1+'[1]数据-取费表'!$C$42),0)</f>
        <v>77366</v>
      </c>
      <c r="Z128" s="218">
        <f t="shared" si="56"/>
        <v>115070</v>
      </c>
      <c r="AA128" s="218">
        <f t="shared" si="57"/>
        <v>169536</v>
      </c>
      <c r="AB128" s="240">
        <f>ROUND(AC128/365/L128,2)</f>
        <v>6.5</v>
      </c>
      <c r="AC128" s="218">
        <v>676951</v>
      </c>
      <c r="AD128" s="218">
        <f t="shared" si="75"/>
        <v>2539</v>
      </c>
      <c r="AE128" s="218">
        <f t="shared" si="76"/>
        <v>679490</v>
      </c>
      <c r="AF128" s="225">
        <v>2.1999999999999999E-2</v>
      </c>
      <c r="AG128" s="218"/>
      <c r="AH128" s="226">
        <v>45443</v>
      </c>
      <c r="AI128" s="218">
        <f t="shared" si="88"/>
        <v>1.24</v>
      </c>
      <c r="AJ128" s="218">
        <f t="shared" si="58"/>
        <v>509954</v>
      </c>
      <c r="AK128" s="224">
        <f t="shared" si="59"/>
        <v>597109</v>
      </c>
      <c r="AL128" s="220">
        <f t="shared" si="60"/>
        <v>0.73</v>
      </c>
      <c r="AM128" s="218">
        <f t="shared" si="61"/>
        <v>2359518</v>
      </c>
      <c r="AN128" s="218">
        <f t="shared" si="62"/>
        <v>2360</v>
      </c>
      <c r="AO128" s="218">
        <f t="shared" si="63"/>
        <v>4195</v>
      </c>
      <c r="AP128" s="218">
        <f>ROUND(AV128*'[1]数据-取费表'!$B$41/(1+'[1]数据-取费表'!$B$42),0)</f>
        <v>44577</v>
      </c>
      <c r="AQ128" s="218">
        <f>ROUND(AV128*'[1]数据-取费表'!B$51/(1+'[1]数据-取费表'!C$42),0)</f>
        <v>95522</v>
      </c>
      <c r="AR128" s="218">
        <f t="shared" si="64"/>
        <v>141699</v>
      </c>
      <c r="AS128" s="218">
        <f t="shared" si="77"/>
        <v>196737</v>
      </c>
      <c r="AT128" s="223">
        <f t="shared" si="92"/>
        <v>8.6</v>
      </c>
      <c r="AU128" s="224">
        <f t="shared" si="78"/>
        <v>8.92</v>
      </c>
      <c r="AV128" s="218">
        <f t="shared" si="79"/>
        <v>835816</v>
      </c>
      <c r="AW128" s="218">
        <f t="shared" si="80"/>
        <v>3134</v>
      </c>
      <c r="AX128" s="218">
        <f t="shared" si="65"/>
        <v>838950</v>
      </c>
      <c r="AY128" s="218">
        <f t="shared" si="89"/>
        <v>28.950000000000003</v>
      </c>
      <c r="AZ128" s="227">
        <f t="shared" si="90"/>
        <v>642213</v>
      </c>
      <c r="BA128" s="227">
        <f t="shared" si="81"/>
        <v>12858775</v>
      </c>
      <c r="BB128" s="229">
        <f t="shared" si="66"/>
        <v>12032796</v>
      </c>
      <c r="BC128" s="229">
        <f t="shared" si="91"/>
        <v>193107</v>
      </c>
      <c r="BD128" s="229">
        <f t="shared" si="82"/>
        <v>1282.3</v>
      </c>
      <c r="BE128" s="227">
        <f t="shared" si="83"/>
        <v>805832</v>
      </c>
      <c r="BF128" s="227">
        <f t="shared" si="84"/>
        <v>3022</v>
      </c>
      <c r="BG128" s="227">
        <f t="shared" si="67"/>
        <v>808854</v>
      </c>
      <c r="BH128" s="227">
        <f t="shared" si="68"/>
        <v>4044</v>
      </c>
      <c r="BI128" s="227">
        <f>ROUND(BE128*'[1]数据-取费表'!$B$51/(1+'[1]数据-取费表'!$C$42),0)</f>
        <v>92095</v>
      </c>
      <c r="BJ128" s="227">
        <f>ROUND(BG128*'[1]数据-取费表'!B$41/(1+'[1]数据-取费表'!C$42),0)</f>
        <v>43139</v>
      </c>
      <c r="BK128" s="227">
        <f t="shared" si="69"/>
        <v>191947</v>
      </c>
      <c r="BL128" s="227">
        <f t="shared" si="70"/>
        <v>616907</v>
      </c>
      <c r="BM128" s="227">
        <f t="shared" si="85"/>
        <v>723011</v>
      </c>
      <c r="BN128" s="228">
        <f t="shared" si="71"/>
        <v>125902</v>
      </c>
      <c r="BO128" s="229">
        <f t="shared" si="96"/>
        <v>1781.2762580702085</v>
      </c>
      <c r="BP128" s="194"/>
      <c r="BQ128" s="194"/>
      <c r="BR128" s="194"/>
    </row>
    <row r="129" spans="1:71" x14ac:dyDescent="0.2">
      <c r="A129" s="146">
        <v>112</v>
      </c>
      <c r="B129" s="125" t="s">
        <v>82</v>
      </c>
      <c r="C129" s="126" t="s">
        <v>85</v>
      </c>
      <c r="D129" s="127">
        <v>1507</v>
      </c>
      <c r="E129" s="127">
        <v>139.97999999999999</v>
      </c>
      <c r="F129" s="127" t="s">
        <v>83</v>
      </c>
      <c r="G129" s="127" t="s">
        <v>75</v>
      </c>
      <c r="H129" s="128">
        <v>56009</v>
      </c>
      <c r="I129" s="128">
        <v>44987</v>
      </c>
      <c r="J129" s="127">
        <f>IF(F129="商业",[1]项目基本情况!D$15,[1]项目基本情况!E$15)</f>
        <v>30.19</v>
      </c>
      <c r="K129" s="127" t="s">
        <v>84</v>
      </c>
      <c r="L129" s="218"/>
      <c r="M129" s="127">
        <v>12</v>
      </c>
      <c r="N129" s="127" t="s">
        <v>11</v>
      </c>
      <c r="O129" s="127">
        <v>2008</v>
      </c>
      <c r="P129" s="218">
        <f t="shared" si="54"/>
        <v>0</v>
      </c>
      <c r="Q129" s="218">
        <f>ROUND(P129*'[1]数据-取费表'!B$52,0)</f>
        <v>0</v>
      </c>
      <c r="R129" s="218">
        <f t="shared" si="86"/>
        <v>0</v>
      </c>
      <c r="S129" s="218">
        <f t="shared" si="72"/>
        <v>0</v>
      </c>
      <c r="T129" s="220">
        <v>0.8</v>
      </c>
      <c r="U129" s="218">
        <f t="shared" si="87"/>
        <v>0</v>
      </c>
      <c r="V129" s="218">
        <f t="shared" si="55"/>
        <v>0</v>
      </c>
      <c r="W129" s="218">
        <f t="shared" si="73"/>
        <v>0</v>
      </c>
      <c r="X129" s="218">
        <f>ROUND(AC129*'[1]数据-取费表'!$B$41/(1+'[1]数据-取费表'!$C$42),0)</f>
        <v>0</v>
      </c>
      <c r="Y129" s="218">
        <f>ROUND(AC129*'[1]数据-取费表'!$B$51/(1+'[1]数据-取费表'!$C$42),0)</f>
        <v>0</v>
      </c>
      <c r="Z129" s="218">
        <f t="shared" si="56"/>
        <v>0</v>
      </c>
      <c r="AA129" s="218">
        <f t="shared" si="57"/>
        <v>0</v>
      </c>
      <c r="AB129" s="240">
        <f t="shared" si="74"/>
        <v>8.6</v>
      </c>
      <c r="AC129" s="218"/>
      <c r="AD129" s="218">
        <f t="shared" si="75"/>
        <v>0</v>
      </c>
      <c r="AE129" s="218">
        <f t="shared" si="76"/>
        <v>0</v>
      </c>
      <c r="AF129" s="225"/>
      <c r="AG129" s="218"/>
      <c r="AH129" s="226"/>
      <c r="AI129" s="218">
        <f t="shared" si="88"/>
        <v>-123.25</v>
      </c>
      <c r="AJ129" s="218">
        <f t="shared" si="58"/>
        <v>0</v>
      </c>
      <c r="AK129" s="224">
        <f t="shared" si="59"/>
        <v>0</v>
      </c>
      <c r="AL129" s="220">
        <f t="shared" si="60"/>
        <v>2.8</v>
      </c>
      <c r="AM129" s="218">
        <f t="shared" si="61"/>
        <v>0</v>
      </c>
      <c r="AN129" s="218">
        <f t="shared" si="62"/>
        <v>0</v>
      </c>
      <c r="AO129" s="218">
        <f t="shared" si="63"/>
        <v>0</v>
      </c>
      <c r="AP129" s="218">
        <f>ROUND(AV129*'[1]数据-取费表'!$B$41/(1+'[1]数据-取费表'!$B$42),0)</f>
        <v>0</v>
      </c>
      <c r="AQ129" s="218">
        <f>ROUND(AV129*'[1]数据-取费表'!B$51/(1+'[1]数据-取费表'!C$42),0)</f>
        <v>0</v>
      </c>
      <c r="AR129" s="218">
        <f t="shared" si="64"/>
        <v>0</v>
      </c>
      <c r="AS129" s="218">
        <f t="shared" si="77"/>
        <v>0</v>
      </c>
      <c r="AT129" s="223">
        <f t="shared" si="92"/>
        <v>8.6</v>
      </c>
      <c r="AU129" s="224">
        <f t="shared" si="78"/>
        <v>0.23</v>
      </c>
      <c r="AV129" s="218">
        <f t="shared" si="79"/>
        <v>0</v>
      </c>
      <c r="AW129" s="218">
        <f t="shared" si="80"/>
        <v>0</v>
      </c>
      <c r="AX129" s="218">
        <f t="shared" si="65"/>
        <v>0</v>
      </c>
      <c r="AY129" s="218">
        <f t="shared" si="89"/>
        <v>153.44</v>
      </c>
      <c r="AZ129" s="227">
        <f t="shared" si="90"/>
        <v>0</v>
      </c>
      <c r="BA129" s="227">
        <f t="shared" si="81"/>
        <v>0</v>
      </c>
      <c r="BB129" s="229">
        <f t="shared" si="66"/>
        <v>0</v>
      </c>
      <c r="BC129" s="229">
        <f t="shared" si="91"/>
        <v>0</v>
      </c>
      <c r="BD129" s="229">
        <f t="shared" si="82"/>
        <v>0</v>
      </c>
      <c r="BE129" s="227">
        <f t="shared" si="83"/>
        <v>0</v>
      </c>
      <c r="BF129" s="227">
        <f t="shared" si="84"/>
        <v>0</v>
      </c>
      <c r="BG129" s="227">
        <f t="shared" si="67"/>
        <v>0</v>
      </c>
      <c r="BH129" s="227">
        <f t="shared" si="68"/>
        <v>0</v>
      </c>
      <c r="BI129" s="227">
        <f>ROUND(BE129*'[1]数据-取费表'!$B$51/(1+'[1]数据-取费表'!$C$42),0)</f>
        <v>0</v>
      </c>
      <c r="BJ129" s="227">
        <f>ROUND(BG129*'[1]数据-取费表'!B$41/(1+'[1]数据-取费表'!C$42),0)</f>
        <v>0</v>
      </c>
      <c r="BK129" s="227">
        <f t="shared" si="69"/>
        <v>0</v>
      </c>
      <c r="BL129" s="227">
        <f t="shared" si="70"/>
        <v>0</v>
      </c>
      <c r="BM129" s="227">
        <f t="shared" si="85"/>
        <v>0</v>
      </c>
      <c r="BN129" s="228">
        <f t="shared" si="71"/>
        <v>0</v>
      </c>
      <c r="BO129" s="229"/>
      <c r="BP129" s="194"/>
      <c r="BQ129" s="194"/>
      <c r="BR129" s="194"/>
    </row>
    <row r="130" spans="1:71" x14ac:dyDescent="0.2">
      <c r="A130" s="146">
        <v>113</v>
      </c>
      <c r="B130" s="125" t="s">
        <v>82</v>
      </c>
      <c r="C130" s="126" t="s">
        <v>85</v>
      </c>
      <c r="D130" s="127">
        <v>1508</v>
      </c>
      <c r="E130" s="127">
        <v>135.16999999999999</v>
      </c>
      <c r="F130" s="127" t="s">
        <v>83</v>
      </c>
      <c r="G130" s="127" t="s">
        <v>75</v>
      </c>
      <c r="H130" s="128">
        <v>56009</v>
      </c>
      <c r="I130" s="128">
        <v>44987</v>
      </c>
      <c r="J130" s="127">
        <f>IF(F130="商业",[1]项目基本情况!D$15,[1]项目基本情况!E$15)</f>
        <v>30.19</v>
      </c>
      <c r="K130" s="127"/>
      <c r="L130" s="127">
        <v>135.16999999999999</v>
      </c>
      <c r="M130" s="127">
        <v>12</v>
      </c>
      <c r="N130" s="127" t="s">
        <v>11</v>
      </c>
      <c r="O130" s="127">
        <v>2008</v>
      </c>
      <c r="P130" s="129">
        <f t="shared" si="54"/>
        <v>25.27</v>
      </c>
      <c r="Q130" s="129">
        <f>ROUND(P130*'[1]数据-取费表'!B$52,0)</f>
        <v>758</v>
      </c>
      <c r="R130" s="129">
        <f t="shared" si="86"/>
        <v>1531688</v>
      </c>
      <c r="S130" s="130">
        <f t="shared" si="72"/>
        <v>22975</v>
      </c>
      <c r="T130" s="131">
        <v>0.8</v>
      </c>
      <c r="U130" s="129">
        <f t="shared" si="87"/>
        <v>1225350</v>
      </c>
      <c r="V130" s="130">
        <f t="shared" si="55"/>
        <v>1225</v>
      </c>
      <c r="W130" s="130">
        <f t="shared" si="73"/>
        <v>1917</v>
      </c>
      <c r="X130" s="129">
        <f>ROUND(AC130*'[1]数据-取费表'!$B$41/(1+'[1]数据-取费表'!$C$42),0)</f>
        <v>20366</v>
      </c>
      <c r="Y130" s="129">
        <f>ROUND(AC130*'[1]数据-取费表'!$B$51/(1+'[1]数据-取费表'!$C$42),0)</f>
        <v>43642</v>
      </c>
      <c r="Z130" s="129">
        <f t="shared" si="56"/>
        <v>64766</v>
      </c>
      <c r="AA130" s="130">
        <f t="shared" si="57"/>
        <v>90883</v>
      </c>
      <c r="AB130" s="132">
        <f t="shared" si="74"/>
        <v>8.6</v>
      </c>
      <c r="AC130" s="129">
        <f>ROUND(AB130*365*L130*(1-I$2),0)</f>
        <v>381869</v>
      </c>
      <c r="AD130" s="129">
        <f t="shared" si="75"/>
        <v>1432</v>
      </c>
      <c r="AE130" s="129">
        <f t="shared" si="76"/>
        <v>383301</v>
      </c>
      <c r="AF130" s="133">
        <f>H$2</f>
        <v>0.03</v>
      </c>
      <c r="AG130" s="134"/>
      <c r="AH130" s="128">
        <f>H130</f>
        <v>56009</v>
      </c>
      <c r="AI130" s="127">
        <f t="shared" si="88"/>
        <v>30.19</v>
      </c>
      <c r="AJ130" s="130">
        <f t="shared" si="58"/>
        <v>292418</v>
      </c>
      <c r="AK130" s="135">
        <f t="shared" si="59"/>
        <v>6026131</v>
      </c>
      <c r="AL130" s="131">
        <f t="shared" si="60"/>
        <v>0.25</v>
      </c>
      <c r="AM130" s="129">
        <f t="shared" si="61"/>
        <v>0</v>
      </c>
      <c r="AN130" s="130">
        <f t="shared" si="62"/>
        <v>0</v>
      </c>
      <c r="AO130" s="130">
        <f t="shared" si="63"/>
        <v>0</v>
      </c>
      <c r="AP130" s="129">
        <f>ROUND(AV130*'[1]数据-取费表'!$B$41/(1+'[1]数据-取费表'!$B$42),0)</f>
        <v>0</v>
      </c>
      <c r="AQ130" s="129">
        <f>ROUND(AV130*'[1]数据-取费表'!B$51/(1+'[1]数据-取费表'!C$42),0)</f>
        <v>0</v>
      </c>
      <c r="AR130" s="136">
        <f t="shared" si="64"/>
        <v>0</v>
      </c>
      <c r="AS130" s="130">
        <f t="shared" si="77"/>
        <v>0</v>
      </c>
      <c r="AT130" s="137">
        <f t="shared" si="92"/>
        <v>8.6</v>
      </c>
      <c r="AU130" s="138">
        <f t="shared" si="78"/>
        <v>20.99</v>
      </c>
      <c r="AV130" s="129">
        <f t="shared" si="79"/>
        <v>0</v>
      </c>
      <c r="AW130" s="129">
        <f t="shared" si="80"/>
        <v>0</v>
      </c>
      <c r="AX130" s="129">
        <f t="shared" si="65"/>
        <v>0</v>
      </c>
      <c r="AY130" s="127">
        <f t="shared" si="89"/>
        <v>0</v>
      </c>
      <c r="AZ130" s="139">
        <f t="shared" si="90"/>
        <v>0</v>
      </c>
      <c r="BA130" s="139">
        <f t="shared" si="81"/>
        <v>0</v>
      </c>
      <c r="BB130" s="140">
        <f t="shared" si="66"/>
        <v>0</v>
      </c>
      <c r="BC130" s="140">
        <f t="shared" si="91"/>
        <v>91510</v>
      </c>
      <c r="BD130" s="140">
        <f t="shared" si="82"/>
        <v>611.76</v>
      </c>
      <c r="BE130" s="139">
        <f t="shared" si="83"/>
        <v>0</v>
      </c>
      <c r="BF130" s="139">
        <f t="shared" si="84"/>
        <v>0</v>
      </c>
      <c r="BG130" s="139">
        <f t="shared" si="67"/>
        <v>0</v>
      </c>
      <c r="BH130" s="139">
        <f t="shared" si="68"/>
        <v>0</v>
      </c>
      <c r="BI130" s="139">
        <f>ROUND(BE130*'[1]数据-取费表'!$B$51/(1+'[1]数据-取费表'!$C$42),0)</f>
        <v>0</v>
      </c>
      <c r="BJ130" s="139">
        <f>ROUND(BG130*'[1]数据-取费表'!B$41/(1+'[1]数据-取费表'!C$42),0)</f>
        <v>0</v>
      </c>
      <c r="BK130" s="139">
        <f t="shared" si="69"/>
        <v>0</v>
      </c>
      <c r="BL130" s="139">
        <f t="shared" si="70"/>
        <v>0</v>
      </c>
      <c r="BM130" s="139">
        <f t="shared" si="85"/>
        <v>0</v>
      </c>
      <c r="BN130" s="165">
        <f t="shared" si="71"/>
        <v>0</v>
      </c>
      <c r="BO130" s="140">
        <f t="shared" ref="BO130:BO135" si="97">BD130/$BD$234*$BS$3</f>
        <v>849.81171616394818</v>
      </c>
      <c r="BP130" s="194"/>
      <c r="BQ130" s="194"/>
      <c r="BR130" s="194"/>
    </row>
    <row r="131" spans="1:71" x14ac:dyDescent="0.2">
      <c r="A131" s="146">
        <v>114</v>
      </c>
      <c r="B131" s="125" t="s">
        <v>82</v>
      </c>
      <c r="C131" s="126" t="s">
        <v>85</v>
      </c>
      <c r="D131" s="127">
        <v>1509</v>
      </c>
      <c r="E131" s="127">
        <v>135.16999999999999</v>
      </c>
      <c r="F131" s="127" t="s">
        <v>83</v>
      </c>
      <c r="G131" s="127" t="s">
        <v>75</v>
      </c>
      <c r="H131" s="128">
        <v>56009</v>
      </c>
      <c r="I131" s="128">
        <v>44987</v>
      </c>
      <c r="J131" s="127">
        <f>IF(F131="商业",[1]项目基本情况!D$15,[1]项目基本情况!E$15)</f>
        <v>30.19</v>
      </c>
      <c r="K131" s="127"/>
      <c r="L131" s="127">
        <v>135.16999999999999</v>
      </c>
      <c r="M131" s="127">
        <v>12</v>
      </c>
      <c r="N131" s="127" t="s">
        <v>11</v>
      </c>
      <c r="O131" s="127">
        <v>2008</v>
      </c>
      <c r="P131" s="129">
        <f t="shared" si="54"/>
        <v>25.27</v>
      </c>
      <c r="Q131" s="129">
        <f>ROUND(P131*'[1]数据-取费表'!B$52,0)</f>
        <v>758</v>
      </c>
      <c r="R131" s="129">
        <f t="shared" si="86"/>
        <v>1531688</v>
      </c>
      <c r="S131" s="130">
        <f t="shared" si="72"/>
        <v>22975</v>
      </c>
      <c r="T131" s="131">
        <v>0.8</v>
      </c>
      <c r="U131" s="129">
        <f t="shared" si="87"/>
        <v>1225350</v>
      </c>
      <c r="V131" s="130">
        <f t="shared" si="55"/>
        <v>1225</v>
      </c>
      <c r="W131" s="130">
        <f t="shared" si="73"/>
        <v>1917</v>
      </c>
      <c r="X131" s="129">
        <f>ROUND(AC131*'[1]数据-取费表'!$B$41/(1+'[1]数据-取费表'!$C$42),0)</f>
        <v>20366</v>
      </c>
      <c r="Y131" s="129">
        <f>ROUND(AC131*'[1]数据-取费表'!$B$51/(1+'[1]数据-取费表'!$C$42),0)</f>
        <v>43642</v>
      </c>
      <c r="Z131" s="129">
        <f t="shared" si="56"/>
        <v>64766</v>
      </c>
      <c r="AA131" s="130">
        <f t="shared" si="57"/>
        <v>90883</v>
      </c>
      <c r="AB131" s="132">
        <f t="shared" si="74"/>
        <v>8.6</v>
      </c>
      <c r="AC131" s="129">
        <f>ROUND(AB131*365*L131*(1-I$2),0)</f>
        <v>381869</v>
      </c>
      <c r="AD131" s="129">
        <f t="shared" si="75"/>
        <v>1432</v>
      </c>
      <c r="AE131" s="129">
        <f t="shared" si="76"/>
        <v>383301</v>
      </c>
      <c r="AF131" s="133">
        <f>H$2</f>
        <v>0.03</v>
      </c>
      <c r="AG131" s="134"/>
      <c r="AH131" s="128">
        <f>H131</f>
        <v>56009</v>
      </c>
      <c r="AI131" s="127">
        <f t="shared" si="88"/>
        <v>30.19</v>
      </c>
      <c r="AJ131" s="130">
        <f t="shared" si="58"/>
        <v>292418</v>
      </c>
      <c r="AK131" s="135">
        <f t="shared" si="59"/>
        <v>6026131</v>
      </c>
      <c r="AL131" s="131">
        <f t="shared" si="60"/>
        <v>0.25</v>
      </c>
      <c r="AM131" s="129">
        <f t="shared" si="61"/>
        <v>0</v>
      </c>
      <c r="AN131" s="130">
        <f t="shared" si="62"/>
        <v>0</v>
      </c>
      <c r="AO131" s="130">
        <f t="shared" si="63"/>
        <v>0</v>
      </c>
      <c r="AP131" s="129">
        <f>ROUND(AV131*'[1]数据-取费表'!$B$41/(1+'[1]数据-取费表'!$B$42),0)</f>
        <v>0</v>
      </c>
      <c r="AQ131" s="129">
        <f>ROUND(AV131*'[1]数据-取费表'!B$51/(1+'[1]数据-取费表'!C$42),0)</f>
        <v>0</v>
      </c>
      <c r="AR131" s="136">
        <f t="shared" si="64"/>
        <v>0</v>
      </c>
      <c r="AS131" s="130">
        <f t="shared" si="77"/>
        <v>0</v>
      </c>
      <c r="AT131" s="137">
        <f t="shared" si="92"/>
        <v>8.6</v>
      </c>
      <c r="AU131" s="138">
        <f t="shared" si="78"/>
        <v>20.99</v>
      </c>
      <c r="AV131" s="129">
        <f t="shared" si="79"/>
        <v>0</v>
      </c>
      <c r="AW131" s="129">
        <f t="shared" si="80"/>
        <v>0</v>
      </c>
      <c r="AX131" s="129">
        <f t="shared" si="65"/>
        <v>0</v>
      </c>
      <c r="AY131" s="127">
        <f t="shared" si="89"/>
        <v>0</v>
      </c>
      <c r="AZ131" s="139">
        <f t="shared" si="90"/>
        <v>0</v>
      </c>
      <c r="BA131" s="139">
        <f t="shared" si="81"/>
        <v>0</v>
      </c>
      <c r="BB131" s="140">
        <f t="shared" si="66"/>
        <v>0</v>
      </c>
      <c r="BC131" s="140">
        <f t="shared" si="91"/>
        <v>91510</v>
      </c>
      <c r="BD131" s="140">
        <f t="shared" si="82"/>
        <v>611.76</v>
      </c>
      <c r="BE131" s="139">
        <f t="shared" si="83"/>
        <v>0</v>
      </c>
      <c r="BF131" s="139">
        <f t="shared" si="84"/>
        <v>0</v>
      </c>
      <c r="BG131" s="139">
        <f t="shared" si="67"/>
        <v>0</v>
      </c>
      <c r="BH131" s="139">
        <f t="shared" si="68"/>
        <v>0</v>
      </c>
      <c r="BI131" s="139">
        <f>ROUND(BE131*'[1]数据-取费表'!$B$51/(1+'[1]数据-取费表'!$C$42),0)</f>
        <v>0</v>
      </c>
      <c r="BJ131" s="139">
        <f>ROUND(BG131*'[1]数据-取费表'!B$41/(1+'[1]数据-取费表'!C$42),0)</f>
        <v>0</v>
      </c>
      <c r="BK131" s="139">
        <f t="shared" si="69"/>
        <v>0</v>
      </c>
      <c r="BL131" s="139">
        <f t="shared" si="70"/>
        <v>0</v>
      </c>
      <c r="BM131" s="139">
        <f t="shared" si="85"/>
        <v>0</v>
      </c>
      <c r="BN131" s="165">
        <f t="shared" si="71"/>
        <v>0</v>
      </c>
      <c r="BO131" s="140">
        <f t="shared" si="97"/>
        <v>849.81171616394818</v>
      </c>
      <c r="BP131" s="194"/>
      <c r="BQ131" s="194"/>
      <c r="BR131" s="194"/>
    </row>
    <row r="132" spans="1:71" x14ac:dyDescent="0.2">
      <c r="A132" s="146">
        <v>115</v>
      </c>
      <c r="B132" s="125" t="s">
        <v>82</v>
      </c>
      <c r="C132" s="126" t="s">
        <v>85</v>
      </c>
      <c r="D132" s="127">
        <v>1510</v>
      </c>
      <c r="E132" s="127">
        <v>139.97999999999999</v>
      </c>
      <c r="F132" s="127" t="s">
        <v>83</v>
      </c>
      <c r="G132" s="127" t="s">
        <v>75</v>
      </c>
      <c r="H132" s="128">
        <v>56009</v>
      </c>
      <c r="I132" s="128">
        <v>44987</v>
      </c>
      <c r="J132" s="127">
        <f>IF(F132="商业",[1]项目基本情况!D$15,[1]项目基本情况!E$15)</f>
        <v>30.19</v>
      </c>
      <c r="K132" s="127" t="s">
        <v>84</v>
      </c>
      <c r="L132" s="127">
        <f>E132</f>
        <v>139.97999999999999</v>
      </c>
      <c r="M132" s="127">
        <v>12</v>
      </c>
      <c r="N132" s="127" t="s">
        <v>11</v>
      </c>
      <c r="O132" s="127">
        <v>2008</v>
      </c>
      <c r="P132" s="129">
        <f t="shared" si="54"/>
        <v>26.16</v>
      </c>
      <c r="Q132" s="129">
        <f>ROUND(P132*'[1]数据-取费表'!B$52,0)</f>
        <v>785</v>
      </c>
      <c r="R132" s="129">
        <f t="shared" si="86"/>
        <v>1586193</v>
      </c>
      <c r="S132" s="130">
        <f t="shared" si="72"/>
        <v>23793</v>
      </c>
      <c r="T132" s="131">
        <v>0.8</v>
      </c>
      <c r="U132" s="129">
        <f t="shared" si="87"/>
        <v>1268954</v>
      </c>
      <c r="V132" s="130">
        <f t="shared" si="55"/>
        <v>1269</v>
      </c>
      <c r="W132" s="130">
        <f t="shared" si="73"/>
        <v>572</v>
      </c>
      <c r="X132" s="129">
        <f>ROUND(AC132*'[1]数据-取费表'!$B$41/(1+'[1]数据-取费表'!$C$42),0)</f>
        <v>6080</v>
      </c>
      <c r="Y132" s="129">
        <f>ROUND(AC132*'[1]数据-取费表'!$B$51/(1+'[1]数据-取费表'!$C$42),0)</f>
        <v>13028</v>
      </c>
      <c r="Z132" s="129">
        <f t="shared" si="56"/>
        <v>19893</v>
      </c>
      <c r="AA132" s="130">
        <f t="shared" si="57"/>
        <v>45527</v>
      </c>
      <c r="AB132" s="132">
        <f>ROUND(AC132/365/L132,2)</f>
        <v>2.23</v>
      </c>
      <c r="AC132" s="127">
        <v>113996</v>
      </c>
      <c r="AD132" s="129">
        <f t="shared" si="75"/>
        <v>427</v>
      </c>
      <c r="AE132" s="129">
        <f t="shared" si="76"/>
        <v>114423</v>
      </c>
      <c r="AF132" s="134">
        <v>0</v>
      </c>
      <c r="AG132" s="134"/>
      <c r="AH132" s="128">
        <v>45138</v>
      </c>
      <c r="AI132" s="127">
        <f t="shared" si="88"/>
        <v>0.41</v>
      </c>
      <c r="AJ132" s="130">
        <f t="shared" si="58"/>
        <v>68896</v>
      </c>
      <c r="AK132" s="130">
        <f t="shared" si="59"/>
        <v>27198</v>
      </c>
      <c r="AL132" s="131">
        <f t="shared" si="60"/>
        <v>0.75</v>
      </c>
      <c r="AM132" s="129">
        <f t="shared" si="61"/>
        <v>1189645</v>
      </c>
      <c r="AN132" s="130">
        <f t="shared" si="62"/>
        <v>1190</v>
      </c>
      <c r="AO132" s="130">
        <f t="shared" si="63"/>
        <v>2008</v>
      </c>
      <c r="AP132" s="129">
        <f>ROUND(AV132*'[1]数据-取费表'!$B$41/(1+'[1]数据-取费表'!$B$42),0)</f>
        <v>21336</v>
      </c>
      <c r="AQ132" s="129">
        <f>ROUND(AV132*'[1]数据-取费表'!B$51/(1+'[1]数据-取费表'!C$42),0)</f>
        <v>45721</v>
      </c>
      <c r="AR132" s="136">
        <f t="shared" si="64"/>
        <v>67842</v>
      </c>
      <c r="AS132" s="130">
        <f t="shared" si="77"/>
        <v>94833</v>
      </c>
      <c r="AT132" s="137">
        <f t="shared" si="92"/>
        <v>8.6</v>
      </c>
      <c r="AU132" s="138">
        <f t="shared" si="78"/>
        <v>8.6999999999999993</v>
      </c>
      <c r="AV132" s="129">
        <f t="shared" si="79"/>
        <v>400056</v>
      </c>
      <c r="AW132" s="129">
        <f t="shared" si="80"/>
        <v>1500</v>
      </c>
      <c r="AX132" s="129">
        <f t="shared" si="65"/>
        <v>401556</v>
      </c>
      <c r="AY132" s="127">
        <f t="shared" si="89"/>
        <v>29.78</v>
      </c>
      <c r="AZ132" s="139">
        <f t="shared" si="90"/>
        <v>306723</v>
      </c>
      <c r="BA132" s="139">
        <f t="shared" si="81"/>
        <v>6262155</v>
      </c>
      <c r="BB132" s="139">
        <f t="shared" si="66"/>
        <v>6126188</v>
      </c>
      <c r="BC132" s="139">
        <f t="shared" si="91"/>
        <v>94766</v>
      </c>
      <c r="BD132" s="139">
        <f t="shared" si="82"/>
        <v>624.82000000000005</v>
      </c>
      <c r="BE132" s="139">
        <f t="shared" si="83"/>
        <v>395457</v>
      </c>
      <c r="BF132" s="139">
        <f t="shared" si="84"/>
        <v>1483</v>
      </c>
      <c r="BG132" s="139">
        <f t="shared" si="67"/>
        <v>396940</v>
      </c>
      <c r="BH132" s="139">
        <f t="shared" si="68"/>
        <v>1985</v>
      </c>
      <c r="BI132" s="139">
        <f>ROUND(BE132*'[1]数据-取费表'!$B$51/(1+'[1]数据-取费表'!$C$42),0)</f>
        <v>45195</v>
      </c>
      <c r="BJ132" s="139">
        <f>ROUND(BG132*'[1]数据-取费表'!B$41/(1+'[1]数据-取费表'!C$42),0)</f>
        <v>21170</v>
      </c>
      <c r="BK132" s="139">
        <f t="shared" si="69"/>
        <v>94197</v>
      </c>
      <c r="BL132" s="139">
        <f t="shared" si="70"/>
        <v>302743</v>
      </c>
      <c r="BM132" s="139">
        <f t="shared" si="85"/>
        <v>118487</v>
      </c>
      <c r="BN132" s="165">
        <f t="shared" si="71"/>
        <v>91289</v>
      </c>
      <c r="BO132" s="140">
        <f t="shared" si="97"/>
        <v>867.95370160448249</v>
      </c>
      <c r="BP132" s="194"/>
      <c r="BQ132" s="194"/>
      <c r="BR132" s="194"/>
    </row>
    <row r="133" spans="1:71" x14ac:dyDescent="0.2">
      <c r="A133" s="146">
        <v>116</v>
      </c>
      <c r="B133" s="141" t="s">
        <v>82</v>
      </c>
      <c r="C133" s="142" t="s">
        <v>85</v>
      </c>
      <c r="D133" s="143">
        <v>1608</v>
      </c>
      <c r="E133" s="143">
        <v>135.16999999999999</v>
      </c>
      <c r="F133" s="143" t="s">
        <v>83</v>
      </c>
      <c r="G133" s="143" t="s">
        <v>75</v>
      </c>
      <c r="H133" s="144">
        <v>56009</v>
      </c>
      <c r="I133" s="144">
        <v>44987</v>
      </c>
      <c r="J133" s="143">
        <f>IF(F133="商业",[1]项目基本情况!D$15,[1]项目基本情况!E$15)</f>
        <v>30.19</v>
      </c>
      <c r="K133" s="143" t="s">
        <v>84</v>
      </c>
      <c r="L133" s="143">
        <f>E133</f>
        <v>135.16999999999999</v>
      </c>
      <c r="M133" s="143">
        <v>13</v>
      </c>
      <c r="N133" s="143" t="s">
        <v>11</v>
      </c>
      <c r="O133" s="143">
        <v>2008</v>
      </c>
      <c r="P133" s="172">
        <f t="shared" si="54"/>
        <v>25.27</v>
      </c>
      <c r="Q133" s="172">
        <f>ROUND(P133*'[1]数据-取费表'!B$52,0)</f>
        <v>758</v>
      </c>
      <c r="R133" s="172">
        <f t="shared" si="86"/>
        <v>1531688</v>
      </c>
      <c r="S133" s="173">
        <f t="shared" si="72"/>
        <v>22975</v>
      </c>
      <c r="T133" s="174">
        <v>0.8</v>
      </c>
      <c r="U133" s="172">
        <f t="shared" si="87"/>
        <v>1225350</v>
      </c>
      <c r="V133" s="173">
        <f t="shared" si="55"/>
        <v>1225</v>
      </c>
      <c r="W133" s="173">
        <f t="shared" si="73"/>
        <v>1497</v>
      </c>
      <c r="X133" s="172">
        <f>ROUND(AC133*'[1]数据-取费表'!$B$41/(1+'[1]数据-取费表'!$C$42),0)</f>
        <v>15903</v>
      </c>
      <c r="Y133" s="172">
        <f>ROUND(AC133*'[1]数据-取费表'!$B$51/(1+'[1]数据-取费表'!$C$42),0)</f>
        <v>34079</v>
      </c>
      <c r="Z133" s="172">
        <f t="shared" si="56"/>
        <v>50740</v>
      </c>
      <c r="AA133" s="173">
        <f t="shared" si="57"/>
        <v>76437</v>
      </c>
      <c r="AB133" s="175">
        <f>ROUND(AC133/365/L133,2)</f>
        <v>6.04</v>
      </c>
      <c r="AC133" s="143">
        <v>298188</v>
      </c>
      <c r="AD133" s="172">
        <f t="shared" si="75"/>
        <v>1118</v>
      </c>
      <c r="AE133" s="172">
        <f t="shared" si="76"/>
        <v>299306</v>
      </c>
      <c r="AF133" s="177">
        <v>2.1999999999999999E-2</v>
      </c>
      <c r="AG133" s="177"/>
      <c r="AH133" s="144">
        <v>45443</v>
      </c>
      <c r="AI133" s="143">
        <f t="shared" si="88"/>
        <v>1.24</v>
      </c>
      <c r="AJ133" s="173">
        <f t="shared" si="58"/>
        <v>222869</v>
      </c>
      <c r="AK133" s="178">
        <f t="shared" si="59"/>
        <v>260959</v>
      </c>
      <c r="AL133" s="174">
        <f t="shared" si="60"/>
        <v>0.73</v>
      </c>
      <c r="AM133" s="172">
        <f t="shared" si="61"/>
        <v>1118132</v>
      </c>
      <c r="AN133" s="173">
        <f t="shared" si="62"/>
        <v>1118</v>
      </c>
      <c r="AO133" s="173">
        <f t="shared" si="63"/>
        <v>1988</v>
      </c>
      <c r="AP133" s="172">
        <f>ROUND(AV133*'[1]数据-取费表'!$B$41/(1+'[1]数据-取费表'!$B$42),0)</f>
        <v>21124</v>
      </c>
      <c r="AQ133" s="172">
        <f>ROUND(AV133*'[1]数据-取费表'!B$51/(1+'[1]数据-取费表'!C$42),0)</f>
        <v>45266</v>
      </c>
      <c r="AR133" s="179">
        <f t="shared" si="64"/>
        <v>67148</v>
      </c>
      <c r="AS133" s="173">
        <f t="shared" si="77"/>
        <v>93229</v>
      </c>
      <c r="AT133" s="180">
        <f t="shared" si="92"/>
        <v>8.6</v>
      </c>
      <c r="AU133" s="181">
        <f t="shared" si="78"/>
        <v>8.92</v>
      </c>
      <c r="AV133" s="172">
        <f t="shared" si="79"/>
        <v>396078</v>
      </c>
      <c r="AW133" s="172">
        <f t="shared" si="80"/>
        <v>1485</v>
      </c>
      <c r="AX133" s="172">
        <f t="shared" si="65"/>
        <v>397563</v>
      </c>
      <c r="AY133" s="143">
        <f t="shared" si="89"/>
        <v>28.950000000000003</v>
      </c>
      <c r="AZ133" s="182">
        <f t="shared" si="90"/>
        <v>304334</v>
      </c>
      <c r="BA133" s="182">
        <f t="shared" si="81"/>
        <v>6093558</v>
      </c>
      <c r="BB133" s="183">
        <f t="shared" si="66"/>
        <v>5702140</v>
      </c>
      <c r="BC133" s="183">
        <f t="shared" si="91"/>
        <v>91510</v>
      </c>
      <c r="BD133" s="183">
        <f t="shared" si="82"/>
        <v>605.46</v>
      </c>
      <c r="BE133" s="182">
        <f t="shared" si="83"/>
        <v>381869</v>
      </c>
      <c r="BF133" s="182">
        <f t="shared" si="84"/>
        <v>1432</v>
      </c>
      <c r="BG133" s="182">
        <f t="shared" si="67"/>
        <v>383301</v>
      </c>
      <c r="BH133" s="182">
        <f t="shared" si="68"/>
        <v>1917</v>
      </c>
      <c r="BI133" s="182">
        <f>ROUND(BE133*'[1]数据-取费表'!$B$51/(1+'[1]数据-取费表'!$C$42),0)</f>
        <v>43642</v>
      </c>
      <c r="BJ133" s="182">
        <f>ROUND(BG133*'[1]数据-取费表'!B$41/(1+'[1]数据-取费表'!C$42),0)</f>
        <v>20443</v>
      </c>
      <c r="BK133" s="182">
        <f t="shared" si="69"/>
        <v>90960</v>
      </c>
      <c r="BL133" s="182">
        <f t="shared" si="70"/>
        <v>292341</v>
      </c>
      <c r="BM133" s="182">
        <f t="shared" si="85"/>
        <v>342622</v>
      </c>
      <c r="BN133" s="184">
        <f t="shared" si="71"/>
        <v>81663</v>
      </c>
      <c r="BO133" s="183">
        <f t="shared" si="97"/>
        <v>841.06022242157724</v>
      </c>
      <c r="BP133" s="195">
        <f>SUM(BO133:BO134)</f>
        <v>1682.1204448431545</v>
      </c>
      <c r="BQ133" s="195">
        <f>ROUND(BP133*10000/BS133,0)</f>
        <v>62222</v>
      </c>
      <c r="BR133" s="195"/>
      <c r="BS133" s="20">
        <f>SUM(E133:E134)</f>
        <v>270.33999999999997</v>
      </c>
    </row>
    <row r="134" spans="1:71" x14ac:dyDescent="0.2">
      <c r="A134" s="146">
        <v>117</v>
      </c>
      <c r="B134" s="141" t="s">
        <v>82</v>
      </c>
      <c r="C134" s="142" t="s">
        <v>85</v>
      </c>
      <c r="D134" s="143">
        <v>1609</v>
      </c>
      <c r="E134" s="143">
        <v>135.16999999999999</v>
      </c>
      <c r="F134" s="143" t="s">
        <v>83</v>
      </c>
      <c r="G134" s="143" t="s">
        <v>75</v>
      </c>
      <c r="H134" s="144">
        <v>56009</v>
      </c>
      <c r="I134" s="144">
        <v>44987</v>
      </c>
      <c r="J134" s="143">
        <f>IF(F134="商业",[1]项目基本情况!D$15,[1]项目基本情况!E$15)</f>
        <v>30.19</v>
      </c>
      <c r="K134" s="143" t="s">
        <v>84</v>
      </c>
      <c r="L134" s="143">
        <f>E134</f>
        <v>135.16999999999999</v>
      </c>
      <c r="M134" s="143">
        <v>13</v>
      </c>
      <c r="N134" s="143" t="s">
        <v>11</v>
      </c>
      <c r="O134" s="143">
        <v>2008</v>
      </c>
      <c r="P134" s="172">
        <f t="shared" ref="P134:P197" si="98">ROUND(L134/A$2,2)</f>
        <v>25.27</v>
      </c>
      <c r="Q134" s="172">
        <f>ROUND(P134*'[1]数据-取费表'!B$52,0)</f>
        <v>758</v>
      </c>
      <c r="R134" s="172">
        <f t="shared" si="86"/>
        <v>1531688</v>
      </c>
      <c r="S134" s="173">
        <f t="shared" si="72"/>
        <v>22975</v>
      </c>
      <c r="T134" s="174">
        <v>0.8</v>
      </c>
      <c r="U134" s="172">
        <f t="shared" si="87"/>
        <v>1225350</v>
      </c>
      <c r="V134" s="173">
        <f t="shared" ref="V134:V197" si="99">ROUND(U134*D$2,0)</f>
        <v>1225</v>
      </c>
      <c r="W134" s="173">
        <f t="shared" si="73"/>
        <v>1497</v>
      </c>
      <c r="X134" s="172">
        <f>ROUND(AC134*'[1]数据-取费表'!$B$41/(1+'[1]数据-取费表'!$C$42),0)</f>
        <v>15903</v>
      </c>
      <c r="Y134" s="172">
        <f>ROUND(AC134*'[1]数据-取费表'!$B$51/(1+'[1]数据-取费表'!$C$42),0)</f>
        <v>34079</v>
      </c>
      <c r="Z134" s="172">
        <f t="shared" ref="Z134:Z197" si="100">ROUND(X134+Y134+Q134,0)</f>
        <v>50740</v>
      </c>
      <c r="AA134" s="173">
        <f t="shared" ref="AA134:AA197" si="101">ROUND(Z134+S134+V134+W134,0)</f>
        <v>76437</v>
      </c>
      <c r="AB134" s="175">
        <f>ROUND(AC134/365/L134,2)</f>
        <v>6.04</v>
      </c>
      <c r="AC134" s="143">
        <v>298188</v>
      </c>
      <c r="AD134" s="172">
        <f t="shared" si="75"/>
        <v>1118</v>
      </c>
      <c r="AE134" s="172">
        <f t="shared" si="76"/>
        <v>299306</v>
      </c>
      <c r="AF134" s="177">
        <v>2.1999999999999999E-2</v>
      </c>
      <c r="AG134" s="177"/>
      <c r="AH134" s="144">
        <v>45443</v>
      </c>
      <c r="AI134" s="143">
        <f t="shared" si="88"/>
        <v>1.24</v>
      </c>
      <c r="AJ134" s="173">
        <f t="shared" ref="AJ134:AJ197" si="102">ROUND(AE134-AA134,0)</f>
        <v>222869</v>
      </c>
      <c r="AK134" s="178">
        <f t="shared" ref="AK134:AK197" si="103">ROUND(AJ134*(1-((1+AF134)/(1+J$2))^AI134)/(J$2-AF134),0)</f>
        <v>260959</v>
      </c>
      <c r="AL134" s="174">
        <f t="shared" ref="AL134:AL197" si="104">ROUND(1-(YEAR(AH134)-O134)/60,2)</f>
        <v>0.73</v>
      </c>
      <c r="AM134" s="172">
        <f t="shared" ref="AM134:AM197" si="105">ROUND(IF(AY134=0,0,R134*AL134),0)</f>
        <v>1118132</v>
      </c>
      <c r="AN134" s="173">
        <f t="shared" ref="AN134:AN197" si="106">ROUND(AM134*D$2,0)</f>
        <v>1118</v>
      </c>
      <c r="AO134" s="173">
        <f t="shared" ref="AO134:AO197" si="107">ROUND(AX134*E$2,0)</f>
        <v>1988</v>
      </c>
      <c r="AP134" s="172">
        <f>ROUND(AV134*'[1]数据-取费表'!$B$41/(1+'[1]数据-取费表'!$B$42),0)</f>
        <v>21124</v>
      </c>
      <c r="AQ134" s="172">
        <f>ROUND(AV134*'[1]数据-取费表'!B$51/(1+'[1]数据-取费表'!C$42),0)</f>
        <v>45266</v>
      </c>
      <c r="AR134" s="179">
        <f t="shared" ref="AR134:AR197" si="108">IF(AY134=0,0,ROUND(AP134+AQ134+Q134,0))</f>
        <v>67148</v>
      </c>
      <c r="AS134" s="173">
        <f t="shared" si="77"/>
        <v>93229</v>
      </c>
      <c r="AT134" s="180">
        <f t="shared" si="92"/>
        <v>8.6</v>
      </c>
      <c r="AU134" s="181">
        <f t="shared" si="78"/>
        <v>8.92</v>
      </c>
      <c r="AV134" s="172">
        <f t="shared" si="79"/>
        <v>396078</v>
      </c>
      <c r="AW134" s="172">
        <f t="shared" si="80"/>
        <v>1485</v>
      </c>
      <c r="AX134" s="172">
        <f t="shared" ref="AX134:AX197" si="109">AV134+AW134</f>
        <v>397563</v>
      </c>
      <c r="AY134" s="143">
        <f t="shared" si="89"/>
        <v>28.950000000000003</v>
      </c>
      <c r="AZ134" s="182">
        <f t="shared" si="90"/>
        <v>304334</v>
      </c>
      <c r="BA134" s="182">
        <f t="shared" si="81"/>
        <v>6093558</v>
      </c>
      <c r="BB134" s="183">
        <f t="shared" ref="BB134:BB197" si="110">ROUND(BA134/(1+J$2)^AI134,0)</f>
        <v>5702140</v>
      </c>
      <c r="BC134" s="183">
        <f t="shared" si="91"/>
        <v>91510</v>
      </c>
      <c r="BD134" s="183">
        <f t="shared" si="82"/>
        <v>605.46</v>
      </c>
      <c r="BE134" s="182">
        <f t="shared" si="83"/>
        <v>381869</v>
      </c>
      <c r="BF134" s="182">
        <f t="shared" si="84"/>
        <v>1432</v>
      </c>
      <c r="BG134" s="182">
        <f t="shared" ref="BG134:BG197" si="111">ROUND(BE134+BF134,0)</f>
        <v>383301</v>
      </c>
      <c r="BH134" s="182">
        <f t="shared" ref="BH134:BH197" si="112">ROUND(BG134*E$2,0)</f>
        <v>1917</v>
      </c>
      <c r="BI134" s="182">
        <f>ROUND(BE134*'[1]数据-取费表'!$B$51/(1+'[1]数据-取费表'!$C$42),0)</f>
        <v>43642</v>
      </c>
      <c r="BJ134" s="182">
        <f>ROUND(BG134*'[1]数据-取费表'!B$41/(1+'[1]数据-取费表'!C$42),0)</f>
        <v>20443</v>
      </c>
      <c r="BK134" s="182">
        <f t="shared" ref="BK134:BK197" si="113">IF(AY134=0,0,ROUND(BJ134+BI134+BH134+Q134+S134+V134,0))</f>
        <v>90960</v>
      </c>
      <c r="BL134" s="182">
        <f t="shared" ref="BL134:BL197" si="114">BG134-BK134</f>
        <v>292341</v>
      </c>
      <c r="BM134" s="182">
        <f t="shared" si="85"/>
        <v>342622</v>
      </c>
      <c r="BN134" s="184">
        <f t="shared" ref="BN134:BN197" si="115">IF(AY134=0,0,ROUND(BM134-AK134,0))</f>
        <v>81663</v>
      </c>
      <c r="BO134" s="183">
        <f t="shared" si="97"/>
        <v>841.06022242157724</v>
      </c>
      <c r="BP134" s="195"/>
      <c r="BQ134" s="195"/>
      <c r="BR134" s="195"/>
    </row>
    <row r="135" spans="1:71" x14ac:dyDescent="0.2">
      <c r="A135" s="146">
        <v>118</v>
      </c>
      <c r="B135" s="125" t="s">
        <v>82</v>
      </c>
      <c r="C135" s="126" t="s">
        <v>85</v>
      </c>
      <c r="D135" s="127">
        <v>1801</v>
      </c>
      <c r="E135" s="127">
        <v>134.94</v>
      </c>
      <c r="F135" s="127" t="s">
        <v>83</v>
      </c>
      <c r="G135" s="127" t="s">
        <v>75</v>
      </c>
      <c r="H135" s="128">
        <v>56009</v>
      </c>
      <c r="I135" s="128">
        <v>44987</v>
      </c>
      <c r="J135" s="127">
        <f>IF(F135="商业",[1]项目基本情况!D$15,[1]项目基本情况!E$15)</f>
        <v>30.19</v>
      </c>
      <c r="K135" s="127" t="s">
        <v>84</v>
      </c>
      <c r="L135" s="218">
        <f>SUM(E135:E136)</f>
        <v>345.7</v>
      </c>
      <c r="M135" s="127">
        <v>15</v>
      </c>
      <c r="N135" s="127" t="s">
        <v>11</v>
      </c>
      <c r="O135" s="127">
        <v>2008</v>
      </c>
      <c r="P135" s="218">
        <f t="shared" si="98"/>
        <v>64.62</v>
      </c>
      <c r="Q135" s="218">
        <f>ROUND(P135*'[1]数据-取费表'!B$52,0)</f>
        <v>1939</v>
      </c>
      <c r="R135" s="218">
        <f t="shared" si="86"/>
        <v>3917324</v>
      </c>
      <c r="S135" s="218">
        <f t="shared" ref="S135:S198" si="116">ROUND(R135*C$2,0)</f>
        <v>58760</v>
      </c>
      <c r="T135" s="220">
        <v>0.8</v>
      </c>
      <c r="U135" s="218">
        <f t="shared" si="87"/>
        <v>3133859</v>
      </c>
      <c r="V135" s="218">
        <f t="shared" si="99"/>
        <v>3134</v>
      </c>
      <c r="W135" s="218">
        <f t="shared" ref="W135:W198" si="117">ROUND(AE135*E$2,0)</f>
        <v>4118</v>
      </c>
      <c r="X135" s="218">
        <f>ROUND(AC135*'[1]数据-取费表'!$B$41/(1+'[1]数据-取费表'!$C$42),0)</f>
        <v>43756</v>
      </c>
      <c r="Y135" s="218">
        <f>ROUND(AC135*'[1]数据-取费表'!$B$51/(1+'[1]数据-取费表'!$C$42),0)</f>
        <v>93763</v>
      </c>
      <c r="Z135" s="218">
        <f t="shared" si="100"/>
        <v>139458</v>
      </c>
      <c r="AA135" s="218">
        <f t="shared" si="101"/>
        <v>205470</v>
      </c>
      <c r="AB135" s="240">
        <f>ROUND(AC135/365/L135,2)</f>
        <v>6.5</v>
      </c>
      <c r="AC135" s="218">
        <v>820424</v>
      </c>
      <c r="AD135" s="218">
        <f t="shared" ref="AD135:AD198" si="118">ROUND(IF(F$2="押一",AC135/12*G$2,IF(F$2="押二",AC135/12*2*G$2,IF(F$2="押三",AC135/12*3*G$2,0*G$2))),0)</f>
        <v>3077</v>
      </c>
      <c r="AE135" s="218">
        <f t="shared" ref="AE135:AE198" si="119">ROUND(AC135+AD135,0)</f>
        <v>823501</v>
      </c>
      <c r="AF135" s="225">
        <v>0</v>
      </c>
      <c r="AG135" s="218"/>
      <c r="AH135" s="226">
        <v>45611</v>
      </c>
      <c r="AI135" s="218">
        <f t="shared" si="88"/>
        <v>1.7</v>
      </c>
      <c r="AJ135" s="218">
        <f t="shared" si="102"/>
        <v>618031</v>
      </c>
      <c r="AK135" s="224">
        <f t="shared" si="103"/>
        <v>977612</v>
      </c>
      <c r="AL135" s="220">
        <f t="shared" si="104"/>
        <v>0.73</v>
      </c>
      <c r="AM135" s="218">
        <f t="shared" si="105"/>
        <v>2859647</v>
      </c>
      <c r="AN135" s="218">
        <f t="shared" si="106"/>
        <v>2860</v>
      </c>
      <c r="AO135" s="218">
        <f t="shared" si="107"/>
        <v>5152</v>
      </c>
      <c r="AP135" s="218">
        <f>ROUND(AV135*'[1]数据-取费表'!$B$41/(1+'[1]数据-取费表'!$B$42),0)</f>
        <v>54752</v>
      </c>
      <c r="AQ135" s="218">
        <f>ROUND(AV135*'[1]数据-取费表'!B$51/(1+'[1]数据-取费表'!C$42),0)</f>
        <v>117326</v>
      </c>
      <c r="AR135" s="218">
        <f t="shared" si="108"/>
        <v>174017</v>
      </c>
      <c r="AS135" s="218">
        <f t="shared" ref="AS135:AS198" si="120">IF(AY135=0,0,ROUND(AR135+S135+AN135+AO135,0))</f>
        <v>240789</v>
      </c>
      <c r="AT135" s="223">
        <f t="shared" si="92"/>
        <v>8.6</v>
      </c>
      <c r="AU135" s="224">
        <f t="shared" ref="AU135:AU198" si="121">ROUND(AT135*(1+H$2)^AI135,2)</f>
        <v>9.0399999999999991</v>
      </c>
      <c r="AV135" s="218">
        <f t="shared" ref="AV135:AV198" si="122">ROUND(IF(AY135=0,0,AU135*365*L135*(1-I$2)),0)</f>
        <v>1026605</v>
      </c>
      <c r="AW135" s="218">
        <f t="shared" ref="AW135:AW198" si="123">ROUND(IF(F$2="押一",AV135/12*G$2,IF(F$2="押二",AV135/12*2*G$2,IF(F$2="押三",AV135/12*3*G$2,0*G$2))),0)</f>
        <v>3850</v>
      </c>
      <c r="AX135" s="218">
        <f t="shared" si="109"/>
        <v>1030455</v>
      </c>
      <c r="AY135" s="218">
        <f t="shared" si="89"/>
        <v>28.490000000000002</v>
      </c>
      <c r="AZ135" s="227">
        <f t="shared" si="90"/>
        <v>789666</v>
      </c>
      <c r="BA135" s="227">
        <f t="shared" ref="BA135:BA198" si="124">ROUND(AZ135*(1-((1+H$2)/(1+J$2))^AY135)/(J$2-H$2),0)</f>
        <v>15636174</v>
      </c>
      <c r="BB135" s="229">
        <f t="shared" si="110"/>
        <v>14275828</v>
      </c>
      <c r="BC135" s="229">
        <f t="shared" si="91"/>
        <v>234039</v>
      </c>
      <c r="BD135" s="229">
        <f t="shared" ref="BD135:BD198" si="125">ROUND((AK135+BB135+BC135)/10000,2)</f>
        <v>1548.75</v>
      </c>
      <c r="BE135" s="227">
        <f t="shared" ref="BE135:BE198" si="126">IF(AY135=0,0,ROUND(AT135*365*L135*(1-I$2),0))</f>
        <v>976637</v>
      </c>
      <c r="BF135" s="227">
        <f t="shared" ref="BF135:BF198" si="127">ROUND(IF(F$2="押一",BE135/12*G$2,IF(F$2="押二",BE135/12*2*G$2,IF(F$2="押三",BE135/12*3*G$2,0*G$2))),0)</f>
        <v>3662</v>
      </c>
      <c r="BG135" s="227">
        <f t="shared" si="111"/>
        <v>980299</v>
      </c>
      <c r="BH135" s="227">
        <f t="shared" si="112"/>
        <v>4901</v>
      </c>
      <c r="BI135" s="227">
        <f>ROUND(BE135*'[1]数据-取费表'!$B$51/(1+'[1]数据-取费表'!$C$42),0)</f>
        <v>111616</v>
      </c>
      <c r="BJ135" s="227">
        <f>ROUND(BG135*'[1]数据-取费表'!B$41/(1+'[1]数据-取费表'!C$42),0)</f>
        <v>52283</v>
      </c>
      <c r="BK135" s="227">
        <f t="shared" si="113"/>
        <v>232633</v>
      </c>
      <c r="BL135" s="227">
        <f t="shared" si="114"/>
        <v>747666</v>
      </c>
      <c r="BM135" s="227">
        <f t="shared" ref="BM135:BM198" si="128">ROUND(BL135*(1-((1+H$2)/(1+J$2))^AI135)/(J$2-H$2),0)</f>
        <v>1194754</v>
      </c>
      <c r="BN135" s="228">
        <f t="shared" si="115"/>
        <v>217142</v>
      </c>
      <c r="BO135" s="229">
        <f t="shared" si="97"/>
        <v>2151.4088783328671</v>
      </c>
      <c r="BP135" s="229">
        <f>SUM(BO135:BO144)</f>
        <v>10275.656670794297</v>
      </c>
      <c r="BQ135" s="229">
        <f>ROUND(BP135*10000/BS135,0)</f>
        <v>62535</v>
      </c>
      <c r="BR135" s="194"/>
      <c r="BS135" s="20">
        <f>SUM(E135:E144)</f>
        <v>1643.18</v>
      </c>
    </row>
    <row r="136" spans="1:71" x14ac:dyDescent="0.2">
      <c r="A136" s="146">
        <v>119</v>
      </c>
      <c r="B136" s="125" t="s">
        <v>82</v>
      </c>
      <c r="C136" s="126" t="s">
        <v>85</v>
      </c>
      <c r="D136" s="127">
        <v>1812</v>
      </c>
      <c r="E136" s="127">
        <v>210.76</v>
      </c>
      <c r="F136" s="127" t="s">
        <v>83</v>
      </c>
      <c r="G136" s="127" t="s">
        <v>75</v>
      </c>
      <c r="H136" s="128">
        <v>56009</v>
      </c>
      <c r="I136" s="128">
        <v>44987</v>
      </c>
      <c r="J136" s="127">
        <f>IF(F136="商业",[1]项目基本情况!D$15,[1]项目基本情况!E$15)</f>
        <v>30.19</v>
      </c>
      <c r="K136" s="127" t="s">
        <v>84</v>
      </c>
      <c r="L136" s="218"/>
      <c r="M136" s="127">
        <v>15</v>
      </c>
      <c r="N136" s="127" t="s">
        <v>11</v>
      </c>
      <c r="O136" s="127">
        <v>2008</v>
      </c>
      <c r="P136" s="218">
        <f t="shared" si="98"/>
        <v>0</v>
      </c>
      <c r="Q136" s="218">
        <f>ROUND(P136*'[1]数据-取费表'!B$52,0)</f>
        <v>0</v>
      </c>
      <c r="R136" s="218">
        <f t="shared" si="86"/>
        <v>0</v>
      </c>
      <c r="S136" s="218">
        <f t="shared" si="116"/>
        <v>0</v>
      </c>
      <c r="T136" s="220">
        <v>0.8</v>
      </c>
      <c r="U136" s="218">
        <f t="shared" si="87"/>
        <v>0</v>
      </c>
      <c r="V136" s="218">
        <f t="shared" si="99"/>
        <v>0</v>
      </c>
      <c r="W136" s="218">
        <f t="shared" si="117"/>
        <v>0</v>
      </c>
      <c r="X136" s="218">
        <f>ROUND(AC136*'[1]数据-取费表'!$B$41/(1+'[1]数据-取费表'!$C$42),0)</f>
        <v>0</v>
      </c>
      <c r="Y136" s="218">
        <f>ROUND(AC136*'[1]数据-取费表'!$B$51/(1+'[1]数据-取费表'!$C$42),0)</f>
        <v>0</v>
      </c>
      <c r="Z136" s="218">
        <f t="shared" si="100"/>
        <v>0</v>
      </c>
      <c r="AA136" s="218">
        <f t="shared" si="101"/>
        <v>0</v>
      </c>
      <c r="AB136" s="240">
        <f t="shared" ref="AB136:AB197" si="129">IF(N136="低区",K$2,IF(N136="中区",L$2,M$2))</f>
        <v>8.6</v>
      </c>
      <c r="AC136" s="218"/>
      <c r="AD136" s="218">
        <f t="shared" si="118"/>
        <v>0</v>
      </c>
      <c r="AE136" s="218">
        <f t="shared" si="119"/>
        <v>0</v>
      </c>
      <c r="AF136" s="225"/>
      <c r="AG136" s="218"/>
      <c r="AH136" s="226"/>
      <c r="AI136" s="218">
        <f t="shared" si="88"/>
        <v>-123.25</v>
      </c>
      <c r="AJ136" s="218">
        <f t="shared" si="102"/>
        <v>0</v>
      </c>
      <c r="AK136" s="224">
        <f t="shared" si="103"/>
        <v>0</v>
      </c>
      <c r="AL136" s="220">
        <f t="shared" si="104"/>
        <v>2.8</v>
      </c>
      <c r="AM136" s="218">
        <f t="shared" si="105"/>
        <v>0</v>
      </c>
      <c r="AN136" s="218">
        <f t="shared" si="106"/>
        <v>0</v>
      </c>
      <c r="AO136" s="218">
        <f t="shared" si="107"/>
        <v>0</v>
      </c>
      <c r="AP136" s="218">
        <f>ROUND(AV136*'[1]数据-取费表'!$B$41/(1+'[1]数据-取费表'!$B$42),0)</f>
        <v>0</v>
      </c>
      <c r="AQ136" s="218">
        <f>ROUND(AV136*'[1]数据-取费表'!B$51/(1+'[1]数据-取费表'!C$42),0)</f>
        <v>0</v>
      </c>
      <c r="AR136" s="218">
        <f t="shared" si="108"/>
        <v>0</v>
      </c>
      <c r="AS136" s="218">
        <f t="shared" si="120"/>
        <v>0</v>
      </c>
      <c r="AT136" s="223">
        <f t="shared" si="92"/>
        <v>8.6</v>
      </c>
      <c r="AU136" s="224">
        <f t="shared" si="121"/>
        <v>0.23</v>
      </c>
      <c r="AV136" s="218">
        <f t="shared" si="122"/>
        <v>0</v>
      </c>
      <c r="AW136" s="218">
        <f t="shared" si="123"/>
        <v>0</v>
      </c>
      <c r="AX136" s="218">
        <f t="shared" si="109"/>
        <v>0</v>
      </c>
      <c r="AY136" s="218">
        <f t="shared" si="89"/>
        <v>153.44</v>
      </c>
      <c r="AZ136" s="227">
        <f t="shared" si="90"/>
        <v>0</v>
      </c>
      <c r="BA136" s="227">
        <f t="shared" si="124"/>
        <v>0</v>
      </c>
      <c r="BB136" s="229">
        <f t="shared" si="110"/>
        <v>0</v>
      </c>
      <c r="BC136" s="229">
        <f t="shared" si="91"/>
        <v>0</v>
      </c>
      <c r="BD136" s="229">
        <f t="shared" si="125"/>
        <v>0</v>
      </c>
      <c r="BE136" s="227">
        <f t="shared" si="126"/>
        <v>0</v>
      </c>
      <c r="BF136" s="227">
        <f t="shared" si="127"/>
        <v>0</v>
      </c>
      <c r="BG136" s="227">
        <f t="shared" si="111"/>
        <v>0</v>
      </c>
      <c r="BH136" s="227">
        <f t="shared" si="112"/>
        <v>0</v>
      </c>
      <c r="BI136" s="227">
        <f>ROUND(BE136*'[1]数据-取费表'!$B$51/(1+'[1]数据-取费表'!$C$42),0)</f>
        <v>0</v>
      </c>
      <c r="BJ136" s="227">
        <f>ROUND(BG136*'[1]数据-取费表'!B$41/(1+'[1]数据-取费表'!C$42),0)</f>
        <v>0</v>
      </c>
      <c r="BK136" s="227">
        <f t="shared" si="113"/>
        <v>0</v>
      </c>
      <c r="BL136" s="227">
        <f t="shared" si="114"/>
        <v>0</v>
      </c>
      <c r="BM136" s="227">
        <f t="shared" si="128"/>
        <v>0</v>
      </c>
      <c r="BN136" s="228">
        <f t="shared" si="115"/>
        <v>0</v>
      </c>
      <c r="BO136" s="229"/>
      <c r="BP136" s="229"/>
      <c r="BQ136" s="229"/>
      <c r="BR136" s="194"/>
    </row>
    <row r="137" spans="1:71" x14ac:dyDescent="0.2">
      <c r="A137" s="146">
        <v>120</v>
      </c>
      <c r="B137" s="125" t="s">
        <v>82</v>
      </c>
      <c r="C137" s="126" t="s">
        <v>85</v>
      </c>
      <c r="D137" s="127">
        <v>1802</v>
      </c>
      <c r="E137" s="127">
        <v>215.21</v>
      </c>
      <c r="F137" s="127" t="s">
        <v>83</v>
      </c>
      <c r="G137" s="127" t="s">
        <v>75</v>
      </c>
      <c r="H137" s="128">
        <v>56009</v>
      </c>
      <c r="I137" s="128">
        <v>44987</v>
      </c>
      <c r="J137" s="127">
        <f>IF(F137="商业",[1]项目基本情况!D$15,[1]项目基本情况!E$15)</f>
        <v>30.19</v>
      </c>
      <c r="K137" s="127" t="s">
        <v>84</v>
      </c>
      <c r="L137" s="127">
        <f>E137</f>
        <v>215.21</v>
      </c>
      <c r="M137" s="127">
        <v>15</v>
      </c>
      <c r="N137" s="127" t="s">
        <v>11</v>
      </c>
      <c r="O137" s="127">
        <v>2008</v>
      </c>
      <c r="P137" s="129">
        <f t="shared" si="98"/>
        <v>40.229999999999997</v>
      </c>
      <c r="Q137" s="129">
        <f>ROUND(P137*'[1]数据-取费表'!B$52,0)</f>
        <v>1207</v>
      </c>
      <c r="R137" s="129">
        <f t="shared" ref="R137:R200" si="130">ROUND(L137*B$2,0)</f>
        <v>2438667</v>
      </c>
      <c r="S137" s="130">
        <f t="shared" si="116"/>
        <v>36580</v>
      </c>
      <c r="T137" s="131">
        <v>0.8</v>
      </c>
      <c r="U137" s="129">
        <f t="shared" ref="U137:U200" si="131">ROUND(R137*T137,0)</f>
        <v>1950934</v>
      </c>
      <c r="V137" s="130">
        <f t="shared" si="99"/>
        <v>1951</v>
      </c>
      <c r="W137" s="130">
        <f t="shared" si="117"/>
        <v>2563</v>
      </c>
      <c r="X137" s="129">
        <f>ROUND(AC137*'[1]数据-取费表'!$B$41/(1+'[1]数据-取费表'!$C$42),0)</f>
        <v>27240</v>
      </c>
      <c r="Y137" s="129">
        <f>ROUND(AC137*'[1]数据-取费表'!$B$51/(1+'[1]数据-取费表'!$C$42),0)</f>
        <v>58370</v>
      </c>
      <c r="Z137" s="129">
        <f t="shared" si="100"/>
        <v>86817</v>
      </c>
      <c r="AA137" s="130">
        <f t="shared" si="101"/>
        <v>127911</v>
      </c>
      <c r="AB137" s="132">
        <f>ROUND(AC137/365/L137,2)</f>
        <v>6.5</v>
      </c>
      <c r="AC137" s="127">
        <v>510741</v>
      </c>
      <c r="AD137" s="129">
        <f t="shared" si="118"/>
        <v>1915</v>
      </c>
      <c r="AE137" s="129">
        <f t="shared" si="119"/>
        <v>512656</v>
      </c>
      <c r="AF137" s="134">
        <v>0</v>
      </c>
      <c r="AG137" s="134"/>
      <c r="AH137" s="145">
        <v>45611</v>
      </c>
      <c r="AI137" s="127">
        <f t="shared" ref="AI137:AI200" si="132">ROUNDDOWN((AH137-I137)/365,2)</f>
        <v>1.7</v>
      </c>
      <c r="AJ137" s="130">
        <f t="shared" si="102"/>
        <v>384745</v>
      </c>
      <c r="AK137" s="135">
        <f t="shared" si="103"/>
        <v>608596</v>
      </c>
      <c r="AL137" s="131">
        <f t="shared" si="104"/>
        <v>0.73</v>
      </c>
      <c r="AM137" s="129">
        <f t="shared" si="105"/>
        <v>1780227</v>
      </c>
      <c r="AN137" s="130">
        <f t="shared" si="106"/>
        <v>1780</v>
      </c>
      <c r="AO137" s="130">
        <f t="shared" si="107"/>
        <v>3207</v>
      </c>
      <c r="AP137" s="129">
        <f>ROUND(AV137*'[1]数据-取费表'!$B$41/(1+'[1]数据-取费表'!$B$42),0)</f>
        <v>34085</v>
      </c>
      <c r="AQ137" s="129">
        <f>ROUND(AV137*'[1]数据-取费表'!B$51/(1+'[1]数据-取费表'!C$42),0)</f>
        <v>73040</v>
      </c>
      <c r="AR137" s="136">
        <f t="shared" si="108"/>
        <v>108332</v>
      </c>
      <c r="AS137" s="130">
        <f t="shared" si="120"/>
        <v>149899</v>
      </c>
      <c r="AT137" s="137">
        <f t="shared" si="92"/>
        <v>8.6</v>
      </c>
      <c r="AU137" s="138">
        <f t="shared" si="121"/>
        <v>9.0399999999999991</v>
      </c>
      <c r="AV137" s="129">
        <f t="shared" si="122"/>
        <v>639096</v>
      </c>
      <c r="AW137" s="129">
        <f t="shared" si="123"/>
        <v>2397</v>
      </c>
      <c r="AX137" s="129">
        <f t="shared" si="109"/>
        <v>641493</v>
      </c>
      <c r="AY137" s="127">
        <f t="shared" ref="AY137:AY200" si="133">J137-AI137</f>
        <v>28.490000000000002</v>
      </c>
      <c r="AZ137" s="139">
        <f t="shared" ref="AZ137:AZ200" si="134">AX137-AS137</f>
        <v>491594</v>
      </c>
      <c r="BA137" s="139">
        <f t="shared" si="124"/>
        <v>9734051</v>
      </c>
      <c r="BB137" s="140">
        <f t="shared" si="110"/>
        <v>8887189</v>
      </c>
      <c r="BC137" s="140">
        <f t="shared" si="91"/>
        <v>145697</v>
      </c>
      <c r="BD137" s="140">
        <f t="shared" si="125"/>
        <v>964.15</v>
      </c>
      <c r="BE137" s="139">
        <f t="shared" si="126"/>
        <v>607990</v>
      </c>
      <c r="BF137" s="139">
        <f t="shared" si="127"/>
        <v>2280</v>
      </c>
      <c r="BG137" s="139">
        <f t="shared" si="111"/>
        <v>610270</v>
      </c>
      <c r="BH137" s="139">
        <f t="shared" si="112"/>
        <v>3051</v>
      </c>
      <c r="BI137" s="139">
        <f>ROUND(BE137*'[1]数据-取费表'!$B$51/(1+'[1]数据-取费表'!$C$42),0)</f>
        <v>69485</v>
      </c>
      <c r="BJ137" s="139">
        <f>ROUND(BG137*'[1]数据-取费表'!B$41/(1+'[1]数据-取费表'!C$42),0)</f>
        <v>32548</v>
      </c>
      <c r="BK137" s="139">
        <f t="shared" si="113"/>
        <v>144822</v>
      </c>
      <c r="BL137" s="139">
        <f t="shared" si="114"/>
        <v>465448</v>
      </c>
      <c r="BM137" s="139">
        <f t="shared" si="128"/>
        <v>743776</v>
      </c>
      <c r="BN137" s="165">
        <f t="shared" si="115"/>
        <v>135180</v>
      </c>
      <c r="BO137" s="140">
        <f t="shared" ref="BO137:BO143" si="135">BD137/$BD$234*$BS$3</f>
        <v>1339.3258240804737</v>
      </c>
      <c r="BP137" s="229"/>
      <c r="BQ137" s="229"/>
      <c r="BR137" s="194"/>
    </row>
    <row r="138" spans="1:71" x14ac:dyDescent="0.2">
      <c r="A138" s="146">
        <v>121</v>
      </c>
      <c r="B138" s="125" t="s">
        <v>82</v>
      </c>
      <c r="C138" s="126" t="s">
        <v>85</v>
      </c>
      <c r="D138" s="127">
        <v>1805</v>
      </c>
      <c r="E138" s="127">
        <v>245.92</v>
      </c>
      <c r="F138" s="127" t="s">
        <v>83</v>
      </c>
      <c r="G138" s="127" t="s">
        <v>75</v>
      </c>
      <c r="H138" s="128">
        <v>56009</v>
      </c>
      <c r="I138" s="128">
        <v>44987</v>
      </c>
      <c r="J138" s="127">
        <f>IF(F138="商业",[1]项目基本情况!D$15,[1]项目基本情况!E$15)</f>
        <v>30.19</v>
      </c>
      <c r="K138" s="127"/>
      <c r="L138" s="127">
        <v>245.92</v>
      </c>
      <c r="M138" s="127">
        <v>15</v>
      </c>
      <c r="N138" s="127" t="s">
        <v>11</v>
      </c>
      <c r="O138" s="127">
        <v>2008</v>
      </c>
      <c r="P138" s="129">
        <f t="shared" si="98"/>
        <v>45.97</v>
      </c>
      <c r="Q138" s="129">
        <f>ROUND(P138*'[1]数据-取费表'!B$52,0)</f>
        <v>1379</v>
      </c>
      <c r="R138" s="129">
        <f t="shared" si="130"/>
        <v>2786660</v>
      </c>
      <c r="S138" s="130">
        <f t="shared" si="116"/>
        <v>41800</v>
      </c>
      <c r="T138" s="131">
        <v>0.8</v>
      </c>
      <c r="U138" s="129">
        <f t="shared" si="131"/>
        <v>2229328</v>
      </c>
      <c r="V138" s="130">
        <f t="shared" si="99"/>
        <v>2229</v>
      </c>
      <c r="W138" s="130">
        <f t="shared" si="117"/>
        <v>3487</v>
      </c>
      <c r="X138" s="129">
        <f>ROUND(AC138*'[1]数据-取费表'!$B$41/(1+'[1]数据-取费表'!$C$42),0)</f>
        <v>37053</v>
      </c>
      <c r="Y138" s="129">
        <f>ROUND(AC138*'[1]数据-取费表'!$B$51/(1+'[1]数据-取费表'!$C$42),0)</f>
        <v>79400</v>
      </c>
      <c r="Z138" s="129">
        <f t="shared" si="100"/>
        <v>117832</v>
      </c>
      <c r="AA138" s="130">
        <f t="shared" si="101"/>
        <v>165348</v>
      </c>
      <c r="AB138" s="132">
        <f t="shared" si="129"/>
        <v>8.6</v>
      </c>
      <c r="AC138" s="129">
        <f>ROUND(AB138*365*L138*(1-I$2),0)</f>
        <v>694749</v>
      </c>
      <c r="AD138" s="129">
        <f t="shared" si="118"/>
        <v>2605</v>
      </c>
      <c r="AE138" s="129">
        <f t="shared" si="119"/>
        <v>697354</v>
      </c>
      <c r="AF138" s="133">
        <f>H$2</f>
        <v>0.03</v>
      </c>
      <c r="AG138" s="134"/>
      <c r="AH138" s="128">
        <f>H138</f>
        <v>56009</v>
      </c>
      <c r="AI138" s="127">
        <f t="shared" si="132"/>
        <v>30.19</v>
      </c>
      <c r="AJ138" s="130">
        <f t="shared" si="102"/>
        <v>532006</v>
      </c>
      <c r="AK138" s="135">
        <f t="shared" si="103"/>
        <v>10963545</v>
      </c>
      <c r="AL138" s="131">
        <f t="shared" si="104"/>
        <v>0.25</v>
      </c>
      <c r="AM138" s="129">
        <f t="shared" si="105"/>
        <v>0</v>
      </c>
      <c r="AN138" s="130">
        <f t="shared" si="106"/>
        <v>0</v>
      </c>
      <c r="AO138" s="130">
        <f t="shared" si="107"/>
        <v>0</v>
      </c>
      <c r="AP138" s="129">
        <f>ROUND(AV138*'[1]数据-取费表'!$B$41/(1+'[1]数据-取费表'!$B$42),0)</f>
        <v>0</v>
      </c>
      <c r="AQ138" s="129">
        <f>ROUND(AV138*'[1]数据-取费表'!B$51/(1+'[1]数据-取费表'!C$42),0)</f>
        <v>0</v>
      </c>
      <c r="AR138" s="136">
        <f t="shared" si="108"/>
        <v>0</v>
      </c>
      <c r="AS138" s="130">
        <f t="shared" si="120"/>
        <v>0</v>
      </c>
      <c r="AT138" s="137">
        <f t="shared" si="92"/>
        <v>8.6</v>
      </c>
      <c r="AU138" s="138">
        <f t="shared" si="121"/>
        <v>20.99</v>
      </c>
      <c r="AV138" s="129">
        <f t="shared" si="122"/>
        <v>0</v>
      </c>
      <c r="AW138" s="129">
        <f t="shared" si="123"/>
        <v>0</v>
      </c>
      <c r="AX138" s="129">
        <f t="shared" si="109"/>
        <v>0</v>
      </c>
      <c r="AY138" s="127">
        <f t="shared" si="133"/>
        <v>0</v>
      </c>
      <c r="AZ138" s="139">
        <f t="shared" si="134"/>
        <v>0</v>
      </c>
      <c r="BA138" s="139">
        <f t="shared" si="124"/>
        <v>0</v>
      </c>
      <c r="BB138" s="140">
        <f t="shared" si="110"/>
        <v>0</v>
      </c>
      <c r="BC138" s="140">
        <f t="shared" ref="BC138:BC201" si="136">ROUND(Q$2*L138,0)</f>
        <v>166488</v>
      </c>
      <c r="BD138" s="140">
        <f t="shared" si="125"/>
        <v>1113</v>
      </c>
      <c r="BE138" s="139">
        <f t="shared" si="126"/>
        <v>0</v>
      </c>
      <c r="BF138" s="139">
        <f t="shared" si="127"/>
        <v>0</v>
      </c>
      <c r="BG138" s="139">
        <f t="shared" si="111"/>
        <v>0</v>
      </c>
      <c r="BH138" s="139">
        <f t="shared" si="112"/>
        <v>0</v>
      </c>
      <c r="BI138" s="139">
        <f>ROUND(BE138*'[1]数据-取费表'!$B$51/(1+'[1]数据-取费表'!$C$42),0)</f>
        <v>0</v>
      </c>
      <c r="BJ138" s="139">
        <f>ROUND(BG138*'[1]数据-取费表'!B$41/(1+'[1]数据-取费表'!C$42),0)</f>
        <v>0</v>
      </c>
      <c r="BK138" s="139">
        <f t="shared" si="113"/>
        <v>0</v>
      </c>
      <c r="BL138" s="139">
        <f t="shared" si="114"/>
        <v>0</v>
      </c>
      <c r="BM138" s="139">
        <f t="shared" si="128"/>
        <v>0</v>
      </c>
      <c r="BN138" s="165">
        <f t="shared" si="115"/>
        <v>0</v>
      </c>
      <c r="BO138" s="140">
        <f t="shared" si="135"/>
        <v>1546.097227818874</v>
      </c>
      <c r="BP138" s="229"/>
      <c r="BQ138" s="229"/>
      <c r="BR138" s="194"/>
    </row>
    <row r="139" spans="1:71" x14ac:dyDescent="0.2">
      <c r="A139" s="146">
        <v>122</v>
      </c>
      <c r="B139" s="125" t="s">
        <v>82</v>
      </c>
      <c r="C139" s="126" t="s">
        <v>85</v>
      </c>
      <c r="D139" s="127">
        <v>1806</v>
      </c>
      <c r="E139" s="127">
        <v>145.26</v>
      </c>
      <c r="F139" s="127" t="s">
        <v>83</v>
      </c>
      <c r="G139" s="127" t="s">
        <v>75</v>
      </c>
      <c r="H139" s="128">
        <v>56009</v>
      </c>
      <c r="I139" s="128">
        <v>44987</v>
      </c>
      <c r="J139" s="127">
        <f>IF(F139="商业",[1]项目基本情况!D$15,[1]项目基本情况!E$15)</f>
        <v>30.19</v>
      </c>
      <c r="K139" s="127"/>
      <c r="L139" s="127">
        <v>145.26</v>
      </c>
      <c r="M139" s="127">
        <v>15</v>
      </c>
      <c r="N139" s="127" t="s">
        <v>11</v>
      </c>
      <c r="O139" s="127">
        <v>2008</v>
      </c>
      <c r="P139" s="129">
        <f t="shared" si="98"/>
        <v>27.15</v>
      </c>
      <c r="Q139" s="129">
        <f>ROUND(P139*'[1]数据-取费表'!B$52,0)</f>
        <v>815</v>
      </c>
      <c r="R139" s="129">
        <f t="shared" si="130"/>
        <v>1646024</v>
      </c>
      <c r="S139" s="130">
        <f t="shared" si="116"/>
        <v>24690</v>
      </c>
      <c r="T139" s="131">
        <v>0.8</v>
      </c>
      <c r="U139" s="129">
        <f t="shared" si="131"/>
        <v>1316819</v>
      </c>
      <c r="V139" s="130">
        <f t="shared" si="99"/>
        <v>1317</v>
      </c>
      <c r="W139" s="130">
        <f t="shared" si="117"/>
        <v>2060</v>
      </c>
      <c r="X139" s="129">
        <f>ROUND(AC139*'[1]数据-取费表'!$B$41/(1+'[1]数据-取费表'!$C$42),0)</f>
        <v>21887</v>
      </c>
      <c r="Y139" s="129">
        <f>ROUND(AC139*'[1]数据-取费表'!$B$51/(1+'[1]数据-取费表'!$C$42),0)</f>
        <v>46900</v>
      </c>
      <c r="Z139" s="129">
        <f t="shared" si="100"/>
        <v>69602</v>
      </c>
      <c r="AA139" s="130">
        <f t="shared" si="101"/>
        <v>97669</v>
      </c>
      <c r="AB139" s="132">
        <f t="shared" si="129"/>
        <v>8.6</v>
      </c>
      <c r="AC139" s="129">
        <f>ROUND(AB139*365*L139*(1-I$2),0)</f>
        <v>410374</v>
      </c>
      <c r="AD139" s="129">
        <f t="shared" si="118"/>
        <v>1539</v>
      </c>
      <c r="AE139" s="129">
        <f t="shared" si="119"/>
        <v>411913</v>
      </c>
      <c r="AF139" s="133">
        <f>H$2</f>
        <v>0.03</v>
      </c>
      <c r="AG139" s="134"/>
      <c r="AH139" s="128">
        <f>H139</f>
        <v>56009</v>
      </c>
      <c r="AI139" s="127">
        <f t="shared" si="132"/>
        <v>30.19</v>
      </c>
      <c r="AJ139" s="130">
        <f t="shared" si="102"/>
        <v>314244</v>
      </c>
      <c r="AK139" s="135">
        <f t="shared" si="103"/>
        <v>6475920</v>
      </c>
      <c r="AL139" s="131">
        <f t="shared" si="104"/>
        <v>0.25</v>
      </c>
      <c r="AM139" s="129">
        <f t="shared" si="105"/>
        <v>0</v>
      </c>
      <c r="AN139" s="130">
        <f t="shared" si="106"/>
        <v>0</v>
      </c>
      <c r="AO139" s="130">
        <f t="shared" si="107"/>
        <v>0</v>
      </c>
      <c r="AP139" s="129">
        <f>ROUND(AV139*'[1]数据-取费表'!$B$41/(1+'[1]数据-取费表'!$B$42),0)</f>
        <v>0</v>
      </c>
      <c r="AQ139" s="129">
        <f>ROUND(AV139*'[1]数据-取费表'!B$51/(1+'[1]数据-取费表'!C$42),0)</f>
        <v>0</v>
      </c>
      <c r="AR139" s="136">
        <f t="shared" si="108"/>
        <v>0</v>
      </c>
      <c r="AS139" s="130">
        <f t="shared" si="120"/>
        <v>0</v>
      </c>
      <c r="AT139" s="137">
        <f t="shared" ref="AT139:AT202" si="137">IF(N139="低区",K$2,IF(N139="中区",L$2,M$2))</f>
        <v>8.6</v>
      </c>
      <c r="AU139" s="138">
        <f t="shared" si="121"/>
        <v>20.99</v>
      </c>
      <c r="AV139" s="129">
        <f t="shared" si="122"/>
        <v>0</v>
      </c>
      <c r="AW139" s="129">
        <f t="shared" si="123"/>
        <v>0</v>
      </c>
      <c r="AX139" s="129">
        <f t="shared" si="109"/>
        <v>0</v>
      </c>
      <c r="AY139" s="127">
        <f t="shared" si="133"/>
        <v>0</v>
      </c>
      <c r="AZ139" s="139">
        <f t="shared" si="134"/>
        <v>0</v>
      </c>
      <c r="BA139" s="139">
        <f t="shared" si="124"/>
        <v>0</v>
      </c>
      <c r="BB139" s="140">
        <f t="shared" si="110"/>
        <v>0</v>
      </c>
      <c r="BC139" s="140">
        <f t="shared" si="136"/>
        <v>98341</v>
      </c>
      <c r="BD139" s="140">
        <f t="shared" si="125"/>
        <v>657.43</v>
      </c>
      <c r="BE139" s="139">
        <f t="shared" si="126"/>
        <v>0</v>
      </c>
      <c r="BF139" s="139">
        <f t="shared" si="127"/>
        <v>0</v>
      </c>
      <c r="BG139" s="139">
        <f t="shared" si="111"/>
        <v>0</v>
      </c>
      <c r="BH139" s="139">
        <f t="shared" si="112"/>
        <v>0</v>
      </c>
      <c r="BI139" s="139">
        <f>ROUND(BE139*'[1]数据-取费表'!$B$51/(1+'[1]数据-取费表'!$C$42),0)</f>
        <v>0</v>
      </c>
      <c r="BJ139" s="139">
        <f>ROUND(BG139*'[1]数据-取费表'!B$41/(1+'[1]数据-取费表'!C$42),0)</f>
        <v>0</v>
      </c>
      <c r="BK139" s="139">
        <f t="shared" si="113"/>
        <v>0</v>
      </c>
      <c r="BL139" s="139">
        <f t="shared" si="114"/>
        <v>0</v>
      </c>
      <c r="BM139" s="139">
        <f t="shared" si="128"/>
        <v>0</v>
      </c>
      <c r="BN139" s="165">
        <f t="shared" si="115"/>
        <v>0</v>
      </c>
      <c r="BO139" s="140">
        <f t="shared" si="135"/>
        <v>913.25310016618357</v>
      </c>
      <c r="BP139" s="229"/>
      <c r="BQ139" s="229"/>
      <c r="BR139" s="194"/>
    </row>
    <row r="140" spans="1:71" x14ac:dyDescent="0.2">
      <c r="A140" s="146">
        <v>123</v>
      </c>
      <c r="B140" s="125" t="s">
        <v>82</v>
      </c>
      <c r="C140" s="126" t="s">
        <v>85</v>
      </c>
      <c r="D140" s="127">
        <v>1807</v>
      </c>
      <c r="E140" s="127">
        <v>139.97999999999999</v>
      </c>
      <c r="F140" s="127" t="s">
        <v>83</v>
      </c>
      <c r="G140" s="127" t="s">
        <v>75</v>
      </c>
      <c r="H140" s="128">
        <v>56009</v>
      </c>
      <c r="I140" s="128">
        <v>44987</v>
      </c>
      <c r="J140" s="127">
        <f>IF(F140="商业",[1]项目基本情况!D$15,[1]项目基本情况!E$15)</f>
        <v>30.19</v>
      </c>
      <c r="K140" s="127"/>
      <c r="L140" s="127">
        <v>139.97999999999999</v>
      </c>
      <c r="M140" s="127">
        <v>15</v>
      </c>
      <c r="N140" s="127" t="s">
        <v>11</v>
      </c>
      <c r="O140" s="127">
        <v>2008</v>
      </c>
      <c r="P140" s="129">
        <f t="shared" si="98"/>
        <v>26.16</v>
      </c>
      <c r="Q140" s="129">
        <f>ROUND(P140*'[1]数据-取费表'!B$52,0)</f>
        <v>785</v>
      </c>
      <c r="R140" s="129">
        <f t="shared" si="130"/>
        <v>1586193</v>
      </c>
      <c r="S140" s="130">
        <f t="shared" si="116"/>
        <v>23793</v>
      </c>
      <c r="T140" s="131">
        <v>0.8</v>
      </c>
      <c r="U140" s="129">
        <f t="shared" si="131"/>
        <v>1268954</v>
      </c>
      <c r="V140" s="130">
        <f t="shared" si="99"/>
        <v>1269</v>
      </c>
      <c r="W140" s="130">
        <f t="shared" si="117"/>
        <v>1985</v>
      </c>
      <c r="X140" s="129">
        <f>ROUND(AC140*'[1]数据-取费表'!$B$41/(1+'[1]数据-取费表'!$C$42),0)</f>
        <v>21091</v>
      </c>
      <c r="Y140" s="129">
        <f>ROUND(AC140*'[1]数据-取费表'!$B$51/(1+'[1]数据-取费表'!$C$42),0)</f>
        <v>45195</v>
      </c>
      <c r="Z140" s="129">
        <f t="shared" si="100"/>
        <v>67071</v>
      </c>
      <c r="AA140" s="130">
        <f t="shared" si="101"/>
        <v>94118</v>
      </c>
      <c r="AB140" s="132">
        <f t="shared" si="129"/>
        <v>8.6</v>
      </c>
      <c r="AC140" s="129">
        <f>ROUND(AB140*365*L140*(1-I$2),0)</f>
        <v>395457</v>
      </c>
      <c r="AD140" s="129">
        <f t="shared" si="118"/>
        <v>1483</v>
      </c>
      <c r="AE140" s="129">
        <f t="shared" si="119"/>
        <v>396940</v>
      </c>
      <c r="AF140" s="133">
        <f>H$2</f>
        <v>0.03</v>
      </c>
      <c r="AG140" s="134"/>
      <c r="AH140" s="128">
        <f>H140</f>
        <v>56009</v>
      </c>
      <c r="AI140" s="127">
        <f t="shared" si="132"/>
        <v>30.19</v>
      </c>
      <c r="AJ140" s="130">
        <f t="shared" si="102"/>
        <v>302822</v>
      </c>
      <c r="AK140" s="135">
        <f t="shared" si="103"/>
        <v>6240536</v>
      </c>
      <c r="AL140" s="131">
        <f t="shared" si="104"/>
        <v>0.25</v>
      </c>
      <c r="AM140" s="129">
        <f t="shared" si="105"/>
        <v>0</v>
      </c>
      <c r="AN140" s="130">
        <f t="shared" si="106"/>
        <v>0</v>
      </c>
      <c r="AO140" s="130">
        <f t="shared" si="107"/>
        <v>0</v>
      </c>
      <c r="AP140" s="129">
        <f>ROUND(AV140*'[1]数据-取费表'!$B$41/(1+'[1]数据-取费表'!$B$42),0)</f>
        <v>0</v>
      </c>
      <c r="AQ140" s="129">
        <f>ROUND(AV140*'[1]数据-取费表'!B$51/(1+'[1]数据-取费表'!C$42),0)</f>
        <v>0</v>
      </c>
      <c r="AR140" s="136">
        <f t="shared" si="108"/>
        <v>0</v>
      </c>
      <c r="AS140" s="130">
        <f t="shared" si="120"/>
        <v>0</v>
      </c>
      <c r="AT140" s="137">
        <f t="shared" si="137"/>
        <v>8.6</v>
      </c>
      <c r="AU140" s="138">
        <f t="shared" si="121"/>
        <v>20.99</v>
      </c>
      <c r="AV140" s="129">
        <f t="shared" si="122"/>
        <v>0</v>
      </c>
      <c r="AW140" s="129">
        <f t="shared" si="123"/>
        <v>0</v>
      </c>
      <c r="AX140" s="129">
        <f t="shared" si="109"/>
        <v>0</v>
      </c>
      <c r="AY140" s="127">
        <f t="shared" si="133"/>
        <v>0</v>
      </c>
      <c r="AZ140" s="139">
        <f t="shared" si="134"/>
        <v>0</v>
      </c>
      <c r="BA140" s="139">
        <f t="shared" si="124"/>
        <v>0</v>
      </c>
      <c r="BB140" s="140">
        <f t="shared" si="110"/>
        <v>0</v>
      </c>
      <c r="BC140" s="140">
        <f t="shared" si="136"/>
        <v>94766</v>
      </c>
      <c r="BD140" s="140">
        <f t="shared" si="125"/>
        <v>633.53</v>
      </c>
      <c r="BE140" s="139">
        <f t="shared" si="126"/>
        <v>0</v>
      </c>
      <c r="BF140" s="139">
        <f t="shared" si="127"/>
        <v>0</v>
      </c>
      <c r="BG140" s="139">
        <f t="shared" si="111"/>
        <v>0</v>
      </c>
      <c r="BH140" s="139">
        <f t="shared" si="112"/>
        <v>0</v>
      </c>
      <c r="BI140" s="139">
        <f>ROUND(BE140*'[1]数据-取费表'!$B$51/(1+'[1]数据-取费表'!$C$42),0)</f>
        <v>0</v>
      </c>
      <c r="BJ140" s="139">
        <f>ROUND(BG140*'[1]数据-取费表'!B$41/(1+'[1]数据-取费表'!C$42),0)</f>
        <v>0</v>
      </c>
      <c r="BK140" s="139">
        <f t="shared" si="113"/>
        <v>0</v>
      </c>
      <c r="BL140" s="139">
        <f t="shared" si="114"/>
        <v>0</v>
      </c>
      <c r="BM140" s="139">
        <f t="shared" si="128"/>
        <v>0</v>
      </c>
      <c r="BN140" s="165">
        <f t="shared" si="115"/>
        <v>0</v>
      </c>
      <c r="BO140" s="140">
        <f t="shared" si="135"/>
        <v>880.05298898480794</v>
      </c>
      <c r="BP140" s="229"/>
      <c r="BQ140" s="229"/>
      <c r="BR140" s="194"/>
    </row>
    <row r="141" spans="1:71" x14ac:dyDescent="0.2">
      <c r="A141" s="146">
        <v>124</v>
      </c>
      <c r="B141" s="125" t="s">
        <v>82</v>
      </c>
      <c r="C141" s="126" t="s">
        <v>85</v>
      </c>
      <c r="D141" s="127">
        <v>1808</v>
      </c>
      <c r="E141" s="127">
        <v>135.16999999999999</v>
      </c>
      <c r="F141" s="127" t="s">
        <v>83</v>
      </c>
      <c r="G141" s="127" t="s">
        <v>75</v>
      </c>
      <c r="H141" s="128">
        <v>56009</v>
      </c>
      <c r="I141" s="128">
        <v>44987</v>
      </c>
      <c r="J141" s="127">
        <f>IF(F141="商业",[1]项目基本情况!D$15,[1]项目基本情况!E$15)</f>
        <v>30.19</v>
      </c>
      <c r="K141" s="127"/>
      <c r="L141" s="127">
        <v>135.16999999999999</v>
      </c>
      <c r="M141" s="127">
        <v>15</v>
      </c>
      <c r="N141" s="127" t="s">
        <v>11</v>
      </c>
      <c r="O141" s="127">
        <v>2008</v>
      </c>
      <c r="P141" s="129">
        <f t="shared" si="98"/>
        <v>25.27</v>
      </c>
      <c r="Q141" s="129">
        <f>ROUND(P141*'[1]数据-取费表'!B$52,0)</f>
        <v>758</v>
      </c>
      <c r="R141" s="129">
        <f t="shared" si="130"/>
        <v>1531688</v>
      </c>
      <c r="S141" s="130">
        <f t="shared" si="116"/>
        <v>22975</v>
      </c>
      <c r="T141" s="131">
        <v>0.8</v>
      </c>
      <c r="U141" s="129">
        <f t="shared" si="131"/>
        <v>1225350</v>
      </c>
      <c r="V141" s="130">
        <f t="shared" si="99"/>
        <v>1225</v>
      </c>
      <c r="W141" s="130">
        <f t="shared" si="117"/>
        <v>1917</v>
      </c>
      <c r="X141" s="129">
        <f>ROUND(AC141*'[1]数据-取费表'!$B$41/(1+'[1]数据-取费表'!$C$42),0)</f>
        <v>20366</v>
      </c>
      <c r="Y141" s="129">
        <f>ROUND(AC141*'[1]数据-取费表'!$B$51/(1+'[1]数据-取费表'!$C$42),0)</f>
        <v>43642</v>
      </c>
      <c r="Z141" s="129">
        <f t="shared" si="100"/>
        <v>64766</v>
      </c>
      <c r="AA141" s="130">
        <f t="shared" si="101"/>
        <v>90883</v>
      </c>
      <c r="AB141" s="132">
        <f t="shared" si="129"/>
        <v>8.6</v>
      </c>
      <c r="AC141" s="129">
        <f>ROUND(AB141*365*L141*(1-I$2),0)</f>
        <v>381869</v>
      </c>
      <c r="AD141" s="129">
        <f t="shared" si="118"/>
        <v>1432</v>
      </c>
      <c r="AE141" s="129">
        <f t="shared" si="119"/>
        <v>383301</v>
      </c>
      <c r="AF141" s="133">
        <f>H$2</f>
        <v>0.03</v>
      </c>
      <c r="AG141" s="134"/>
      <c r="AH141" s="128">
        <f>H141</f>
        <v>56009</v>
      </c>
      <c r="AI141" s="127">
        <f t="shared" si="132"/>
        <v>30.19</v>
      </c>
      <c r="AJ141" s="130">
        <f t="shared" si="102"/>
        <v>292418</v>
      </c>
      <c r="AK141" s="135">
        <f t="shared" si="103"/>
        <v>6026131</v>
      </c>
      <c r="AL141" s="131">
        <f t="shared" si="104"/>
        <v>0.25</v>
      </c>
      <c r="AM141" s="129">
        <f t="shared" si="105"/>
        <v>0</v>
      </c>
      <c r="AN141" s="130">
        <f t="shared" si="106"/>
        <v>0</v>
      </c>
      <c r="AO141" s="130">
        <f t="shared" si="107"/>
        <v>0</v>
      </c>
      <c r="AP141" s="129">
        <f>ROUND(AV141*'[1]数据-取费表'!$B$41/(1+'[1]数据-取费表'!$B$42),0)</f>
        <v>0</v>
      </c>
      <c r="AQ141" s="129">
        <f>ROUND(AV141*'[1]数据-取费表'!B$51/(1+'[1]数据-取费表'!C$42),0)</f>
        <v>0</v>
      </c>
      <c r="AR141" s="136">
        <f t="shared" si="108"/>
        <v>0</v>
      </c>
      <c r="AS141" s="130">
        <f t="shared" si="120"/>
        <v>0</v>
      </c>
      <c r="AT141" s="137">
        <f t="shared" si="137"/>
        <v>8.6</v>
      </c>
      <c r="AU141" s="138">
        <f t="shared" si="121"/>
        <v>20.99</v>
      </c>
      <c r="AV141" s="129">
        <f t="shared" si="122"/>
        <v>0</v>
      </c>
      <c r="AW141" s="129">
        <f t="shared" si="123"/>
        <v>0</v>
      </c>
      <c r="AX141" s="129">
        <f t="shared" si="109"/>
        <v>0</v>
      </c>
      <c r="AY141" s="127">
        <f t="shared" si="133"/>
        <v>0</v>
      </c>
      <c r="AZ141" s="139">
        <f t="shared" si="134"/>
        <v>0</v>
      </c>
      <c r="BA141" s="139">
        <f t="shared" si="124"/>
        <v>0</v>
      </c>
      <c r="BB141" s="140">
        <f t="shared" si="110"/>
        <v>0</v>
      </c>
      <c r="BC141" s="140">
        <f t="shared" si="136"/>
        <v>91510</v>
      </c>
      <c r="BD141" s="140">
        <f t="shared" si="125"/>
        <v>611.76</v>
      </c>
      <c r="BE141" s="139">
        <f t="shared" si="126"/>
        <v>0</v>
      </c>
      <c r="BF141" s="139">
        <f t="shared" si="127"/>
        <v>0</v>
      </c>
      <c r="BG141" s="139">
        <f t="shared" si="111"/>
        <v>0</v>
      </c>
      <c r="BH141" s="139">
        <f t="shared" si="112"/>
        <v>0</v>
      </c>
      <c r="BI141" s="139">
        <f>ROUND(BE141*'[1]数据-取费表'!$B$51/(1+'[1]数据-取费表'!$C$42),0)</f>
        <v>0</v>
      </c>
      <c r="BJ141" s="139">
        <f>ROUND(BG141*'[1]数据-取费表'!B$41/(1+'[1]数据-取费表'!C$42),0)</f>
        <v>0</v>
      </c>
      <c r="BK141" s="139">
        <f t="shared" si="113"/>
        <v>0</v>
      </c>
      <c r="BL141" s="139">
        <f t="shared" si="114"/>
        <v>0</v>
      </c>
      <c r="BM141" s="139">
        <f t="shared" si="128"/>
        <v>0</v>
      </c>
      <c r="BN141" s="165">
        <f t="shared" si="115"/>
        <v>0</v>
      </c>
      <c r="BO141" s="140">
        <f t="shared" si="135"/>
        <v>849.81171616394818</v>
      </c>
      <c r="BP141" s="229"/>
      <c r="BQ141" s="229"/>
      <c r="BR141" s="194"/>
    </row>
    <row r="142" spans="1:71" x14ac:dyDescent="0.2">
      <c r="A142" s="146">
        <v>125</v>
      </c>
      <c r="B142" s="125" t="s">
        <v>82</v>
      </c>
      <c r="C142" s="126" t="s">
        <v>85</v>
      </c>
      <c r="D142" s="127">
        <v>1809</v>
      </c>
      <c r="E142" s="127">
        <v>135.16999999999999</v>
      </c>
      <c r="F142" s="127" t="s">
        <v>83</v>
      </c>
      <c r="G142" s="127" t="s">
        <v>75</v>
      </c>
      <c r="H142" s="128">
        <v>56009</v>
      </c>
      <c r="I142" s="128">
        <v>44987</v>
      </c>
      <c r="J142" s="127">
        <f>IF(F142="商业",[1]项目基本情况!D$15,[1]项目基本情况!E$15)</f>
        <v>30.19</v>
      </c>
      <c r="K142" s="127"/>
      <c r="L142" s="127">
        <v>135.16999999999999</v>
      </c>
      <c r="M142" s="127">
        <v>15</v>
      </c>
      <c r="N142" s="127" t="s">
        <v>11</v>
      </c>
      <c r="O142" s="127">
        <v>2008</v>
      </c>
      <c r="P142" s="129">
        <f t="shared" si="98"/>
        <v>25.27</v>
      </c>
      <c r="Q142" s="129">
        <f>ROUND(P142*'[1]数据-取费表'!B$52,0)</f>
        <v>758</v>
      </c>
      <c r="R142" s="129">
        <f t="shared" si="130"/>
        <v>1531688</v>
      </c>
      <c r="S142" s="130">
        <f t="shared" si="116"/>
        <v>22975</v>
      </c>
      <c r="T142" s="131">
        <v>0.8</v>
      </c>
      <c r="U142" s="129">
        <f t="shared" si="131"/>
        <v>1225350</v>
      </c>
      <c r="V142" s="130">
        <f t="shared" si="99"/>
        <v>1225</v>
      </c>
      <c r="W142" s="130">
        <f t="shared" si="117"/>
        <v>1917</v>
      </c>
      <c r="X142" s="129">
        <f>ROUND(AC142*'[1]数据-取费表'!$B$41/(1+'[1]数据-取费表'!$C$42),0)</f>
        <v>20366</v>
      </c>
      <c r="Y142" s="129">
        <f>ROUND(AC142*'[1]数据-取费表'!$B$51/(1+'[1]数据-取费表'!$C$42),0)</f>
        <v>43642</v>
      </c>
      <c r="Z142" s="129">
        <f t="shared" si="100"/>
        <v>64766</v>
      </c>
      <c r="AA142" s="130">
        <f t="shared" si="101"/>
        <v>90883</v>
      </c>
      <c r="AB142" s="132">
        <f t="shared" si="129"/>
        <v>8.6</v>
      </c>
      <c r="AC142" s="129">
        <f>ROUND(AB142*365*L142*(1-I$2),0)</f>
        <v>381869</v>
      </c>
      <c r="AD142" s="129">
        <f t="shared" si="118"/>
        <v>1432</v>
      </c>
      <c r="AE142" s="129">
        <f t="shared" si="119"/>
        <v>383301</v>
      </c>
      <c r="AF142" s="133">
        <f>H$2</f>
        <v>0.03</v>
      </c>
      <c r="AG142" s="134"/>
      <c r="AH142" s="128">
        <f>H142</f>
        <v>56009</v>
      </c>
      <c r="AI142" s="127">
        <f t="shared" si="132"/>
        <v>30.19</v>
      </c>
      <c r="AJ142" s="130">
        <f t="shared" si="102"/>
        <v>292418</v>
      </c>
      <c r="AK142" s="135">
        <f t="shared" si="103"/>
        <v>6026131</v>
      </c>
      <c r="AL142" s="131">
        <f t="shared" si="104"/>
        <v>0.25</v>
      </c>
      <c r="AM142" s="129">
        <f t="shared" si="105"/>
        <v>0</v>
      </c>
      <c r="AN142" s="130">
        <f t="shared" si="106"/>
        <v>0</v>
      </c>
      <c r="AO142" s="130">
        <f t="shared" si="107"/>
        <v>0</v>
      </c>
      <c r="AP142" s="129">
        <f>ROUND(AV142*'[1]数据-取费表'!$B$41/(1+'[1]数据-取费表'!$B$42),0)</f>
        <v>0</v>
      </c>
      <c r="AQ142" s="129">
        <f>ROUND(AV142*'[1]数据-取费表'!B$51/(1+'[1]数据-取费表'!C$42),0)</f>
        <v>0</v>
      </c>
      <c r="AR142" s="136">
        <f t="shared" si="108"/>
        <v>0</v>
      </c>
      <c r="AS142" s="130">
        <f t="shared" si="120"/>
        <v>0</v>
      </c>
      <c r="AT142" s="137">
        <f t="shared" si="137"/>
        <v>8.6</v>
      </c>
      <c r="AU142" s="138">
        <f t="shared" si="121"/>
        <v>20.99</v>
      </c>
      <c r="AV142" s="129">
        <f t="shared" si="122"/>
        <v>0</v>
      </c>
      <c r="AW142" s="129">
        <f t="shared" si="123"/>
        <v>0</v>
      </c>
      <c r="AX142" s="129">
        <f t="shared" si="109"/>
        <v>0</v>
      </c>
      <c r="AY142" s="127">
        <f t="shared" si="133"/>
        <v>0</v>
      </c>
      <c r="AZ142" s="139">
        <f t="shared" si="134"/>
        <v>0</v>
      </c>
      <c r="BA142" s="139">
        <f t="shared" si="124"/>
        <v>0</v>
      </c>
      <c r="BB142" s="140">
        <f t="shared" si="110"/>
        <v>0</v>
      </c>
      <c r="BC142" s="140">
        <f t="shared" si="136"/>
        <v>91510</v>
      </c>
      <c r="BD142" s="140">
        <f t="shared" si="125"/>
        <v>611.76</v>
      </c>
      <c r="BE142" s="139">
        <f t="shared" si="126"/>
        <v>0</v>
      </c>
      <c r="BF142" s="139">
        <f t="shared" si="127"/>
        <v>0</v>
      </c>
      <c r="BG142" s="139">
        <f t="shared" si="111"/>
        <v>0</v>
      </c>
      <c r="BH142" s="139">
        <f t="shared" si="112"/>
        <v>0</v>
      </c>
      <c r="BI142" s="139">
        <f>ROUND(BE142*'[1]数据-取费表'!$B$51/(1+'[1]数据-取费表'!$C$42),0)</f>
        <v>0</v>
      </c>
      <c r="BJ142" s="139">
        <f>ROUND(BG142*'[1]数据-取费表'!B$41/(1+'[1]数据-取费表'!C$42),0)</f>
        <v>0</v>
      </c>
      <c r="BK142" s="139">
        <f t="shared" si="113"/>
        <v>0</v>
      </c>
      <c r="BL142" s="139">
        <f t="shared" si="114"/>
        <v>0</v>
      </c>
      <c r="BM142" s="139">
        <f t="shared" si="128"/>
        <v>0</v>
      </c>
      <c r="BN142" s="165">
        <f t="shared" si="115"/>
        <v>0</v>
      </c>
      <c r="BO142" s="140">
        <f t="shared" si="135"/>
        <v>849.81171616394818</v>
      </c>
      <c r="BP142" s="229"/>
      <c r="BQ142" s="229"/>
      <c r="BR142" s="194"/>
    </row>
    <row r="143" spans="1:71" x14ac:dyDescent="0.2">
      <c r="A143" s="146">
        <v>126</v>
      </c>
      <c r="B143" s="125" t="s">
        <v>82</v>
      </c>
      <c r="C143" s="126" t="s">
        <v>85</v>
      </c>
      <c r="D143" s="127">
        <v>1810</v>
      </c>
      <c r="E143" s="127">
        <v>139.97999999999999</v>
      </c>
      <c r="F143" s="127" t="s">
        <v>83</v>
      </c>
      <c r="G143" s="127" t="s">
        <v>75</v>
      </c>
      <c r="H143" s="128">
        <v>56009</v>
      </c>
      <c r="I143" s="128">
        <v>44987</v>
      </c>
      <c r="J143" s="127">
        <f>IF(F143="商业",[1]项目基本情况!D$15,[1]项目基本情况!E$15)</f>
        <v>30.19</v>
      </c>
      <c r="K143" s="127" t="s">
        <v>84</v>
      </c>
      <c r="L143" s="218">
        <f>SUM(E143:E144)</f>
        <v>280.77</v>
      </c>
      <c r="M143" s="127">
        <v>15</v>
      </c>
      <c r="N143" s="127" t="s">
        <v>11</v>
      </c>
      <c r="O143" s="127">
        <v>2008</v>
      </c>
      <c r="P143" s="218">
        <f t="shared" si="98"/>
        <v>52.48</v>
      </c>
      <c r="Q143" s="218">
        <f>ROUND(P143*'[1]数据-取费表'!B$52,0)</f>
        <v>1574</v>
      </c>
      <c r="R143" s="218">
        <f t="shared" si="130"/>
        <v>3181565</v>
      </c>
      <c r="S143" s="218">
        <f t="shared" si="116"/>
        <v>47723</v>
      </c>
      <c r="T143" s="220">
        <v>0.8</v>
      </c>
      <c r="U143" s="218">
        <f t="shared" si="131"/>
        <v>2545252</v>
      </c>
      <c r="V143" s="218">
        <f t="shared" si="99"/>
        <v>2545</v>
      </c>
      <c r="W143" s="218">
        <f t="shared" si="117"/>
        <v>2736</v>
      </c>
      <c r="X143" s="218">
        <f>ROUND(AC143*'[1]数据-取费表'!$B$41/(1+'[1]数据-取费表'!$C$42),0)</f>
        <v>29076</v>
      </c>
      <c r="Y143" s="218">
        <f>ROUND(AC143*'[1]数据-取费表'!$B$51/(1+'[1]数据-取费表'!$C$42),0)</f>
        <v>62307</v>
      </c>
      <c r="Z143" s="218">
        <f t="shared" si="100"/>
        <v>92957</v>
      </c>
      <c r="AA143" s="218">
        <f t="shared" si="101"/>
        <v>145961</v>
      </c>
      <c r="AB143" s="240">
        <f>ROUND(AC143/365/L143,2)</f>
        <v>5.32</v>
      </c>
      <c r="AC143" s="218">
        <v>545184</v>
      </c>
      <c r="AD143" s="218">
        <f t="shared" si="118"/>
        <v>2044</v>
      </c>
      <c r="AE143" s="218">
        <f t="shared" si="119"/>
        <v>547228</v>
      </c>
      <c r="AF143" s="225">
        <v>0</v>
      </c>
      <c r="AG143" s="218"/>
      <c r="AH143" s="226">
        <v>45291</v>
      </c>
      <c r="AI143" s="218">
        <f t="shared" si="132"/>
        <v>0.83</v>
      </c>
      <c r="AJ143" s="218">
        <f t="shared" si="102"/>
        <v>401267</v>
      </c>
      <c r="AK143" s="224">
        <f t="shared" si="103"/>
        <v>317117</v>
      </c>
      <c r="AL143" s="220">
        <f t="shared" si="104"/>
        <v>0.75</v>
      </c>
      <c r="AM143" s="218">
        <f t="shared" si="105"/>
        <v>2386174</v>
      </c>
      <c r="AN143" s="218">
        <f t="shared" si="106"/>
        <v>2386</v>
      </c>
      <c r="AO143" s="218">
        <f t="shared" si="107"/>
        <v>4078</v>
      </c>
      <c r="AP143" s="218">
        <f>ROUND(AV143*'[1]数据-取费表'!$B$41/(1+'[1]数据-取费表'!$B$42),0)</f>
        <v>43337</v>
      </c>
      <c r="AQ143" s="218">
        <f>ROUND(AV143*'[1]数据-取费表'!B$51/(1+'[1]数据-取费表'!C$42),0)</f>
        <v>92865</v>
      </c>
      <c r="AR143" s="218">
        <f t="shared" si="108"/>
        <v>137776</v>
      </c>
      <c r="AS143" s="218">
        <f t="shared" si="120"/>
        <v>191963</v>
      </c>
      <c r="AT143" s="223">
        <f t="shared" si="137"/>
        <v>8.6</v>
      </c>
      <c r="AU143" s="224">
        <f t="shared" si="121"/>
        <v>8.81</v>
      </c>
      <c r="AV143" s="218">
        <f t="shared" si="122"/>
        <v>812572</v>
      </c>
      <c r="AW143" s="218">
        <f t="shared" si="123"/>
        <v>3047</v>
      </c>
      <c r="AX143" s="218">
        <f t="shared" si="109"/>
        <v>815619</v>
      </c>
      <c r="AY143" s="218">
        <f t="shared" si="133"/>
        <v>29.360000000000003</v>
      </c>
      <c r="AZ143" s="227">
        <f t="shared" si="134"/>
        <v>623656</v>
      </c>
      <c r="BA143" s="227">
        <f t="shared" si="124"/>
        <v>12609120</v>
      </c>
      <c r="BB143" s="229">
        <f t="shared" si="110"/>
        <v>12061053</v>
      </c>
      <c r="BC143" s="229">
        <f t="shared" si="136"/>
        <v>190081</v>
      </c>
      <c r="BD143" s="229">
        <f t="shared" si="125"/>
        <v>1256.83</v>
      </c>
      <c r="BE143" s="227">
        <f t="shared" si="126"/>
        <v>793203</v>
      </c>
      <c r="BF143" s="227">
        <f t="shared" si="127"/>
        <v>2975</v>
      </c>
      <c r="BG143" s="227">
        <f t="shared" si="111"/>
        <v>796178</v>
      </c>
      <c r="BH143" s="227">
        <f t="shared" si="112"/>
        <v>3981</v>
      </c>
      <c r="BI143" s="227">
        <f>ROUND(BE143*'[1]数据-取费表'!$B$51/(1+'[1]数据-取费表'!$C$42),0)</f>
        <v>90652</v>
      </c>
      <c r="BJ143" s="227">
        <f>ROUND(BG143*'[1]数据-取费表'!B$41/(1+'[1]数据-取费表'!C$42),0)</f>
        <v>42463</v>
      </c>
      <c r="BK143" s="227">
        <f t="shared" si="113"/>
        <v>188938</v>
      </c>
      <c r="BL143" s="227">
        <f t="shared" si="114"/>
        <v>607240</v>
      </c>
      <c r="BM143" s="227">
        <f t="shared" si="128"/>
        <v>478705</v>
      </c>
      <c r="BN143" s="228">
        <f t="shared" si="115"/>
        <v>161588</v>
      </c>
      <c r="BO143" s="229">
        <f t="shared" si="135"/>
        <v>1745.8952190831944</v>
      </c>
      <c r="BP143" s="229"/>
      <c r="BQ143" s="229"/>
      <c r="BR143" s="194"/>
    </row>
    <row r="144" spans="1:71" x14ac:dyDescent="0.2">
      <c r="A144" s="146">
        <v>127</v>
      </c>
      <c r="B144" s="125" t="s">
        <v>82</v>
      </c>
      <c r="C144" s="126" t="s">
        <v>85</v>
      </c>
      <c r="D144" s="127">
        <v>1811</v>
      </c>
      <c r="E144" s="127">
        <v>140.79</v>
      </c>
      <c r="F144" s="127" t="s">
        <v>83</v>
      </c>
      <c r="G144" s="127" t="s">
        <v>75</v>
      </c>
      <c r="H144" s="128">
        <v>56009</v>
      </c>
      <c r="I144" s="128">
        <v>44987</v>
      </c>
      <c r="J144" s="127">
        <f>IF(F144="商业",[1]项目基本情况!D$15,[1]项目基本情况!E$15)</f>
        <v>30.19</v>
      </c>
      <c r="K144" s="127" t="s">
        <v>84</v>
      </c>
      <c r="L144" s="218"/>
      <c r="M144" s="127">
        <v>15</v>
      </c>
      <c r="N144" s="127" t="s">
        <v>11</v>
      </c>
      <c r="O144" s="127">
        <v>2008</v>
      </c>
      <c r="P144" s="218">
        <f t="shared" si="98"/>
        <v>0</v>
      </c>
      <c r="Q144" s="218">
        <f>ROUND(P144*'[1]数据-取费表'!B$52,0)</f>
        <v>0</v>
      </c>
      <c r="R144" s="218">
        <f t="shared" si="130"/>
        <v>0</v>
      </c>
      <c r="S144" s="218">
        <f t="shared" si="116"/>
        <v>0</v>
      </c>
      <c r="T144" s="220">
        <v>0.8</v>
      </c>
      <c r="U144" s="218">
        <f t="shared" si="131"/>
        <v>0</v>
      </c>
      <c r="V144" s="218">
        <f t="shared" si="99"/>
        <v>0</v>
      </c>
      <c r="W144" s="218">
        <f t="shared" si="117"/>
        <v>0</v>
      </c>
      <c r="X144" s="218">
        <f>ROUND(AC144*'[1]数据-取费表'!$B$41/(1+'[1]数据-取费表'!$C$42),0)</f>
        <v>0</v>
      </c>
      <c r="Y144" s="218">
        <f>ROUND(AC144*'[1]数据-取费表'!$B$51/(1+'[1]数据-取费表'!$C$42),0)</f>
        <v>0</v>
      </c>
      <c r="Z144" s="218">
        <f t="shared" si="100"/>
        <v>0</v>
      </c>
      <c r="AA144" s="218">
        <f t="shared" si="101"/>
        <v>0</v>
      </c>
      <c r="AB144" s="240">
        <f t="shared" si="129"/>
        <v>8.6</v>
      </c>
      <c r="AC144" s="218"/>
      <c r="AD144" s="218">
        <f t="shared" si="118"/>
        <v>0</v>
      </c>
      <c r="AE144" s="218">
        <f t="shared" si="119"/>
        <v>0</v>
      </c>
      <c r="AF144" s="225"/>
      <c r="AG144" s="218"/>
      <c r="AH144" s="226"/>
      <c r="AI144" s="218">
        <f t="shared" si="132"/>
        <v>-123.25</v>
      </c>
      <c r="AJ144" s="218">
        <f t="shared" si="102"/>
        <v>0</v>
      </c>
      <c r="AK144" s="224">
        <f t="shared" si="103"/>
        <v>0</v>
      </c>
      <c r="AL144" s="220">
        <f t="shared" si="104"/>
        <v>2.8</v>
      </c>
      <c r="AM144" s="218">
        <f t="shared" si="105"/>
        <v>0</v>
      </c>
      <c r="AN144" s="218">
        <f t="shared" si="106"/>
        <v>0</v>
      </c>
      <c r="AO144" s="218">
        <f t="shared" si="107"/>
        <v>0</v>
      </c>
      <c r="AP144" s="218">
        <f>ROUND(AV144*'[1]数据-取费表'!$B$41/(1+'[1]数据-取费表'!$B$42),0)</f>
        <v>0</v>
      </c>
      <c r="AQ144" s="218">
        <f>ROUND(AV144*'[1]数据-取费表'!B$51/(1+'[1]数据-取费表'!C$42),0)</f>
        <v>0</v>
      </c>
      <c r="AR144" s="218">
        <f t="shared" si="108"/>
        <v>0</v>
      </c>
      <c r="AS144" s="218">
        <f t="shared" si="120"/>
        <v>0</v>
      </c>
      <c r="AT144" s="223">
        <f t="shared" si="137"/>
        <v>8.6</v>
      </c>
      <c r="AU144" s="224">
        <f t="shared" si="121"/>
        <v>0.23</v>
      </c>
      <c r="AV144" s="218">
        <f t="shared" si="122"/>
        <v>0</v>
      </c>
      <c r="AW144" s="218">
        <f t="shared" si="123"/>
        <v>0</v>
      </c>
      <c r="AX144" s="218">
        <f t="shared" si="109"/>
        <v>0</v>
      </c>
      <c r="AY144" s="218">
        <f t="shared" si="133"/>
        <v>153.44</v>
      </c>
      <c r="AZ144" s="227">
        <f t="shared" si="134"/>
        <v>0</v>
      </c>
      <c r="BA144" s="227">
        <f t="shared" si="124"/>
        <v>0</v>
      </c>
      <c r="BB144" s="229">
        <f t="shared" si="110"/>
        <v>0</v>
      </c>
      <c r="BC144" s="229">
        <f t="shared" si="136"/>
        <v>0</v>
      </c>
      <c r="BD144" s="229">
        <f t="shared" si="125"/>
        <v>0</v>
      </c>
      <c r="BE144" s="227">
        <f t="shared" si="126"/>
        <v>0</v>
      </c>
      <c r="BF144" s="227">
        <f t="shared" si="127"/>
        <v>0</v>
      </c>
      <c r="BG144" s="227">
        <f t="shared" si="111"/>
        <v>0</v>
      </c>
      <c r="BH144" s="227">
        <f t="shared" si="112"/>
        <v>0</v>
      </c>
      <c r="BI144" s="227">
        <f>ROUND(BE144*'[1]数据-取费表'!$B$51/(1+'[1]数据-取费表'!$C$42),0)</f>
        <v>0</v>
      </c>
      <c r="BJ144" s="227">
        <f>ROUND(BG144*'[1]数据-取费表'!B$41/(1+'[1]数据-取费表'!C$42),0)</f>
        <v>0</v>
      </c>
      <c r="BK144" s="227">
        <f t="shared" si="113"/>
        <v>0</v>
      </c>
      <c r="BL144" s="227">
        <f t="shared" si="114"/>
        <v>0</v>
      </c>
      <c r="BM144" s="227">
        <f t="shared" si="128"/>
        <v>0</v>
      </c>
      <c r="BN144" s="228">
        <f t="shared" si="115"/>
        <v>0</v>
      </c>
      <c r="BO144" s="229"/>
      <c r="BP144" s="229"/>
      <c r="BQ144" s="229"/>
      <c r="BR144" s="194"/>
    </row>
    <row r="145" spans="1:71" x14ac:dyDescent="0.2">
      <c r="A145" s="146">
        <v>128</v>
      </c>
      <c r="B145" s="141" t="s">
        <v>82</v>
      </c>
      <c r="C145" s="142" t="s">
        <v>85</v>
      </c>
      <c r="D145" s="143">
        <v>1907</v>
      </c>
      <c r="E145" s="143">
        <v>139.97999999999999</v>
      </c>
      <c r="F145" s="143" t="s">
        <v>83</v>
      </c>
      <c r="G145" s="143" t="s">
        <v>75</v>
      </c>
      <c r="H145" s="144">
        <v>56009</v>
      </c>
      <c r="I145" s="144">
        <v>44987</v>
      </c>
      <c r="J145" s="143">
        <f>IF(F145="商业",[1]项目基本情况!D$15,[1]项目基本情况!E$15)</f>
        <v>30.19</v>
      </c>
      <c r="K145" s="143"/>
      <c r="L145" s="143">
        <v>139.97999999999999</v>
      </c>
      <c r="M145" s="143">
        <v>16</v>
      </c>
      <c r="N145" s="143" t="s">
        <v>12</v>
      </c>
      <c r="O145" s="143">
        <v>2008</v>
      </c>
      <c r="P145" s="172">
        <f t="shared" si="98"/>
        <v>26.16</v>
      </c>
      <c r="Q145" s="172">
        <f>ROUND(P145*'[1]数据-取费表'!B$52,0)</f>
        <v>785</v>
      </c>
      <c r="R145" s="172">
        <f t="shared" si="130"/>
        <v>1586193</v>
      </c>
      <c r="S145" s="173">
        <f t="shared" si="116"/>
        <v>23793</v>
      </c>
      <c r="T145" s="174">
        <v>0.8</v>
      </c>
      <c r="U145" s="172">
        <f t="shared" si="131"/>
        <v>1268954</v>
      </c>
      <c r="V145" s="173">
        <f t="shared" si="99"/>
        <v>1269</v>
      </c>
      <c r="W145" s="173">
        <f t="shared" si="117"/>
        <v>2024</v>
      </c>
      <c r="X145" s="172">
        <f>ROUND(AC145*'[1]数据-取费表'!$B$41/(1+'[1]数据-取费表'!$C$42),0)</f>
        <v>21508</v>
      </c>
      <c r="Y145" s="172">
        <f>ROUND(AC145*'[1]数据-取费表'!$B$51/(1+'[1]数据-取费表'!$C$42),0)</f>
        <v>46089</v>
      </c>
      <c r="Z145" s="172">
        <f t="shared" si="100"/>
        <v>68382</v>
      </c>
      <c r="AA145" s="173">
        <f t="shared" si="101"/>
        <v>95468</v>
      </c>
      <c r="AB145" s="175">
        <f t="shared" si="129"/>
        <v>8.77</v>
      </c>
      <c r="AC145" s="172">
        <f>ROUND(AB145*365*L145*(1-I$2),0)</f>
        <v>403275</v>
      </c>
      <c r="AD145" s="172">
        <f t="shared" si="118"/>
        <v>1512</v>
      </c>
      <c r="AE145" s="172">
        <f t="shared" si="119"/>
        <v>404787</v>
      </c>
      <c r="AF145" s="176">
        <f>H$2</f>
        <v>0.03</v>
      </c>
      <c r="AG145" s="177"/>
      <c r="AH145" s="144">
        <f>H145</f>
        <v>56009</v>
      </c>
      <c r="AI145" s="143">
        <f t="shared" si="132"/>
        <v>30.19</v>
      </c>
      <c r="AJ145" s="173">
        <f t="shared" si="102"/>
        <v>309319</v>
      </c>
      <c r="AK145" s="178">
        <f t="shared" si="103"/>
        <v>6374426</v>
      </c>
      <c r="AL145" s="174">
        <f t="shared" si="104"/>
        <v>0.25</v>
      </c>
      <c r="AM145" s="172">
        <f t="shared" si="105"/>
        <v>0</v>
      </c>
      <c r="AN145" s="173">
        <f t="shared" si="106"/>
        <v>0</v>
      </c>
      <c r="AO145" s="173">
        <f t="shared" si="107"/>
        <v>0</v>
      </c>
      <c r="AP145" s="172">
        <f>ROUND(AV145*'[1]数据-取费表'!$B$41/(1+'[1]数据-取费表'!$B$42),0)</f>
        <v>0</v>
      </c>
      <c r="AQ145" s="172">
        <f>ROUND(AV145*'[1]数据-取费表'!B$51/(1+'[1]数据-取费表'!C$42),0)</f>
        <v>0</v>
      </c>
      <c r="AR145" s="179">
        <f t="shared" si="108"/>
        <v>0</v>
      </c>
      <c r="AS145" s="173">
        <f t="shared" si="120"/>
        <v>0</v>
      </c>
      <c r="AT145" s="180">
        <f t="shared" si="137"/>
        <v>8.77</v>
      </c>
      <c r="AU145" s="181">
        <f t="shared" si="121"/>
        <v>21.41</v>
      </c>
      <c r="AV145" s="172">
        <f t="shared" si="122"/>
        <v>0</v>
      </c>
      <c r="AW145" s="172">
        <f t="shared" si="123"/>
        <v>0</v>
      </c>
      <c r="AX145" s="172">
        <f t="shared" si="109"/>
        <v>0</v>
      </c>
      <c r="AY145" s="143">
        <f t="shared" si="133"/>
        <v>0</v>
      </c>
      <c r="AZ145" s="182">
        <f t="shared" si="134"/>
        <v>0</v>
      </c>
      <c r="BA145" s="182">
        <f t="shared" si="124"/>
        <v>0</v>
      </c>
      <c r="BB145" s="183">
        <f t="shared" si="110"/>
        <v>0</v>
      </c>
      <c r="BC145" s="183">
        <f t="shared" si="136"/>
        <v>94766</v>
      </c>
      <c r="BD145" s="183">
        <f t="shared" si="125"/>
        <v>646.91999999999996</v>
      </c>
      <c r="BE145" s="182">
        <f t="shared" si="126"/>
        <v>0</v>
      </c>
      <c r="BF145" s="182">
        <f t="shared" si="127"/>
        <v>0</v>
      </c>
      <c r="BG145" s="182">
        <f t="shared" si="111"/>
        <v>0</v>
      </c>
      <c r="BH145" s="182">
        <f t="shared" si="112"/>
        <v>0</v>
      </c>
      <c r="BI145" s="182">
        <f>ROUND(BE145*'[1]数据-取费表'!$B$51/(1+'[1]数据-取费表'!$C$42),0)</f>
        <v>0</v>
      </c>
      <c r="BJ145" s="182">
        <f>ROUND(BG145*'[1]数据-取费表'!B$41/(1+'[1]数据-取费表'!C$42),0)</f>
        <v>0</v>
      </c>
      <c r="BK145" s="182">
        <f t="shared" si="113"/>
        <v>0</v>
      </c>
      <c r="BL145" s="182">
        <f t="shared" si="114"/>
        <v>0</v>
      </c>
      <c r="BM145" s="182">
        <f t="shared" si="128"/>
        <v>0</v>
      </c>
      <c r="BN145" s="184">
        <f t="shared" si="115"/>
        <v>0</v>
      </c>
      <c r="BO145" s="183">
        <f t="shared" ref="BO145:BO151" si="138">BD145/$BD$234*$BS$3</f>
        <v>898.65338600232349</v>
      </c>
      <c r="BP145" s="195">
        <f>SUM(BO145:BO150)</f>
        <v>5777.0416057178991</v>
      </c>
      <c r="BQ145" s="195">
        <f>ROUND(BP145*10000/BS145,0)</f>
        <v>64058</v>
      </c>
      <c r="BR145" s="195"/>
      <c r="BS145" s="20">
        <f>SUM(E145:E150)</f>
        <v>901.84999999999991</v>
      </c>
    </row>
    <row r="146" spans="1:71" x14ac:dyDescent="0.2">
      <c r="A146" s="146">
        <v>129</v>
      </c>
      <c r="B146" s="141" t="s">
        <v>82</v>
      </c>
      <c r="C146" s="142" t="s">
        <v>85</v>
      </c>
      <c r="D146" s="143">
        <v>1908</v>
      </c>
      <c r="E146" s="143">
        <v>135.16999999999999</v>
      </c>
      <c r="F146" s="143" t="s">
        <v>83</v>
      </c>
      <c r="G146" s="143" t="s">
        <v>75</v>
      </c>
      <c r="H146" s="144">
        <v>56009</v>
      </c>
      <c r="I146" s="144">
        <v>44987</v>
      </c>
      <c r="J146" s="143">
        <f>IF(F146="商业",[1]项目基本情况!D$15,[1]项目基本情况!E$15)</f>
        <v>30.19</v>
      </c>
      <c r="K146" s="143"/>
      <c r="L146" s="143">
        <v>135.16999999999999</v>
      </c>
      <c r="M146" s="143">
        <v>16</v>
      </c>
      <c r="N146" s="143" t="s">
        <v>12</v>
      </c>
      <c r="O146" s="143">
        <v>2008</v>
      </c>
      <c r="P146" s="172">
        <f t="shared" si="98"/>
        <v>25.27</v>
      </c>
      <c r="Q146" s="172">
        <f>ROUND(P146*'[1]数据-取费表'!B$52,0)</f>
        <v>758</v>
      </c>
      <c r="R146" s="172">
        <f t="shared" si="130"/>
        <v>1531688</v>
      </c>
      <c r="S146" s="173">
        <f t="shared" si="116"/>
        <v>22975</v>
      </c>
      <c r="T146" s="174">
        <v>0.8</v>
      </c>
      <c r="U146" s="172">
        <f t="shared" si="131"/>
        <v>1225350</v>
      </c>
      <c r="V146" s="173">
        <f t="shared" si="99"/>
        <v>1225</v>
      </c>
      <c r="W146" s="173">
        <f t="shared" si="117"/>
        <v>1954</v>
      </c>
      <c r="X146" s="172">
        <f>ROUND(AC146*'[1]数据-取费表'!$B$41/(1+'[1]数据-取费表'!$C$42),0)</f>
        <v>20769</v>
      </c>
      <c r="Y146" s="172">
        <f>ROUND(AC146*'[1]数据-取费表'!$B$51/(1+'[1]数据-取费表'!$C$42),0)</f>
        <v>44505</v>
      </c>
      <c r="Z146" s="172">
        <f t="shared" si="100"/>
        <v>66032</v>
      </c>
      <c r="AA146" s="173">
        <f t="shared" si="101"/>
        <v>92186</v>
      </c>
      <c r="AB146" s="175">
        <f t="shared" si="129"/>
        <v>8.77</v>
      </c>
      <c r="AC146" s="172">
        <f>ROUND(AB146*365*L146*(1-I$2),0)</f>
        <v>389417</v>
      </c>
      <c r="AD146" s="172">
        <f t="shared" si="118"/>
        <v>1460</v>
      </c>
      <c r="AE146" s="172">
        <f t="shared" si="119"/>
        <v>390877</v>
      </c>
      <c r="AF146" s="176">
        <f>H$2</f>
        <v>0.03</v>
      </c>
      <c r="AG146" s="177"/>
      <c r="AH146" s="144">
        <f>H146</f>
        <v>56009</v>
      </c>
      <c r="AI146" s="143">
        <f t="shared" si="132"/>
        <v>30.19</v>
      </c>
      <c r="AJ146" s="173">
        <f t="shared" si="102"/>
        <v>298691</v>
      </c>
      <c r="AK146" s="178">
        <f t="shared" si="103"/>
        <v>6155405</v>
      </c>
      <c r="AL146" s="174">
        <f t="shared" si="104"/>
        <v>0.25</v>
      </c>
      <c r="AM146" s="172">
        <f t="shared" si="105"/>
        <v>0</v>
      </c>
      <c r="AN146" s="173">
        <f t="shared" si="106"/>
        <v>0</v>
      </c>
      <c r="AO146" s="173">
        <f t="shared" si="107"/>
        <v>0</v>
      </c>
      <c r="AP146" s="172">
        <f>ROUND(AV146*'[1]数据-取费表'!$B$41/(1+'[1]数据-取费表'!$B$42),0)</f>
        <v>0</v>
      </c>
      <c r="AQ146" s="172">
        <f>ROUND(AV146*'[1]数据-取费表'!B$51/(1+'[1]数据-取费表'!C$42),0)</f>
        <v>0</v>
      </c>
      <c r="AR146" s="179">
        <f t="shared" si="108"/>
        <v>0</v>
      </c>
      <c r="AS146" s="173">
        <f t="shared" si="120"/>
        <v>0</v>
      </c>
      <c r="AT146" s="180">
        <f t="shared" si="137"/>
        <v>8.77</v>
      </c>
      <c r="AU146" s="181">
        <f t="shared" si="121"/>
        <v>21.41</v>
      </c>
      <c r="AV146" s="172">
        <f t="shared" si="122"/>
        <v>0</v>
      </c>
      <c r="AW146" s="172">
        <f t="shared" si="123"/>
        <v>0</v>
      </c>
      <c r="AX146" s="172">
        <f t="shared" si="109"/>
        <v>0</v>
      </c>
      <c r="AY146" s="143">
        <f t="shared" si="133"/>
        <v>0</v>
      </c>
      <c r="AZ146" s="182">
        <f t="shared" si="134"/>
        <v>0</v>
      </c>
      <c r="BA146" s="182">
        <f t="shared" si="124"/>
        <v>0</v>
      </c>
      <c r="BB146" s="183">
        <f t="shared" si="110"/>
        <v>0</v>
      </c>
      <c r="BC146" s="183">
        <f t="shared" si="136"/>
        <v>91510</v>
      </c>
      <c r="BD146" s="183">
        <f t="shared" si="125"/>
        <v>624.69000000000005</v>
      </c>
      <c r="BE146" s="182">
        <f t="shared" si="126"/>
        <v>0</v>
      </c>
      <c r="BF146" s="182">
        <f t="shared" si="127"/>
        <v>0</v>
      </c>
      <c r="BG146" s="182">
        <f t="shared" si="111"/>
        <v>0</v>
      </c>
      <c r="BH146" s="182">
        <f t="shared" si="112"/>
        <v>0</v>
      </c>
      <c r="BI146" s="182">
        <f>ROUND(BE146*'[1]数据-取费表'!$B$51/(1+'[1]数据-取费表'!$C$42),0)</f>
        <v>0</v>
      </c>
      <c r="BJ146" s="182">
        <f>ROUND(BG146*'[1]数据-取费表'!B$41/(1+'[1]数据-取费表'!C$42),0)</f>
        <v>0</v>
      </c>
      <c r="BK146" s="182">
        <f t="shared" si="113"/>
        <v>0</v>
      </c>
      <c r="BL146" s="182">
        <f t="shared" si="114"/>
        <v>0</v>
      </c>
      <c r="BM146" s="182">
        <f t="shared" si="128"/>
        <v>0</v>
      </c>
      <c r="BN146" s="184">
        <f t="shared" si="115"/>
        <v>0</v>
      </c>
      <c r="BO146" s="183">
        <f t="shared" si="138"/>
        <v>867.77311522567163</v>
      </c>
      <c r="BP146" s="195"/>
      <c r="BQ146" s="195"/>
      <c r="BR146" s="195"/>
    </row>
    <row r="147" spans="1:71" x14ac:dyDescent="0.2">
      <c r="A147" s="146">
        <v>130</v>
      </c>
      <c r="B147" s="141" t="s">
        <v>82</v>
      </c>
      <c r="C147" s="142" t="s">
        <v>85</v>
      </c>
      <c r="D147" s="143">
        <v>1909</v>
      </c>
      <c r="E147" s="143">
        <v>135.16999999999999</v>
      </c>
      <c r="F147" s="143" t="s">
        <v>83</v>
      </c>
      <c r="G147" s="143" t="s">
        <v>75</v>
      </c>
      <c r="H147" s="144">
        <v>56009</v>
      </c>
      <c r="I147" s="144">
        <v>44987</v>
      </c>
      <c r="J147" s="143">
        <f>IF(F147="商业",[1]项目基本情况!D$15,[1]项目基本情况!E$15)</f>
        <v>30.19</v>
      </c>
      <c r="K147" s="143" t="s">
        <v>84</v>
      </c>
      <c r="L147" s="143">
        <f>E147</f>
        <v>135.16999999999999</v>
      </c>
      <c r="M147" s="143">
        <v>16</v>
      </c>
      <c r="N147" s="143" t="s">
        <v>12</v>
      </c>
      <c r="O147" s="143">
        <v>2008</v>
      </c>
      <c r="P147" s="172">
        <f t="shared" si="98"/>
        <v>25.27</v>
      </c>
      <c r="Q147" s="172">
        <f>ROUND(P147*'[1]数据-取费表'!B$52,0)</f>
        <v>758</v>
      </c>
      <c r="R147" s="172">
        <f t="shared" si="130"/>
        <v>1531688</v>
      </c>
      <c r="S147" s="173">
        <f t="shared" si="116"/>
        <v>22975</v>
      </c>
      <c r="T147" s="174">
        <v>0.8</v>
      </c>
      <c r="U147" s="172">
        <f t="shared" si="131"/>
        <v>1225350</v>
      </c>
      <c r="V147" s="173">
        <f t="shared" si="99"/>
        <v>1225</v>
      </c>
      <c r="W147" s="173">
        <f t="shared" si="117"/>
        <v>853</v>
      </c>
      <c r="X147" s="172">
        <f>ROUND(AC147*'[1]数据-取费表'!$B$41/(1+'[1]数据-取费表'!$C$42),0)</f>
        <v>9069</v>
      </c>
      <c r="Y147" s="172">
        <f>ROUND(AC147*'[1]数据-取费表'!$B$51/(1+'[1]数据-取费表'!$C$42),0)</f>
        <v>19434</v>
      </c>
      <c r="Z147" s="172">
        <f t="shared" si="100"/>
        <v>29261</v>
      </c>
      <c r="AA147" s="173">
        <f t="shared" si="101"/>
        <v>54314</v>
      </c>
      <c r="AB147" s="175">
        <f>ROUND(AC147/365/L147,2)</f>
        <v>3.45</v>
      </c>
      <c r="AC147" s="143">
        <v>170046</v>
      </c>
      <c r="AD147" s="172">
        <f t="shared" si="118"/>
        <v>638</v>
      </c>
      <c r="AE147" s="172">
        <f t="shared" si="119"/>
        <v>170684</v>
      </c>
      <c r="AF147" s="177">
        <v>0</v>
      </c>
      <c r="AG147" s="177"/>
      <c r="AH147" s="185">
        <v>45199</v>
      </c>
      <c r="AI147" s="143">
        <f t="shared" si="132"/>
        <v>0.57999999999999996</v>
      </c>
      <c r="AJ147" s="173">
        <f t="shared" si="102"/>
        <v>116370</v>
      </c>
      <c r="AK147" s="178">
        <f t="shared" si="103"/>
        <v>64694</v>
      </c>
      <c r="AL147" s="174">
        <f t="shared" si="104"/>
        <v>0.75</v>
      </c>
      <c r="AM147" s="172">
        <f t="shared" si="105"/>
        <v>1148766</v>
      </c>
      <c r="AN147" s="173">
        <f t="shared" si="106"/>
        <v>1149</v>
      </c>
      <c r="AO147" s="173">
        <f t="shared" si="107"/>
        <v>1988</v>
      </c>
      <c r="AP147" s="172">
        <f>ROUND(AV147*'[1]数据-取费表'!$B$41/(1+'[1]数据-取费表'!$B$42),0)</f>
        <v>21124</v>
      </c>
      <c r="AQ147" s="172">
        <f>ROUND(AV147*'[1]数据-取费表'!B$51/(1+'[1]数据-取费表'!C$42),0)</f>
        <v>45266</v>
      </c>
      <c r="AR147" s="179">
        <f t="shared" si="108"/>
        <v>67148</v>
      </c>
      <c r="AS147" s="173">
        <f t="shared" si="120"/>
        <v>93260</v>
      </c>
      <c r="AT147" s="180">
        <f t="shared" si="137"/>
        <v>8.77</v>
      </c>
      <c r="AU147" s="181">
        <f t="shared" si="121"/>
        <v>8.92</v>
      </c>
      <c r="AV147" s="172">
        <f t="shared" si="122"/>
        <v>396078</v>
      </c>
      <c r="AW147" s="172">
        <f t="shared" si="123"/>
        <v>1485</v>
      </c>
      <c r="AX147" s="172">
        <f t="shared" si="109"/>
        <v>397563</v>
      </c>
      <c r="AY147" s="143">
        <f t="shared" si="133"/>
        <v>29.610000000000003</v>
      </c>
      <c r="AZ147" s="182">
        <f t="shared" si="134"/>
        <v>304303</v>
      </c>
      <c r="BA147" s="182">
        <f t="shared" si="124"/>
        <v>6188402</v>
      </c>
      <c r="BB147" s="183">
        <f t="shared" si="110"/>
        <v>5999183</v>
      </c>
      <c r="BC147" s="183">
        <f t="shared" si="136"/>
        <v>91510</v>
      </c>
      <c r="BD147" s="183">
        <f t="shared" si="125"/>
        <v>615.54</v>
      </c>
      <c r="BE147" s="182">
        <f t="shared" si="126"/>
        <v>389417</v>
      </c>
      <c r="BF147" s="182">
        <f t="shared" si="127"/>
        <v>1460</v>
      </c>
      <c r="BG147" s="182">
        <f t="shared" si="111"/>
        <v>390877</v>
      </c>
      <c r="BH147" s="182">
        <f t="shared" si="112"/>
        <v>1954</v>
      </c>
      <c r="BI147" s="182">
        <f>ROUND(BE147*'[1]数据-取费表'!$B$51/(1+'[1]数据-取费表'!$C$42),0)</f>
        <v>44505</v>
      </c>
      <c r="BJ147" s="182">
        <f>ROUND(BG147*'[1]数据-取费表'!B$41/(1+'[1]数据-取费表'!C$42),0)</f>
        <v>20847</v>
      </c>
      <c r="BK147" s="182">
        <f t="shared" si="113"/>
        <v>92264</v>
      </c>
      <c r="BL147" s="182">
        <f t="shared" si="114"/>
        <v>298613</v>
      </c>
      <c r="BM147" s="182">
        <f t="shared" si="128"/>
        <v>164993</v>
      </c>
      <c r="BN147" s="184">
        <f t="shared" si="115"/>
        <v>100299</v>
      </c>
      <c r="BO147" s="183">
        <f t="shared" si="138"/>
        <v>855.06261240937079</v>
      </c>
      <c r="BP147" s="195"/>
      <c r="BQ147" s="195"/>
      <c r="BR147" s="195"/>
    </row>
    <row r="148" spans="1:71" x14ac:dyDescent="0.2">
      <c r="A148" s="146">
        <v>131</v>
      </c>
      <c r="B148" s="141" t="s">
        <v>82</v>
      </c>
      <c r="C148" s="142" t="s">
        <v>85</v>
      </c>
      <c r="D148" s="143">
        <v>1910</v>
      </c>
      <c r="E148" s="143">
        <v>139.97999999999999</v>
      </c>
      <c r="F148" s="143" t="s">
        <v>83</v>
      </c>
      <c r="G148" s="143" t="s">
        <v>75</v>
      </c>
      <c r="H148" s="144">
        <v>56009</v>
      </c>
      <c r="I148" s="144">
        <v>44987</v>
      </c>
      <c r="J148" s="143">
        <f>IF(F148="商业",[1]项目基本情况!D$15,[1]项目基本情况!E$15)</f>
        <v>30.19</v>
      </c>
      <c r="K148" s="143"/>
      <c r="L148" s="143">
        <v>139.97999999999999</v>
      </c>
      <c r="M148" s="143">
        <v>16</v>
      </c>
      <c r="N148" s="143" t="s">
        <v>12</v>
      </c>
      <c r="O148" s="143">
        <v>2008</v>
      </c>
      <c r="P148" s="172">
        <f t="shared" si="98"/>
        <v>26.16</v>
      </c>
      <c r="Q148" s="172">
        <f>ROUND(P148*'[1]数据-取费表'!B$52,0)</f>
        <v>785</v>
      </c>
      <c r="R148" s="172">
        <f t="shared" si="130"/>
        <v>1586193</v>
      </c>
      <c r="S148" s="173">
        <f t="shared" si="116"/>
        <v>23793</v>
      </c>
      <c r="T148" s="174">
        <v>0.8</v>
      </c>
      <c r="U148" s="172">
        <f t="shared" si="131"/>
        <v>1268954</v>
      </c>
      <c r="V148" s="173">
        <f t="shared" si="99"/>
        <v>1269</v>
      </c>
      <c r="W148" s="173">
        <f t="shared" si="117"/>
        <v>2024</v>
      </c>
      <c r="X148" s="172">
        <f>ROUND(AC148*'[1]数据-取费表'!$B$41/(1+'[1]数据-取费表'!$C$42),0)</f>
        <v>21508</v>
      </c>
      <c r="Y148" s="172">
        <f>ROUND(AC148*'[1]数据-取费表'!$B$51/(1+'[1]数据-取费表'!$C$42),0)</f>
        <v>46089</v>
      </c>
      <c r="Z148" s="172">
        <f t="shared" si="100"/>
        <v>68382</v>
      </c>
      <c r="AA148" s="173">
        <f t="shared" si="101"/>
        <v>95468</v>
      </c>
      <c r="AB148" s="175">
        <f t="shared" si="129"/>
        <v>8.77</v>
      </c>
      <c r="AC148" s="172">
        <f>ROUND(AB148*365*L148*(1-I$2),0)</f>
        <v>403275</v>
      </c>
      <c r="AD148" s="172">
        <f t="shared" si="118"/>
        <v>1512</v>
      </c>
      <c r="AE148" s="172">
        <f t="shared" si="119"/>
        <v>404787</v>
      </c>
      <c r="AF148" s="176">
        <f>H$2</f>
        <v>0.03</v>
      </c>
      <c r="AG148" s="177"/>
      <c r="AH148" s="144">
        <f>H148</f>
        <v>56009</v>
      </c>
      <c r="AI148" s="143">
        <f t="shared" si="132"/>
        <v>30.19</v>
      </c>
      <c r="AJ148" s="173">
        <f t="shared" si="102"/>
        <v>309319</v>
      </c>
      <c r="AK148" s="178">
        <f t="shared" si="103"/>
        <v>6374426</v>
      </c>
      <c r="AL148" s="174">
        <f t="shared" si="104"/>
        <v>0.25</v>
      </c>
      <c r="AM148" s="172">
        <f t="shared" si="105"/>
        <v>0</v>
      </c>
      <c r="AN148" s="173">
        <f t="shared" si="106"/>
        <v>0</v>
      </c>
      <c r="AO148" s="173">
        <f t="shared" si="107"/>
        <v>0</v>
      </c>
      <c r="AP148" s="172">
        <f>ROUND(AV148*'[1]数据-取费表'!$B$41/(1+'[1]数据-取费表'!$B$42),0)</f>
        <v>0</v>
      </c>
      <c r="AQ148" s="172">
        <f>ROUND(AV148*'[1]数据-取费表'!B$51/(1+'[1]数据-取费表'!C$42),0)</f>
        <v>0</v>
      </c>
      <c r="AR148" s="179">
        <f t="shared" si="108"/>
        <v>0</v>
      </c>
      <c r="AS148" s="173">
        <f t="shared" si="120"/>
        <v>0</v>
      </c>
      <c r="AT148" s="180">
        <f t="shared" si="137"/>
        <v>8.77</v>
      </c>
      <c r="AU148" s="181">
        <f t="shared" si="121"/>
        <v>21.41</v>
      </c>
      <c r="AV148" s="172">
        <f t="shared" si="122"/>
        <v>0</v>
      </c>
      <c r="AW148" s="172">
        <f t="shared" si="123"/>
        <v>0</v>
      </c>
      <c r="AX148" s="172">
        <f t="shared" si="109"/>
        <v>0</v>
      </c>
      <c r="AY148" s="143">
        <f t="shared" si="133"/>
        <v>0</v>
      </c>
      <c r="AZ148" s="182">
        <f t="shared" si="134"/>
        <v>0</v>
      </c>
      <c r="BA148" s="182">
        <f t="shared" si="124"/>
        <v>0</v>
      </c>
      <c r="BB148" s="183">
        <f t="shared" si="110"/>
        <v>0</v>
      </c>
      <c r="BC148" s="183">
        <f t="shared" si="136"/>
        <v>94766</v>
      </c>
      <c r="BD148" s="183">
        <f t="shared" si="125"/>
        <v>646.91999999999996</v>
      </c>
      <c r="BE148" s="182">
        <f t="shared" si="126"/>
        <v>0</v>
      </c>
      <c r="BF148" s="182">
        <f t="shared" si="127"/>
        <v>0</v>
      </c>
      <c r="BG148" s="182">
        <f t="shared" si="111"/>
        <v>0</v>
      </c>
      <c r="BH148" s="182">
        <f t="shared" si="112"/>
        <v>0</v>
      </c>
      <c r="BI148" s="182">
        <f>ROUND(BE148*'[1]数据-取费表'!$B$51/(1+'[1]数据-取费表'!$C$42),0)</f>
        <v>0</v>
      </c>
      <c r="BJ148" s="182">
        <f>ROUND(BG148*'[1]数据-取费表'!B$41/(1+'[1]数据-取费表'!C$42),0)</f>
        <v>0</v>
      </c>
      <c r="BK148" s="182">
        <f t="shared" si="113"/>
        <v>0</v>
      </c>
      <c r="BL148" s="182">
        <f t="shared" si="114"/>
        <v>0</v>
      </c>
      <c r="BM148" s="182">
        <f t="shared" si="128"/>
        <v>0</v>
      </c>
      <c r="BN148" s="184">
        <f t="shared" si="115"/>
        <v>0</v>
      </c>
      <c r="BO148" s="183">
        <f t="shared" si="138"/>
        <v>898.65338600232349</v>
      </c>
      <c r="BP148" s="195"/>
      <c r="BQ148" s="195"/>
      <c r="BR148" s="195"/>
    </row>
    <row r="149" spans="1:71" x14ac:dyDescent="0.2">
      <c r="A149" s="146">
        <v>132</v>
      </c>
      <c r="B149" s="141" t="s">
        <v>82</v>
      </c>
      <c r="C149" s="142" t="s">
        <v>85</v>
      </c>
      <c r="D149" s="143">
        <v>1911</v>
      </c>
      <c r="E149" s="143">
        <v>140.79</v>
      </c>
      <c r="F149" s="143" t="s">
        <v>83</v>
      </c>
      <c r="G149" s="143" t="s">
        <v>75</v>
      </c>
      <c r="H149" s="144">
        <v>56009</v>
      </c>
      <c r="I149" s="144">
        <v>44987</v>
      </c>
      <c r="J149" s="143">
        <f>IF(F149="商业",[1]项目基本情况!D$15,[1]项目基本情况!E$15)</f>
        <v>30.19</v>
      </c>
      <c r="K149" s="143"/>
      <c r="L149" s="143">
        <v>140.79</v>
      </c>
      <c r="M149" s="143">
        <v>16</v>
      </c>
      <c r="N149" s="143" t="s">
        <v>12</v>
      </c>
      <c r="O149" s="143">
        <v>2008</v>
      </c>
      <c r="P149" s="172">
        <f t="shared" si="98"/>
        <v>26.32</v>
      </c>
      <c r="Q149" s="172">
        <f>ROUND(P149*'[1]数据-取费表'!B$52,0)</f>
        <v>790</v>
      </c>
      <c r="R149" s="172">
        <f t="shared" si="130"/>
        <v>1595372</v>
      </c>
      <c r="S149" s="173">
        <f t="shared" si="116"/>
        <v>23931</v>
      </c>
      <c r="T149" s="174">
        <v>0.8</v>
      </c>
      <c r="U149" s="172">
        <f t="shared" si="131"/>
        <v>1276298</v>
      </c>
      <c r="V149" s="173">
        <f t="shared" si="99"/>
        <v>1276</v>
      </c>
      <c r="W149" s="173">
        <f t="shared" si="117"/>
        <v>2036</v>
      </c>
      <c r="X149" s="172">
        <f>ROUND(AC149*'[1]数据-取费表'!$B$41/(1+'[1]数据-取费表'!$C$42),0)</f>
        <v>21632</v>
      </c>
      <c r="Y149" s="172">
        <f>ROUND(AC149*'[1]数据-取费表'!$B$51/(1+'[1]数据-取费表'!$C$42),0)</f>
        <v>46355</v>
      </c>
      <c r="Z149" s="172">
        <f t="shared" si="100"/>
        <v>68777</v>
      </c>
      <c r="AA149" s="173">
        <f t="shared" si="101"/>
        <v>96020</v>
      </c>
      <c r="AB149" s="175">
        <f t="shared" si="129"/>
        <v>8.77</v>
      </c>
      <c r="AC149" s="172">
        <f>ROUND(AB149*365*L149*(1-I$2),0)</f>
        <v>405608</v>
      </c>
      <c r="AD149" s="172">
        <f t="shared" si="118"/>
        <v>1521</v>
      </c>
      <c r="AE149" s="172">
        <f t="shared" si="119"/>
        <v>407129</v>
      </c>
      <c r="AF149" s="176">
        <f>H$2</f>
        <v>0.03</v>
      </c>
      <c r="AG149" s="177"/>
      <c r="AH149" s="144">
        <f>H149</f>
        <v>56009</v>
      </c>
      <c r="AI149" s="143">
        <f t="shared" si="132"/>
        <v>30.19</v>
      </c>
      <c r="AJ149" s="173">
        <f t="shared" si="102"/>
        <v>311109</v>
      </c>
      <c r="AK149" s="178">
        <f t="shared" si="103"/>
        <v>6411314</v>
      </c>
      <c r="AL149" s="174">
        <f t="shared" si="104"/>
        <v>0.25</v>
      </c>
      <c r="AM149" s="172">
        <f t="shared" si="105"/>
        <v>0</v>
      </c>
      <c r="AN149" s="173">
        <f t="shared" si="106"/>
        <v>0</v>
      </c>
      <c r="AO149" s="173">
        <f t="shared" si="107"/>
        <v>0</v>
      </c>
      <c r="AP149" s="172">
        <f>ROUND(AV149*'[1]数据-取费表'!$B$41/(1+'[1]数据-取费表'!$B$42),0)</f>
        <v>0</v>
      </c>
      <c r="AQ149" s="172">
        <f>ROUND(AV149*'[1]数据-取费表'!B$51/(1+'[1]数据-取费表'!C$42),0)</f>
        <v>0</v>
      </c>
      <c r="AR149" s="179">
        <f t="shared" si="108"/>
        <v>0</v>
      </c>
      <c r="AS149" s="173">
        <f t="shared" si="120"/>
        <v>0</v>
      </c>
      <c r="AT149" s="180">
        <f t="shared" si="137"/>
        <v>8.77</v>
      </c>
      <c r="AU149" s="181">
        <f t="shared" si="121"/>
        <v>21.41</v>
      </c>
      <c r="AV149" s="172">
        <f t="shared" si="122"/>
        <v>0</v>
      </c>
      <c r="AW149" s="172">
        <f t="shared" si="123"/>
        <v>0</v>
      </c>
      <c r="AX149" s="172">
        <f t="shared" si="109"/>
        <v>0</v>
      </c>
      <c r="AY149" s="143">
        <f t="shared" si="133"/>
        <v>0</v>
      </c>
      <c r="AZ149" s="182">
        <f t="shared" si="134"/>
        <v>0</v>
      </c>
      <c r="BA149" s="182">
        <f t="shared" si="124"/>
        <v>0</v>
      </c>
      <c r="BB149" s="183">
        <f t="shared" si="110"/>
        <v>0</v>
      </c>
      <c r="BC149" s="183">
        <f t="shared" si="136"/>
        <v>95315</v>
      </c>
      <c r="BD149" s="183">
        <f t="shared" si="125"/>
        <v>650.66</v>
      </c>
      <c r="BE149" s="182">
        <f t="shared" si="126"/>
        <v>0</v>
      </c>
      <c r="BF149" s="182">
        <f t="shared" si="127"/>
        <v>0</v>
      </c>
      <c r="BG149" s="182">
        <f t="shared" si="111"/>
        <v>0</v>
      </c>
      <c r="BH149" s="182">
        <f t="shared" si="112"/>
        <v>0</v>
      </c>
      <c r="BI149" s="182">
        <f>ROUND(BE149*'[1]数据-取费表'!$B$51/(1+'[1]数据-取费表'!$C$42),0)</f>
        <v>0</v>
      </c>
      <c r="BJ149" s="182">
        <f>ROUND(BG149*'[1]数据-取费表'!B$41/(1+'[1]数据-取费表'!C$42),0)</f>
        <v>0</v>
      </c>
      <c r="BK149" s="182">
        <f t="shared" si="113"/>
        <v>0</v>
      </c>
      <c r="BL149" s="182">
        <f t="shared" si="114"/>
        <v>0</v>
      </c>
      <c r="BM149" s="182">
        <f t="shared" si="128"/>
        <v>0</v>
      </c>
      <c r="BN149" s="184">
        <f t="shared" si="115"/>
        <v>0</v>
      </c>
      <c r="BO149" s="183">
        <f t="shared" si="138"/>
        <v>903.84871720811191</v>
      </c>
      <c r="BP149" s="195"/>
      <c r="BQ149" s="195"/>
      <c r="BR149" s="195"/>
    </row>
    <row r="150" spans="1:71" x14ac:dyDescent="0.2">
      <c r="A150" s="146">
        <v>133</v>
      </c>
      <c r="B150" s="141" t="s">
        <v>82</v>
      </c>
      <c r="C150" s="142" t="s">
        <v>85</v>
      </c>
      <c r="D150" s="143">
        <v>1912</v>
      </c>
      <c r="E150" s="143">
        <v>210.76</v>
      </c>
      <c r="F150" s="143" t="s">
        <v>83</v>
      </c>
      <c r="G150" s="143" t="s">
        <v>75</v>
      </c>
      <c r="H150" s="144">
        <v>56009</v>
      </c>
      <c r="I150" s="144">
        <v>44987</v>
      </c>
      <c r="J150" s="143">
        <f>IF(F150="商业",[1]项目基本情况!D$15,[1]项目基本情况!E$15)</f>
        <v>30.19</v>
      </c>
      <c r="K150" s="143"/>
      <c r="L150" s="143">
        <v>210.76</v>
      </c>
      <c r="M150" s="143">
        <v>16</v>
      </c>
      <c r="N150" s="143" t="s">
        <v>12</v>
      </c>
      <c r="O150" s="143">
        <v>2008</v>
      </c>
      <c r="P150" s="172">
        <f t="shared" si="98"/>
        <v>39.39</v>
      </c>
      <c r="Q150" s="172">
        <f>ROUND(P150*'[1]数据-取费表'!B$52,0)</f>
        <v>1182</v>
      </c>
      <c r="R150" s="172">
        <f t="shared" si="130"/>
        <v>2388242</v>
      </c>
      <c r="S150" s="173">
        <f t="shared" si="116"/>
        <v>35824</v>
      </c>
      <c r="T150" s="174">
        <v>0.8</v>
      </c>
      <c r="U150" s="172">
        <f t="shared" si="131"/>
        <v>1910594</v>
      </c>
      <c r="V150" s="173">
        <f t="shared" si="99"/>
        <v>1911</v>
      </c>
      <c r="W150" s="173">
        <f t="shared" si="117"/>
        <v>3047</v>
      </c>
      <c r="X150" s="172">
        <f>ROUND(AC150*'[1]数据-取费表'!$B$41/(1+'[1]数据-取费表'!$C$42),0)</f>
        <v>32383</v>
      </c>
      <c r="Y150" s="172">
        <f>ROUND(AC150*'[1]数据-取费表'!$B$51/(1+'[1]数据-取费表'!$C$42),0)</f>
        <v>69393</v>
      </c>
      <c r="Z150" s="172">
        <f t="shared" si="100"/>
        <v>102958</v>
      </c>
      <c r="AA150" s="173">
        <f t="shared" si="101"/>
        <v>143740</v>
      </c>
      <c r="AB150" s="175">
        <f t="shared" si="129"/>
        <v>8.77</v>
      </c>
      <c r="AC150" s="172">
        <f>ROUND(AB150*365*L150*(1-I$2),0)</f>
        <v>607188</v>
      </c>
      <c r="AD150" s="172">
        <f t="shared" si="118"/>
        <v>2277</v>
      </c>
      <c r="AE150" s="172">
        <f t="shared" si="119"/>
        <v>609465</v>
      </c>
      <c r="AF150" s="176">
        <f>H$2</f>
        <v>0.03</v>
      </c>
      <c r="AG150" s="177"/>
      <c r="AH150" s="144">
        <f>H150</f>
        <v>56009</v>
      </c>
      <c r="AI150" s="143">
        <f t="shared" si="132"/>
        <v>30.19</v>
      </c>
      <c r="AJ150" s="173">
        <f t="shared" si="102"/>
        <v>465725</v>
      </c>
      <c r="AK150" s="178">
        <f t="shared" si="103"/>
        <v>9597631</v>
      </c>
      <c r="AL150" s="174">
        <f t="shared" si="104"/>
        <v>0.25</v>
      </c>
      <c r="AM150" s="172">
        <f t="shared" si="105"/>
        <v>0</v>
      </c>
      <c r="AN150" s="173">
        <f t="shared" si="106"/>
        <v>0</v>
      </c>
      <c r="AO150" s="173">
        <f t="shared" si="107"/>
        <v>0</v>
      </c>
      <c r="AP150" s="172">
        <f>ROUND(AV150*'[1]数据-取费表'!$B$41/(1+'[1]数据-取费表'!$B$42),0)</f>
        <v>0</v>
      </c>
      <c r="AQ150" s="172">
        <f>ROUND(AV150*'[1]数据-取费表'!B$51/(1+'[1]数据-取费表'!C$42),0)</f>
        <v>0</v>
      </c>
      <c r="AR150" s="179">
        <f t="shared" si="108"/>
        <v>0</v>
      </c>
      <c r="AS150" s="173">
        <f t="shared" si="120"/>
        <v>0</v>
      </c>
      <c r="AT150" s="180">
        <f t="shared" si="137"/>
        <v>8.77</v>
      </c>
      <c r="AU150" s="181">
        <f t="shared" si="121"/>
        <v>21.41</v>
      </c>
      <c r="AV150" s="172">
        <f t="shared" si="122"/>
        <v>0</v>
      </c>
      <c r="AW150" s="172">
        <f t="shared" si="123"/>
        <v>0</v>
      </c>
      <c r="AX150" s="172">
        <f t="shared" si="109"/>
        <v>0</v>
      </c>
      <c r="AY150" s="143">
        <f t="shared" si="133"/>
        <v>0</v>
      </c>
      <c r="AZ150" s="182">
        <f t="shared" si="134"/>
        <v>0</v>
      </c>
      <c r="BA150" s="182">
        <f t="shared" si="124"/>
        <v>0</v>
      </c>
      <c r="BB150" s="183">
        <f t="shared" si="110"/>
        <v>0</v>
      </c>
      <c r="BC150" s="183">
        <f t="shared" si="136"/>
        <v>142685</v>
      </c>
      <c r="BD150" s="183">
        <f t="shared" si="125"/>
        <v>974.03</v>
      </c>
      <c r="BE150" s="182">
        <f t="shared" si="126"/>
        <v>0</v>
      </c>
      <c r="BF150" s="182">
        <f t="shared" si="127"/>
        <v>0</v>
      </c>
      <c r="BG150" s="182">
        <f t="shared" si="111"/>
        <v>0</v>
      </c>
      <c r="BH150" s="182">
        <f t="shared" si="112"/>
        <v>0</v>
      </c>
      <c r="BI150" s="182">
        <f>ROUND(BE150*'[1]数据-取费表'!$B$51/(1+'[1]数据-取费表'!$C$42),0)</f>
        <v>0</v>
      </c>
      <c r="BJ150" s="182">
        <f>ROUND(BG150*'[1]数据-取费表'!B$41/(1+'[1]数据-取费表'!C$42),0)</f>
        <v>0</v>
      </c>
      <c r="BK150" s="182">
        <f t="shared" si="113"/>
        <v>0</v>
      </c>
      <c r="BL150" s="182">
        <f t="shared" si="114"/>
        <v>0</v>
      </c>
      <c r="BM150" s="182">
        <f t="shared" si="128"/>
        <v>0</v>
      </c>
      <c r="BN150" s="184">
        <f t="shared" si="115"/>
        <v>0</v>
      </c>
      <c r="BO150" s="183">
        <f t="shared" si="138"/>
        <v>1353.0503888700969</v>
      </c>
      <c r="BP150" s="195"/>
      <c r="BQ150" s="195"/>
      <c r="BR150" s="195"/>
    </row>
    <row r="151" spans="1:71" x14ac:dyDescent="0.2">
      <c r="A151" s="146">
        <v>134</v>
      </c>
      <c r="B151" s="125" t="s">
        <v>82</v>
      </c>
      <c r="C151" s="126" t="s">
        <v>85</v>
      </c>
      <c r="D151" s="127">
        <v>2001</v>
      </c>
      <c r="E151" s="127">
        <v>134.94</v>
      </c>
      <c r="F151" s="127" t="s">
        <v>83</v>
      </c>
      <c r="G151" s="127" t="s">
        <v>75</v>
      </c>
      <c r="H151" s="128">
        <v>56009</v>
      </c>
      <c r="I151" s="128">
        <v>44987</v>
      </c>
      <c r="J151" s="127">
        <f>IF(F151="商业",[1]项目基本情况!D$15,[1]项目基本情况!E$15)</f>
        <v>30.19</v>
      </c>
      <c r="K151" s="127" t="s">
        <v>84</v>
      </c>
      <c r="L151" s="218">
        <f>SUM(E151:E158)</f>
        <v>1181.9299999999998</v>
      </c>
      <c r="M151" s="127">
        <v>17</v>
      </c>
      <c r="N151" s="127" t="s">
        <v>12</v>
      </c>
      <c r="O151" s="127">
        <v>2008</v>
      </c>
      <c r="P151" s="218">
        <f t="shared" si="98"/>
        <v>220.92</v>
      </c>
      <c r="Q151" s="218">
        <f>ROUND(P151*'[1]数据-取费表'!B$52,0)</f>
        <v>6628</v>
      </c>
      <c r="R151" s="218">
        <f t="shared" si="130"/>
        <v>13393123</v>
      </c>
      <c r="S151" s="218">
        <f t="shared" si="116"/>
        <v>200897</v>
      </c>
      <c r="T151" s="220">
        <v>0.8</v>
      </c>
      <c r="U151" s="218">
        <f t="shared" si="131"/>
        <v>10714498</v>
      </c>
      <c r="V151" s="218">
        <f t="shared" si="99"/>
        <v>10714</v>
      </c>
      <c r="W151" s="218">
        <f t="shared" si="117"/>
        <v>18951</v>
      </c>
      <c r="X151" s="218">
        <f>ROUND(AC151*'[1]数据-取费表'!$B$41/(1+'[1]数据-取费表'!$C$42),0)</f>
        <v>201393</v>
      </c>
      <c r="Y151" s="218">
        <f>ROUND(AC151*'[1]数据-取费表'!$B$51/(1+'[1]数据-取费表'!$C$42),0)</f>
        <v>431557</v>
      </c>
      <c r="Z151" s="218">
        <f t="shared" si="100"/>
        <v>639578</v>
      </c>
      <c r="AA151" s="218">
        <f t="shared" si="101"/>
        <v>870140</v>
      </c>
      <c r="AB151" s="240">
        <f>ROUND(AC151/365/L151,2)</f>
        <v>8.75</v>
      </c>
      <c r="AC151" s="218">
        <v>3776124</v>
      </c>
      <c r="AD151" s="218">
        <f t="shared" si="118"/>
        <v>14160</v>
      </c>
      <c r="AE151" s="218">
        <f t="shared" si="119"/>
        <v>3790284</v>
      </c>
      <c r="AF151" s="225">
        <v>0</v>
      </c>
      <c r="AG151" s="218"/>
      <c r="AH151" s="226">
        <v>45504</v>
      </c>
      <c r="AI151" s="218">
        <f t="shared" si="132"/>
        <v>1.41</v>
      </c>
      <c r="AJ151" s="218">
        <f t="shared" si="102"/>
        <v>2920144</v>
      </c>
      <c r="AK151" s="224">
        <f t="shared" si="103"/>
        <v>3860605</v>
      </c>
      <c r="AL151" s="220">
        <f t="shared" si="104"/>
        <v>0.73</v>
      </c>
      <c r="AM151" s="218">
        <f t="shared" si="105"/>
        <v>9776980</v>
      </c>
      <c r="AN151" s="218">
        <f t="shared" si="106"/>
        <v>9777</v>
      </c>
      <c r="AO151" s="218">
        <f t="shared" si="107"/>
        <v>17810</v>
      </c>
      <c r="AP151" s="218">
        <f>ROUND(AV151*'[1]数据-取费表'!$B$41/(1+'[1]数据-取费表'!$B$42),0)</f>
        <v>189266</v>
      </c>
      <c r="AQ151" s="218">
        <f>ROUND(AV151*'[1]数据-取费表'!B$51/(1+'[1]数据-取费表'!C$42),0)</f>
        <v>405569</v>
      </c>
      <c r="AR151" s="218">
        <f t="shared" si="108"/>
        <v>601463</v>
      </c>
      <c r="AS151" s="218">
        <f t="shared" si="120"/>
        <v>829947</v>
      </c>
      <c r="AT151" s="223">
        <f t="shared" si="137"/>
        <v>8.77</v>
      </c>
      <c r="AU151" s="224">
        <f t="shared" si="121"/>
        <v>9.14</v>
      </c>
      <c r="AV151" s="218">
        <f t="shared" si="122"/>
        <v>3548733</v>
      </c>
      <c r="AW151" s="218">
        <f t="shared" si="123"/>
        <v>13308</v>
      </c>
      <c r="AX151" s="218">
        <f t="shared" si="109"/>
        <v>3562041</v>
      </c>
      <c r="AY151" s="218">
        <f t="shared" si="133"/>
        <v>28.78</v>
      </c>
      <c r="AZ151" s="227">
        <f t="shared" si="134"/>
        <v>2732094</v>
      </c>
      <c r="BA151" s="227">
        <f t="shared" si="124"/>
        <v>54480655</v>
      </c>
      <c r="BB151" s="229">
        <f t="shared" si="110"/>
        <v>50519187</v>
      </c>
      <c r="BC151" s="229">
        <f t="shared" si="136"/>
        <v>800167</v>
      </c>
      <c r="BD151" s="229">
        <f t="shared" si="125"/>
        <v>5518</v>
      </c>
      <c r="BE151" s="227">
        <f t="shared" si="126"/>
        <v>3405075</v>
      </c>
      <c r="BF151" s="227">
        <f t="shared" si="127"/>
        <v>12769</v>
      </c>
      <c r="BG151" s="227">
        <f t="shared" si="111"/>
        <v>3417844</v>
      </c>
      <c r="BH151" s="227">
        <f t="shared" si="112"/>
        <v>17089</v>
      </c>
      <c r="BI151" s="227">
        <f>ROUND(BE151*'[1]数据-取费表'!$B$51/(1+'[1]数据-取费表'!$C$42),0)</f>
        <v>389151</v>
      </c>
      <c r="BJ151" s="227">
        <f>ROUND(BG151*'[1]数据-取费表'!B$41/(1+'[1]数据-取费表'!C$42),0)</f>
        <v>182285</v>
      </c>
      <c r="BK151" s="227">
        <f t="shared" si="113"/>
        <v>806764</v>
      </c>
      <c r="BL151" s="227">
        <f t="shared" si="114"/>
        <v>2611080</v>
      </c>
      <c r="BM151" s="227">
        <f t="shared" si="128"/>
        <v>3472658</v>
      </c>
      <c r="BN151" s="228">
        <v>0</v>
      </c>
      <c r="BO151" s="229">
        <f t="shared" si="138"/>
        <v>7665.1972175243018</v>
      </c>
      <c r="BP151" s="229">
        <f>SUM(BO151:BO161)</f>
        <v>11168.642422753943</v>
      </c>
      <c r="BQ151" s="229">
        <f>ROUND(BP151*10000/BS151,0)</f>
        <v>64646</v>
      </c>
      <c r="BR151" s="194"/>
      <c r="BS151" s="20">
        <f>SUM(E151:E161)</f>
        <v>1727.6499999999996</v>
      </c>
    </row>
    <row r="152" spans="1:71" x14ac:dyDescent="0.2">
      <c r="A152" s="146">
        <v>135</v>
      </c>
      <c r="B152" s="125" t="s">
        <v>82</v>
      </c>
      <c r="C152" s="126" t="s">
        <v>85</v>
      </c>
      <c r="D152" s="127">
        <v>2006</v>
      </c>
      <c r="E152" s="127">
        <v>145.26</v>
      </c>
      <c r="F152" s="127" t="s">
        <v>83</v>
      </c>
      <c r="G152" s="127" t="s">
        <v>75</v>
      </c>
      <c r="H152" s="128">
        <v>56009</v>
      </c>
      <c r="I152" s="128">
        <v>44987</v>
      </c>
      <c r="J152" s="127">
        <f>IF(F152="商业",[1]项目基本情况!D$15,[1]项目基本情况!E$15)</f>
        <v>30.19</v>
      </c>
      <c r="K152" s="127" t="s">
        <v>84</v>
      </c>
      <c r="L152" s="218"/>
      <c r="M152" s="127">
        <v>17</v>
      </c>
      <c r="N152" s="127" t="s">
        <v>12</v>
      </c>
      <c r="O152" s="127">
        <v>2008</v>
      </c>
      <c r="P152" s="218">
        <f t="shared" si="98"/>
        <v>0</v>
      </c>
      <c r="Q152" s="218">
        <f>ROUND(P152*'[1]数据-取费表'!B$52,0)</f>
        <v>0</v>
      </c>
      <c r="R152" s="218">
        <f t="shared" si="130"/>
        <v>0</v>
      </c>
      <c r="S152" s="218">
        <f t="shared" si="116"/>
        <v>0</v>
      </c>
      <c r="T152" s="220">
        <v>0.8</v>
      </c>
      <c r="U152" s="218">
        <f t="shared" si="131"/>
        <v>0</v>
      </c>
      <c r="V152" s="218">
        <f t="shared" si="99"/>
        <v>0</v>
      </c>
      <c r="W152" s="218">
        <f t="shared" si="117"/>
        <v>0</v>
      </c>
      <c r="X152" s="218">
        <f>ROUND(AC152*'[1]数据-取费表'!$B$41/(1+'[1]数据-取费表'!$C$42),0)</f>
        <v>0</v>
      </c>
      <c r="Y152" s="218">
        <f>ROUND(AC152*'[1]数据-取费表'!$B$51/(1+'[1]数据-取费表'!$C$42),0)</f>
        <v>0</v>
      </c>
      <c r="Z152" s="218">
        <f t="shared" si="100"/>
        <v>0</v>
      </c>
      <c r="AA152" s="218">
        <f t="shared" si="101"/>
        <v>0</v>
      </c>
      <c r="AB152" s="240">
        <f t="shared" si="129"/>
        <v>8.77</v>
      </c>
      <c r="AC152" s="218"/>
      <c r="AD152" s="218">
        <f t="shared" si="118"/>
        <v>0</v>
      </c>
      <c r="AE152" s="218">
        <f t="shared" si="119"/>
        <v>0</v>
      </c>
      <c r="AF152" s="225"/>
      <c r="AG152" s="218"/>
      <c r="AH152" s="226"/>
      <c r="AI152" s="218">
        <f t="shared" si="132"/>
        <v>-123.25</v>
      </c>
      <c r="AJ152" s="218">
        <f t="shared" si="102"/>
        <v>0</v>
      </c>
      <c r="AK152" s="224">
        <f t="shared" si="103"/>
        <v>0</v>
      </c>
      <c r="AL152" s="220">
        <f t="shared" si="104"/>
        <v>2.8</v>
      </c>
      <c r="AM152" s="218">
        <f t="shared" si="105"/>
        <v>0</v>
      </c>
      <c r="AN152" s="218">
        <f t="shared" si="106"/>
        <v>0</v>
      </c>
      <c r="AO152" s="218">
        <f t="shared" si="107"/>
        <v>0</v>
      </c>
      <c r="AP152" s="218">
        <f>ROUND(AV152*'[1]数据-取费表'!$B$41/(1+'[1]数据-取费表'!$B$42),0)</f>
        <v>0</v>
      </c>
      <c r="AQ152" s="218">
        <f>ROUND(AV152*'[1]数据-取费表'!B$51/(1+'[1]数据-取费表'!C$42),0)</f>
        <v>0</v>
      </c>
      <c r="AR152" s="218">
        <f t="shared" si="108"/>
        <v>0</v>
      </c>
      <c r="AS152" s="218">
        <f t="shared" si="120"/>
        <v>0</v>
      </c>
      <c r="AT152" s="223">
        <f t="shared" si="137"/>
        <v>8.77</v>
      </c>
      <c r="AU152" s="224">
        <f t="shared" si="121"/>
        <v>0.23</v>
      </c>
      <c r="AV152" s="218">
        <f t="shared" si="122"/>
        <v>0</v>
      </c>
      <c r="AW152" s="218">
        <f t="shared" si="123"/>
        <v>0</v>
      </c>
      <c r="AX152" s="218">
        <f t="shared" si="109"/>
        <v>0</v>
      </c>
      <c r="AY152" s="218">
        <f t="shared" si="133"/>
        <v>153.44</v>
      </c>
      <c r="AZ152" s="227">
        <f t="shared" si="134"/>
        <v>0</v>
      </c>
      <c r="BA152" s="227">
        <f t="shared" si="124"/>
        <v>0</v>
      </c>
      <c r="BB152" s="229">
        <f t="shared" si="110"/>
        <v>0</v>
      </c>
      <c r="BC152" s="229">
        <f t="shared" si="136"/>
        <v>0</v>
      </c>
      <c r="BD152" s="229">
        <f t="shared" si="125"/>
        <v>0</v>
      </c>
      <c r="BE152" s="227">
        <f t="shared" si="126"/>
        <v>0</v>
      </c>
      <c r="BF152" s="227">
        <f t="shared" si="127"/>
        <v>0</v>
      </c>
      <c r="BG152" s="227">
        <f t="shared" si="111"/>
        <v>0</v>
      </c>
      <c r="BH152" s="227">
        <f t="shared" si="112"/>
        <v>0</v>
      </c>
      <c r="BI152" s="227">
        <f>ROUND(BE152*'[1]数据-取费表'!$B$51/(1+'[1]数据-取费表'!$C$42),0)</f>
        <v>0</v>
      </c>
      <c r="BJ152" s="227">
        <f>ROUND(BG152*'[1]数据-取费表'!B$41/(1+'[1]数据-取费表'!C$42),0)</f>
        <v>0</v>
      </c>
      <c r="BK152" s="227">
        <f t="shared" si="113"/>
        <v>0</v>
      </c>
      <c r="BL152" s="227">
        <f t="shared" si="114"/>
        <v>0</v>
      </c>
      <c r="BM152" s="227">
        <f t="shared" si="128"/>
        <v>0</v>
      </c>
      <c r="BN152" s="228">
        <f t="shared" si="115"/>
        <v>0</v>
      </c>
      <c r="BO152" s="229"/>
      <c r="BP152" s="229"/>
      <c r="BQ152" s="229"/>
      <c r="BR152" s="194"/>
    </row>
    <row r="153" spans="1:71" x14ac:dyDescent="0.2">
      <c r="A153" s="146">
        <v>136</v>
      </c>
      <c r="B153" s="125" t="s">
        <v>82</v>
      </c>
      <c r="C153" s="126" t="s">
        <v>85</v>
      </c>
      <c r="D153" s="127">
        <v>2007</v>
      </c>
      <c r="E153" s="127">
        <v>139.97999999999999</v>
      </c>
      <c r="F153" s="127" t="s">
        <v>83</v>
      </c>
      <c r="G153" s="127" t="s">
        <v>75</v>
      </c>
      <c r="H153" s="128">
        <v>56009</v>
      </c>
      <c r="I153" s="128">
        <v>44987</v>
      </c>
      <c r="J153" s="127">
        <f>IF(F153="商业",[1]项目基本情况!D$15,[1]项目基本情况!E$15)</f>
        <v>30.19</v>
      </c>
      <c r="K153" s="127" t="s">
        <v>84</v>
      </c>
      <c r="L153" s="218"/>
      <c r="M153" s="127">
        <v>17</v>
      </c>
      <c r="N153" s="127" t="s">
        <v>12</v>
      </c>
      <c r="O153" s="127">
        <v>2008</v>
      </c>
      <c r="P153" s="218">
        <f t="shared" si="98"/>
        <v>0</v>
      </c>
      <c r="Q153" s="218">
        <f>ROUND(P153*'[1]数据-取费表'!B$52,0)</f>
        <v>0</v>
      </c>
      <c r="R153" s="218">
        <f t="shared" si="130"/>
        <v>0</v>
      </c>
      <c r="S153" s="218">
        <f t="shared" si="116"/>
        <v>0</v>
      </c>
      <c r="T153" s="220">
        <v>0.8</v>
      </c>
      <c r="U153" s="218">
        <f t="shared" si="131"/>
        <v>0</v>
      </c>
      <c r="V153" s="218">
        <f t="shared" si="99"/>
        <v>0</v>
      </c>
      <c r="W153" s="218">
        <f t="shared" si="117"/>
        <v>0</v>
      </c>
      <c r="X153" s="218">
        <f>ROUND(AC153*'[1]数据-取费表'!$B$41/(1+'[1]数据-取费表'!$C$42),0)</f>
        <v>0</v>
      </c>
      <c r="Y153" s="218">
        <f>ROUND(AC153*'[1]数据-取费表'!$B$51/(1+'[1]数据-取费表'!$C$42),0)</f>
        <v>0</v>
      </c>
      <c r="Z153" s="218">
        <f t="shared" si="100"/>
        <v>0</v>
      </c>
      <c r="AA153" s="218">
        <f t="shared" si="101"/>
        <v>0</v>
      </c>
      <c r="AB153" s="240">
        <f t="shared" si="129"/>
        <v>8.77</v>
      </c>
      <c r="AC153" s="218"/>
      <c r="AD153" s="218">
        <f t="shared" si="118"/>
        <v>0</v>
      </c>
      <c r="AE153" s="218">
        <f t="shared" si="119"/>
        <v>0</v>
      </c>
      <c r="AF153" s="225"/>
      <c r="AG153" s="218"/>
      <c r="AH153" s="226"/>
      <c r="AI153" s="218">
        <f t="shared" si="132"/>
        <v>-123.25</v>
      </c>
      <c r="AJ153" s="218">
        <f t="shared" si="102"/>
        <v>0</v>
      </c>
      <c r="AK153" s="224">
        <f t="shared" si="103"/>
        <v>0</v>
      </c>
      <c r="AL153" s="220">
        <f t="shared" si="104"/>
        <v>2.8</v>
      </c>
      <c r="AM153" s="218">
        <f t="shared" si="105"/>
        <v>0</v>
      </c>
      <c r="AN153" s="218">
        <f t="shared" si="106"/>
        <v>0</v>
      </c>
      <c r="AO153" s="218">
        <f t="shared" si="107"/>
        <v>0</v>
      </c>
      <c r="AP153" s="218">
        <f>ROUND(AV153*'[1]数据-取费表'!$B$41/(1+'[1]数据-取费表'!$B$42),0)</f>
        <v>0</v>
      </c>
      <c r="AQ153" s="218">
        <f>ROUND(AV153*'[1]数据-取费表'!B$51/(1+'[1]数据-取费表'!C$42),0)</f>
        <v>0</v>
      </c>
      <c r="AR153" s="218">
        <f t="shared" si="108"/>
        <v>0</v>
      </c>
      <c r="AS153" s="218">
        <f t="shared" si="120"/>
        <v>0</v>
      </c>
      <c r="AT153" s="223">
        <f t="shared" si="137"/>
        <v>8.77</v>
      </c>
      <c r="AU153" s="224">
        <f t="shared" si="121"/>
        <v>0.23</v>
      </c>
      <c r="AV153" s="218">
        <f t="shared" si="122"/>
        <v>0</v>
      </c>
      <c r="AW153" s="218">
        <f t="shared" si="123"/>
        <v>0</v>
      </c>
      <c r="AX153" s="218">
        <f t="shared" si="109"/>
        <v>0</v>
      </c>
      <c r="AY153" s="218">
        <f t="shared" si="133"/>
        <v>153.44</v>
      </c>
      <c r="AZ153" s="227">
        <f t="shared" si="134"/>
        <v>0</v>
      </c>
      <c r="BA153" s="227">
        <f t="shared" si="124"/>
        <v>0</v>
      </c>
      <c r="BB153" s="229">
        <f t="shared" si="110"/>
        <v>0</v>
      </c>
      <c r="BC153" s="229">
        <f t="shared" si="136"/>
        <v>0</v>
      </c>
      <c r="BD153" s="229">
        <f t="shared" si="125"/>
        <v>0</v>
      </c>
      <c r="BE153" s="227">
        <f t="shared" si="126"/>
        <v>0</v>
      </c>
      <c r="BF153" s="227">
        <f t="shared" si="127"/>
        <v>0</v>
      </c>
      <c r="BG153" s="227">
        <f t="shared" si="111"/>
        <v>0</v>
      </c>
      <c r="BH153" s="227">
        <f t="shared" si="112"/>
        <v>0</v>
      </c>
      <c r="BI153" s="227">
        <f>ROUND(BE153*'[1]数据-取费表'!$B$51/(1+'[1]数据-取费表'!$C$42),0)</f>
        <v>0</v>
      </c>
      <c r="BJ153" s="227">
        <f>ROUND(BG153*'[1]数据-取费表'!B$41/(1+'[1]数据-取费表'!C$42),0)</f>
        <v>0</v>
      </c>
      <c r="BK153" s="227">
        <f t="shared" si="113"/>
        <v>0</v>
      </c>
      <c r="BL153" s="227">
        <f t="shared" si="114"/>
        <v>0</v>
      </c>
      <c r="BM153" s="227">
        <f t="shared" si="128"/>
        <v>0</v>
      </c>
      <c r="BN153" s="228">
        <f t="shared" si="115"/>
        <v>0</v>
      </c>
      <c r="BO153" s="229"/>
      <c r="BP153" s="229"/>
      <c r="BQ153" s="229"/>
      <c r="BR153" s="194"/>
    </row>
    <row r="154" spans="1:71" x14ac:dyDescent="0.2">
      <c r="A154" s="146">
        <v>137</v>
      </c>
      <c r="B154" s="125" t="s">
        <v>82</v>
      </c>
      <c r="C154" s="126" t="s">
        <v>85</v>
      </c>
      <c r="D154" s="127">
        <v>2008</v>
      </c>
      <c r="E154" s="127">
        <v>135.16999999999999</v>
      </c>
      <c r="F154" s="127" t="s">
        <v>83</v>
      </c>
      <c r="G154" s="127" t="s">
        <v>75</v>
      </c>
      <c r="H154" s="128">
        <v>56009</v>
      </c>
      <c r="I154" s="128">
        <v>44987</v>
      </c>
      <c r="J154" s="127">
        <f>IF(F154="商业",[1]项目基本情况!D$15,[1]项目基本情况!E$15)</f>
        <v>30.19</v>
      </c>
      <c r="K154" s="127" t="s">
        <v>84</v>
      </c>
      <c r="L154" s="218"/>
      <c r="M154" s="127">
        <v>17</v>
      </c>
      <c r="N154" s="127" t="s">
        <v>12</v>
      </c>
      <c r="O154" s="127">
        <v>2008</v>
      </c>
      <c r="P154" s="218">
        <f t="shared" si="98"/>
        <v>0</v>
      </c>
      <c r="Q154" s="218">
        <f>ROUND(P154*'[1]数据-取费表'!B$52,0)</f>
        <v>0</v>
      </c>
      <c r="R154" s="218">
        <f t="shared" si="130"/>
        <v>0</v>
      </c>
      <c r="S154" s="218">
        <f t="shared" si="116"/>
        <v>0</v>
      </c>
      <c r="T154" s="220">
        <v>0.8</v>
      </c>
      <c r="U154" s="218">
        <f t="shared" si="131"/>
        <v>0</v>
      </c>
      <c r="V154" s="218">
        <f t="shared" si="99"/>
        <v>0</v>
      </c>
      <c r="W154" s="218">
        <f t="shared" si="117"/>
        <v>0</v>
      </c>
      <c r="X154" s="218">
        <f>ROUND(AC154*'[1]数据-取费表'!$B$41/(1+'[1]数据-取费表'!$C$42),0)</f>
        <v>0</v>
      </c>
      <c r="Y154" s="218">
        <f>ROUND(AC154*'[1]数据-取费表'!$B$51/(1+'[1]数据-取费表'!$C$42),0)</f>
        <v>0</v>
      </c>
      <c r="Z154" s="218">
        <f t="shared" si="100"/>
        <v>0</v>
      </c>
      <c r="AA154" s="218">
        <f t="shared" si="101"/>
        <v>0</v>
      </c>
      <c r="AB154" s="240">
        <f t="shared" si="129"/>
        <v>8.77</v>
      </c>
      <c r="AC154" s="218"/>
      <c r="AD154" s="218">
        <f t="shared" si="118"/>
        <v>0</v>
      </c>
      <c r="AE154" s="218">
        <f t="shared" si="119"/>
        <v>0</v>
      </c>
      <c r="AF154" s="225"/>
      <c r="AG154" s="218"/>
      <c r="AH154" s="226"/>
      <c r="AI154" s="218">
        <f t="shared" si="132"/>
        <v>-123.25</v>
      </c>
      <c r="AJ154" s="218">
        <f t="shared" si="102"/>
        <v>0</v>
      </c>
      <c r="AK154" s="224">
        <f t="shared" si="103"/>
        <v>0</v>
      </c>
      <c r="AL154" s="220">
        <f t="shared" si="104"/>
        <v>2.8</v>
      </c>
      <c r="AM154" s="218">
        <f t="shared" si="105"/>
        <v>0</v>
      </c>
      <c r="AN154" s="218">
        <f t="shared" si="106"/>
        <v>0</v>
      </c>
      <c r="AO154" s="218">
        <f t="shared" si="107"/>
        <v>0</v>
      </c>
      <c r="AP154" s="218">
        <f>ROUND(AV154*'[1]数据-取费表'!$B$41/(1+'[1]数据-取费表'!$B$42),0)</f>
        <v>0</v>
      </c>
      <c r="AQ154" s="218">
        <f>ROUND(AV154*'[1]数据-取费表'!B$51/(1+'[1]数据-取费表'!C$42),0)</f>
        <v>0</v>
      </c>
      <c r="AR154" s="218">
        <f t="shared" si="108"/>
        <v>0</v>
      </c>
      <c r="AS154" s="218">
        <f t="shared" si="120"/>
        <v>0</v>
      </c>
      <c r="AT154" s="223">
        <f t="shared" si="137"/>
        <v>8.77</v>
      </c>
      <c r="AU154" s="224">
        <f t="shared" si="121"/>
        <v>0.23</v>
      </c>
      <c r="AV154" s="218">
        <f t="shared" si="122"/>
        <v>0</v>
      </c>
      <c r="AW154" s="218">
        <f t="shared" si="123"/>
        <v>0</v>
      </c>
      <c r="AX154" s="218">
        <f t="shared" si="109"/>
        <v>0</v>
      </c>
      <c r="AY154" s="218">
        <f t="shared" si="133"/>
        <v>153.44</v>
      </c>
      <c r="AZ154" s="227">
        <f t="shared" si="134"/>
        <v>0</v>
      </c>
      <c r="BA154" s="227">
        <f t="shared" si="124"/>
        <v>0</v>
      </c>
      <c r="BB154" s="229">
        <f t="shared" si="110"/>
        <v>0</v>
      </c>
      <c r="BC154" s="229">
        <f t="shared" si="136"/>
        <v>0</v>
      </c>
      <c r="BD154" s="229">
        <f t="shared" si="125"/>
        <v>0</v>
      </c>
      <c r="BE154" s="227">
        <f t="shared" si="126"/>
        <v>0</v>
      </c>
      <c r="BF154" s="227">
        <f t="shared" si="127"/>
        <v>0</v>
      </c>
      <c r="BG154" s="227">
        <f t="shared" si="111"/>
        <v>0</v>
      </c>
      <c r="BH154" s="227">
        <f t="shared" si="112"/>
        <v>0</v>
      </c>
      <c r="BI154" s="227">
        <f>ROUND(BE154*'[1]数据-取费表'!$B$51/(1+'[1]数据-取费表'!$C$42),0)</f>
        <v>0</v>
      </c>
      <c r="BJ154" s="227">
        <f>ROUND(BG154*'[1]数据-取费表'!B$41/(1+'[1]数据-取费表'!C$42),0)</f>
        <v>0</v>
      </c>
      <c r="BK154" s="227">
        <f t="shared" si="113"/>
        <v>0</v>
      </c>
      <c r="BL154" s="227">
        <f t="shared" si="114"/>
        <v>0</v>
      </c>
      <c r="BM154" s="227">
        <f t="shared" si="128"/>
        <v>0</v>
      </c>
      <c r="BN154" s="228">
        <f t="shared" si="115"/>
        <v>0</v>
      </c>
      <c r="BO154" s="229"/>
      <c r="BP154" s="229"/>
      <c r="BQ154" s="229"/>
      <c r="BR154" s="194"/>
    </row>
    <row r="155" spans="1:71" x14ac:dyDescent="0.2">
      <c r="A155" s="146">
        <v>138</v>
      </c>
      <c r="B155" s="125" t="s">
        <v>82</v>
      </c>
      <c r="C155" s="126" t="s">
        <v>85</v>
      </c>
      <c r="D155" s="127">
        <v>2008</v>
      </c>
      <c r="E155" s="127">
        <v>135.16999999999999</v>
      </c>
      <c r="F155" s="127" t="s">
        <v>83</v>
      </c>
      <c r="G155" s="127" t="s">
        <v>75</v>
      </c>
      <c r="H155" s="128">
        <v>56009</v>
      </c>
      <c r="I155" s="128">
        <v>44987</v>
      </c>
      <c r="J155" s="127">
        <f>IF(F155="商业",[1]项目基本情况!D$15,[1]项目基本情况!E$15)</f>
        <v>30.19</v>
      </c>
      <c r="K155" s="127" t="s">
        <v>84</v>
      </c>
      <c r="L155" s="218"/>
      <c r="M155" s="127">
        <v>17</v>
      </c>
      <c r="N155" s="127" t="s">
        <v>12</v>
      </c>
      <c r="O155" s="127">
        <v>2008</v>
      </c>
      <c r="P155" s="218">
        <f t="shared" si="98"/>
        <v>0</v>
      </c>
      <c r="Q155" s="218">
        <f>ROUND(P155*'[1]数据-取费表'!B$52,0)</f>
        <v>0</v>
      </c>
      <c r="R155" s="218">
        <f t="shared" si="130"/>
        <v>0</v>
      </c>
      <c r="S155" s="218">
        <f t="shared" si="116"/>
        <v>0</v>
      </c>
      <c r="T155" s="220">
        <v>0.8</v>
      </c>
      <c r="U155" s="218">
        <f t="shared" si="131"/>
        <v>0</v>
      </c>
      <c r="V155" s="218">
        <f t="shared" si="99"/>
        <v>0</v>
      </c>
      <c r="W155" s="218">
        <f t="shared" si="117"/>
        <v>0</v>
      </c>
      <c r="X155" s="218">
        <f>ROUND(AC155*'[1]数据-取费表'!$B$41/(1+'[1]数据-取费表'!$C$42),0)</f>
        <v>0</v>
      </c>
      <c r="Y155" s="218">
        <f>ROUND(AC155*'[1]数据-取费表'!$B$51/(1+'[1]数据-取费表'!$C$42),0)</f>
        <v>0</v>
      </c>
      <c r="Z155" s="218">
        <f t="shared" si="100"/>
        <v>0</v>
      </c>
      <c r="AA155" s="218">
        <f t="shared" si="101"/>
        <v>0</v>
      </c>
      <c r="AB155" s="240">
        <f t="shared" si="129"/>
        <v>8.77</v>
      </c>
      <c r="AC155" s="218"/>
      <c r="AD155" s="218">
        <f t="shared" si="118"/>
        <v>0</v>
      </c>
      <c r="AE155" s="218">
        <f t="shared" si="119"/>
        <v>0</v>
      </c>
      <c r="AF155" s="225"/>
      <c r="AG155" s="218"/>
      <c r="AH155" s="226"/>
      <c r="AI155" s="218">
        <f t="shared" si="132"/>
        <v>-123.25</v>
      </c>
      <c r="AJ155" s="218">
        <f t="shared" si="102"/>
        <v>0</v>
      </c>
      <c r="AK155" s="224">
        <f t="shared" si="103"/>
        <v>0</v>
      </c>
      <c r="AL155" s="220">
        <f t="shared" si="104"/>
        <v>2.8</v>
      </c>
      <c r="AM155" s="218">
        <f t="shared" si="105"/>
        <v>0</v>
      </c>
      <c r="AN155" s="218">
        <f t="shared" si="106"/>
        <v>0</v>
      </c>
      <c r="AO155" s="218">
        <f t="shared" si="107"/>
        <v>0</v>
      </c>
      <c r="AP155" s="218">
        <f>ROUND(AV155*'[1]数据-取费表'!$B$41/(1+'[1]数据-取费表'!$B$42),0)</f>
        <v>0</v>
      </c>
      <c r="AQ155" s="218">
        <f>ROUND(AV155*'[1]数据-取费表'!B$51/(1+'[1]数据-取费表'!C$42),0)</f>
        <v>0</v>
      </c>
      <c r="AR155" s="218">
        <f t="shared" si="108"/>
        <v>0</v>
      </c>
      <c r="AS155" s="218">
        <f t="shared" si="120"/>
        <v>0</v>
      </c>
      <c r="AT155" s="223">
        <f t="shared" si="137"/>
        <v>8.77</v>
      </c>
      <c r="AU155" s="224">
        <f t="shared" si="121"/>
        <v>0.23</v>
      </c>
      <c r="AV155" s="218">
        <f t="shared" si="122"/>
        <v>0</v>
      </c>
      <c r="AW155" s="218">
        <f t="shared" si="123"/>
        <v>0</v>
      </c>
      <c r="AX155" s="218">
        <f t="shared" si="109"/>
        <v>0</v>
      </c>
      <c r="AY155" s="218">
        <f t="shared" si="133"/>
        <v>153.44</v>
      </c>
      <c r="AZ155" s="227">
        <f t="shared" si="134"/>
        <v>0</v>
      </c>
      <c r="BA155" s="227">
        <f t="shared" si="124"/>
        <v>0</v>
      </c>
      <c r="BB155" s="229">
        <f t="shared" si="110"/>
        <v>0</v>
      </c>
      <c r="BC155" s="229">
        <f t="shared" si="136"/>
        <v>0</v>
      </c>
      <c r="BD155" s="229">
        <f t="shared" si="125"/>
        <v>0</v>
      </c>
      <c r="BE155" s="227">
        <f t="shared" si="126"/>
        <v>0</v>
      </c>
      <c r="BF155" s="227">
        <f t="shared" si="127"/>
        <v>0</v>
      </c>
      <c r="BG155" s="227">
        <f t="shared" si="111"/>
        <v>0</v>
      </c>
      <c r="BH155" s="227">
        <f t="shared" si="112"/>
        <v>0</v>
      </c>
      <c r="BI155" s="227">
        <f>ROUND(BE155*'[1]数据-取费表'!$B$51/(1+'[1]数据-取费表'!$C$42),0)</f>
        <v>0</v>
      </c>
      <c r="BJ155" s="227">
        <f>ROUND(BG155*'[1]数据-取费表'!B$41/(1+'[1]数据-取费表'!C$42),0)</f>
        <v>0</v>
      </c>
      <c r="BK155" s="227">
        <f t="shared" si="113"/>
        <v>0</v>
      </c>
      <c r="BL155" s="227">
        <f t="shared" si="114"/>
        <v>0</v>
      </c>
      <c r="BM155" s="227">
        <f t="shared" si="128"/>
        <v>0</v>
      </c>
      <c r="BN155" s="228">
        <f t="shared" si="115"/>
        <v>0</v>
      </c>
      <c r="BO155" s="229"/>
      <c r="BP155" s="229"/>
      <c r="BQ155" s="229"/>
      <c r="BR155" s="194"/>
    </row>
    <row r="156" spans="1:71" x14ac:dyDescent="0.2">
      <c r="A156" s="146">
        <v>139</v>
      </c>
      <c r="B156" s="125" t="s">
        <v>82</v>
      </c>
      <c r="C156" s="126" t="s">
        <v>85</v>
      </c>
      <c r="D156" s="127">
        <v>2010</v>
      </c>
      <c r="E156" s="127">
        <v>139.97999999999999</v>
      </c>
      <c r="F156" s="127" t="s">
        <v>83</v>
      </c>
      <c r="G156" s="127" t="s">
        <v>75</v>
      </c>
      <c r="H156" s="128">
        <v>56009</v>
      </c>
      <c r="I156" s="128">
        <v>44987</v>
      </c>
      <c r="J156" s="127">
        <f>IF(F156="商业",[1]项目基本情况!D$15,[1]项目基本情况!E$15)</f>
        <v>30.19</v>
      </c>
      <c r="K156" s="127" t="s">
        <v>84</v>
      </c>
      <c r="L156" s="218"/>
      <c r="M156" s="127">
        <v>17</v>
      </c>
      <c r="N156" s="127" t="s">
        <v>12</v>
      </c>
      <c r="O156" s="127">
        <v>2008</v>
      </c>
      <c r="P156" s="218">
        <f t="shared" si="98"/>
        <v>0</v>
      </c>
      <c r="Q156" s="218">
        <f>ROUND(P156*'[1]数据-取费表'!B$52,0)</f>
        <v>0</v>
      </c>
      <c r="R156" s="218">
        <f t="shared" si="130"/>
        <v>0</v>
      </c>
      <c r="S156" s="218">
        <f t="shared" si="116"/>
        <v>0</v>
      </c>
      <c r="T156" s="220">
        <v>0.8</v>
      </c>
      <c r="U156" s="218">
        <f t="shared" si="131"/>
        <v>0</v>
      </c>
      <c r="V156" s="218">
        <f t="shared" si="99"/>
        <v>0</v>
      </c>
      <c r="W156" s="218">
        <f t="shared" si="117"/>
        <v>0</v>
      </c>
      <c r="X156" s="218">
        <f>ROUND(AC156*'[1]数据-取费表'!$B$41/(1+'[1]数据-取费表'!$C$42),0)</f>
        <v>0</v>
      </c>
      <c r="Y156" s="218">
        <f>ROUND(AC156*'[1]数据-取费表'!$B$51/(1+'[1]数据-取费表'!$C$42),0)</f>
        <v>0</v>
      </c>
      <c r="Z156" s="218">
        <f t="shared" si="100"/>
        <v>0</v>
      </c>
      <c r="AA156" s="218">
        <f t="shared" si="101"/>
        <v>0</v>
      </c>
      <c r="AB156" s="240">
        <f t="shared" si="129"/>
        <v>8.77</v>
      </c>
      <c r="AC156" s="218"/>
      <c r="AD156" s="218">
        <f t="shared" si="118"/>
        <v>0</v>
      </c>
      <c r="AE156" s="218">
        <f t="shared" si="119"/>
        <v>0</v>
      </c>
      <c r="AF156" s="225"/>
      <c r="AG156" s="218"/>
      <c r="AH156" s="226"/>
      <c r="AI156" s="218">
        <f t="shared" si="132"/>
        <v>-123.25</v>
      </c>
      <c r="AJ156" s="218">
        <f t="shared" si="102"/>
        <v>0</v>
      </c>
      <c r="AK156" s="224">
        <f t="shared" si="103"/>
        <v>0</v>
      </c>
      <c r="AL156" s="220">
        <f t="shared" si="104"/>
        <v>2.8</v>
      </c>
      <c r="AM156" s="218">
        <f t="shared" si="105"/>
        <v>0</v>
      </c>
      <c r="AN156" s="218">
        <f t="shared" si="106"/>
        <v>0</v>
      </c>
      <c r="AO156" s="218">
        <f t="shared" si="107"/>
        <v>0</v>
      </c>
      <c r="AP156" s="218">
        <f>ROUND(AV156*'[1]数据-取费表'!$B$41/(1+'[1]数据-取费表'!$B$42),0)</f>
        <v>0</v>
      </c>
      <c r="AQ156" s="218">
        <f>ROUND(AV156*'[1]数据-取费表'!B$51/(1+'[1]数据-取费表'!C$42),0)</f>
        <v>0</v>
      </c>
      <c r="AR156" s="218">
        <f t="shared" si="108"/>
        <v>0</v>
      </c>
      <c r="AS156" s="218">
        <f t="shared" si="120"/>
        <v>0</v>
      </c>
      <c r="AT156" s="223">
        <f t="shared" si="137"/>
        <v>8.77</v>
      </c>
      <c r="AU156" s="224">
        <f t="shared" si="121"/>
        <v>0.23</v>
      </c>
      <c r="AV156" s="218">
        <f t="shared" si="122"/>
        <v>0</v>
      </c>
      <c r="AW156" s="218">
        <f t="shared" si="123"/>
        <v>0</v>
      </c>
      <c r="AX156" s="218">
        <f t="shared" si="109"/>
        <v>0</v>
      </c>
      <c r="AY156" s="218">
        <f t="shared" si="133"/>
        <v>153.44</v>
      </c>
      <c r="AZ156" s="227">
        <f t="shared" si="134"/>
        <v>0</v>
      </c>
      <c r="BA156" s="227">
        <f t="shared" si="124"/>
        <v>0</v>
      </c>
      <c r="BB156" s="229">
        <f t="shared" si="110"/>
        <v>0</v>
      </c>
      <c r="BC156" s="229">
        <f t="shared" si="136"/>
        <v>0</v>
      </c>
      <c r="BD156" s="229">
        <f t="shared" si="125"/>
        <v>0</v>
      </c>
      <c r="BE156" s="227">
        <f t="shared" si="126"/>
        <v>0</v>
      </c>
      <c r="BF156" s="227">
        <f t="shared" si="127"/>
        <v>0</v>
      </c>
      <c r="BG156" s="227">
        <f t="shared" si="111"/>
        <v>0</v>
      </c>
      <c r="BH156" s="227">
        <f t="shared" si="112"/>
        <v>0</v>
      </c>
      <c r="BI156" s="227">
        <f>ROUND(BE156*'[1]数据-取费表'!$B$51/(1+'[1]数据-取费表'!$C$42),0)</f>
        <v>0</v>
      </c>
      <c r="BJ156" s="227">
        <f>ROUND(BG156*'[1]数据-取费表'!B$41/(1+'[1]数据-取费表'!C$42),0)</f>
        <v>0</v>
      </c>
      <c r="BK156" s="227">
        <f t="shared" si="113"/>
        <v>0</v>
      </c>
      <c r="BL156" s="227">
        <f t="shared" si="114"/>
        <v>0</v>
      </c>
      <c r="BM156" s="227">
        <f t="shared" si="128"/>
        <v>0</v>
      </c>
      <c r="BN156" s="228">
        <f t="shared" si="115"/>
        <v>0</v>
      </c>
      <c r="BO156" s="229"/>
      <c r="BP156" s="229"/>
      <c r="BQ156" s="229"/>
      <c r="BR156" s="194"/>
    </row>
    <row r="157" spans="1:71" x14ac:dyDescent="0.2">
      <c r="A157" s="146">
        <v>140</v>
      </c>
      <c r="B157" s="125" t="s">
        <v>82</v>
      </c>
      <c r="C157" s="126" t="s">
        <v>85</v>
      </c>
      <c r="D157" s="127">
        <v>2011</v>
      </c>
      <c r="E157" s="127">
        <v>140.66999999999999</v>
      </c>
      <c r="F157" s="127" t="s">
        <v>83</v>
      </c>
      <c r="G157" s="127" t="s">
        <v>75</v>
      </c>
      <c r="H157" s="128">
        <v>56009</v>
      </c>
      <c r="I157" s="128">
        <v>44987</v>
      </c>
      <c r="J157" s="127">
        <f>IF(F157="商业",[1]项目基本情况!D$15,[1]项目基本情况!E$15)</f>
        <v>30.19</v>
      </c>
      <c r="K157" s="127" t="s">
        <v>84</v>
      </c>
      <c r="L157" s="218"/>
      <c r="M157" s="127">
        <v>17</v>
      </c>
      <c r="N157" s="127" t="s">
        <v>12</v>
      </c>
      <c r="O157" s="127">
        <v>2008</v>
      </c>
      <c r="P157" s="218">
        <f t="shared" si="98"/>
        <v>0</v>
      </c>
      <c r="Q157" s="218">
        <f>ROUND(P157*'[1]数据-取费表'!B$52,0)</f>
        <v>0</v>
      </c>
      <c r="R157" s="218">
        <f t="shared" si="130"/>
        <v>0</v>
      </c>
      <c r="S157" s="218">
        <f t="shared" si="116"/>
        <v>0</v>
      </c>
      <c r="T157" s="220">
        <v>0.8</v>
      </c>
      <c r="U157" s="218">
        <f t="shared" si="131"/>
        <v>0</v>
      </c>
      <c r="V157" s="218">
        <f t="shared" si="99"/>
        <v>0</v>
      </c>
      <c r="W157" s="218">
        <f t="shared" si="117"/>
        <v>0</v>
      </c>
      <c r="X157" s="218">
        <f>ROUND(AC157*'[1]数据-取费表'!$B$41/(1+'[1]数据-取费表'!$C$42),0)</f>
        <v>0</v>
      </c>
      <c r="Y157" s="218">
        <f>ROUND(AC157*'[1]数据-取费表'!$B$51/(1+'[1]数据-取费表'!$C$42),0)</f>
        <v>0</v>
      </c>
      <c r="Z157" s="218">
        <f t="shared" si="100"/>
        <v>0</v>
      </c>
      <c r="AA157" s="218">
        <f t="shared" si="101"/>
        <v>0</v>
      </c>
      <c r="AB157" s="240">
        <f t="shared" si="129"/>
        <v>8.77</v>
      </c>
      <c r="AC157" s="218"/>
      <c r="AD157" s="218">
        <f t="shared" si="118"/>
        <v>0</v>
      </c>
      <c r="AE157" s="218">
        <f t="shared" si="119"/>
        <v>0</v>
      </c>
      <c r="AF157" s="225"/>
      <c r="AG157" s="218"/>
      <c r="AH157" s="226"/>
      <c r="AI157" s="218">
        <f t="shared" si="132"/>
        <v>-123.25</v>
      </c>
      <c r="AJ157" s="218">
        <f t="shared" si="102"/>
        <v>0</v>
      </c>
      <c r="AK157" s="224">
        <f t="shared" si="103"/>
        <v>0</v>
      </c>
      <c r="AL157" s="220">
        <f t="shared" si="104"/>
        <v>2.8</v>
      </c>
      <c r="AM157" s="218">
        <f t="shared" si="105"/>
        <v>0</v>
      </c>
      <c r="AN157" s="218">
        <f t="shared" si="106"/>
        <v>0</v>
      </c>
      <c r="AO157" s="218">
        <f t="shared" si="107"/>
        <v>0</v>
      </c>
      <c r="AP157" s="218">
        <f>ROUND(AV157*'[1]数据-取费表'!$B$41/(1+'[1]数据-取费表'!$B$42),0)</f>
        <v>0</v>
      </c>
      <c r="AQ157" s="218">
        <f>ROUND(AV157*'[1]数据-取费表'!B$51/(1+'[1]数据-取费表'!C$42),0)</f>
        <v>0</v>
      </c>
      <c r="AR157" s="218">
        <f t="shared" si="108"/>
        <v>0</v>
      </c>
      <c r="AS157" s="218">
        <f t="shared" si="120"/>
        <v>0</v>
      </c>
      <c r="AT157" s="223">
        <f t="shared" si="137"/>
        <v>8.77</v>
      </c>
      <c r="AU157" s="224">
        <f t="shared" si="121"/>
        <v>0.23</v>
      </c>
      <c r="AV157" s="218">
        <f t="shared" si="122"/>
        <v>0</v>
      </c>
      <c r="AW157" s="218">
        <f t="shared" si="123"/>
        <v>0</v>
      </c>
      <c r="AX157" s="218">
        <f t="shared" si="109"/>
        <v>0</v>
      </c>
      <c r="AY157" s="218">
        <f t="shared" si="133"/>
        <v>153.44</v>
      </c>
      <c r="AZ157" s="227">
        <f t="shared" si="134"/>
        <v>0</v>
      </c>
      <c r="BA157" s="227">
        <f t="shared" si="124"/>
        <v>0</v>
      </c>
      <c r="BB157" s="229">
        <f t="shared" si="110"/>
        <v>0</v>
      </c>
      <c r="BC157" s="229">
        <f t="shared" si="136"/>
        <v>0</v>
      </c>
      <c r="BD157" s="229">
        <f t="shared" si="125"/>
        <v>0</v>
      </c>
      <c r="BE157" s="227">
        <f t="shared" si="126"/>
        <v>0</v>
      </c>
      <c r="BF157" s="227">
        <f t="shared" si="127"/>
        <v>0</v>
      </c>
      <c r="BG157" s="227">
        <f t="shared" si="111"/>
        <v>0</v>
      </c>
      <c r="BH157" s="227">
        <f t="shared" si="112"/>
        <v>0</v>
      </c>
      <c r="BI157" s="227">
        <f>ROUND(BE157*'[1]数据-取费表'!$B$51/(1+'[1]数据-取费表'!$C$42),0)</f>
        <v>0</v>
      </c>
      <c r="BJ157" s="227">
        <f>ROUND(BG157*'[1]数据-取费表'!B$41/(1+'[1]数据-取费表'!C$42),0)</f>
        <v>0</v>
      </c>
      <c r="BK157" s="227">
        <f t="shared" si="113"/>
        <v>0</v>
      </c>
      <c r="BL157" s="227">
        <f t="shared" si="114"/>
        <v>0</v>
      </c>
      <c r="BM157" s="227">
        <f t="shared" si="128"/>
        <v>0</v>
      </c>
      <c r="BN157" s="228">
        <f t="shared" si="115"/>
        <v>0</v>
      </c>
      <c r="BO157" s="229"/>
      <c r="BP157" s="229"/>
      <c r="BQ157" s="229"/>
      <c r="BR157" s="194"/>
    </row>
    <row r="158" spans="1:71" x14ac:dyDescent="0.2">
      <c r="A158" s="146">
        <v>141</v>
      </c>
      <c r="B158" s="125" t="s">
        <v>82</v>
      </c>
      <c r="C158" s="126" t="s">
        <v>85</v>
      </c>
      <c r="D158" s="127">
        <v>2012</v>
      </c>
      <c r="E158" s="127">
        <v>210.76</v>
      </c>
      <c r="F158" s="127" t="s">
        <v>83</v>
      </c>
      <c r="G158" s="127" t="s">
        <v>75</v>
      </c>
      <c r="H158" s="128">
        <v>56009</v>
      </c>
      <c r="I158" s="128">
        <v>44987</v>
      </c>
      <c r="J158" s="127">
        <f>IF(F158="商业",[1]项目基本情况!D$15,[1]项目基本情况!E$15)</f>
        <v>30.19</v>
      </c>
      <c r="K158" s="127" t="s">
        <v>84</v>
      </c>
      <c r="L158" s="218"/>
      <c r="M158" s="127">
        <v>17</v>
      </c>
      <c r="N158" s="127" t="s">
        <v>12</v>
      </c>
      <c r="O158" s="127">
        <v>2008</v>
      </c>
      <c r="P158" s="218">
        <f t="shared" si="98"/>
        <v>0</v>
      </c>
      <c r="Q158" s="218">
        <f>ROUND(P158*'[1]数据-取费表'!B$52,0)</f>
        <v>0</v>
      </c>
      <c r="R158" s="218">
        <f t="shared" si="130"/>
        <v>0</v>
      </c>
      <c r="S158" s="218">
        <f t="shared" si="116"/>
        <v>0</v>
      </c>
      <c r="T158" s="220">
        <v>0.8</v>
      </c>
      <c r="U158" s="218">
        <f t="shared" si="131"/>
        <v>0</v>
      </c>
      <c r="V158" s="218">
        <f t="shared" si="99"/>
        <v>0</v>
      </c>
      <c r="W158" s="218">
        <f t="shared" si="117"/>
        <v>0</v>
      </c>
      <c r="X158" s="218">
        <f>ROUND(AC158*'[1]数据-取费表'!$B$41/(1+'[1]数据-取费表'!$C$42),0)</f>
        <v>0</v>
      </c>
      <c r="Y158" s="218">
        <f>ROUND(AC158*'[1]数据-取费表'!$B$51/(1+'[1]数据-取费表'!$C$42),0)</f>
        <v>0</v>
      </c>
      <c r="Z158" s="218">
        <f t="shared" si="100"/>
        <v>0</v>
      </c>
      <c r="AA158" s="218">
        <f t="shared" si="101"/>
        <v>0</v>
      </c>
      <c r="AB158" s="240">
        <f t="shared" si="129"/>
        <v>8.77</v>
      </c>
      <c r="AC158" s="218"/>
      <c r="AD158" s="218">
        <f t="shared" si="118"/>
        <v>0</v>
      </c>
      <c r="AE158" s="218">
        <f t="shared" si="119"/>
        <v>0</v>
      </c>
      <c r="AF158" s="225"/>
      <c r="AG158" s="218"/>
      <c r="AH158" s="226"/>
      <c r="AI158" s="218">
        <f t="shared" si="132"/>
        <v>-123.25</v>
      </c>
      <c r="AJ158" s="218">
        <f t="shared" si="102"/>
        <v>0</v>
      </c>
      <c r="AK158" s="224">
        <f t="shared" si="103"/>
        <v>0</v>
      </c>
      <c r="AL158" s="220">
        <f t="shared" si="104"/>
        <v>2.8</v>
      </c>
      <c r="AM158" s="218">
        <f t="shared" si="105"/>
        <v>0</v>
      </c>
      <c r="AN158" s="218">
        <f t="shared" si="106"/>
        <v>0</v>
      </c>
      <c r="AO158" s="218">
        <f t="shared" si="107"/>
        <v>0</v>
      </c>
      <c r="AP158" s="218">
        <f>ROUND(AV158*'[1]数据-取费表'!$B$41/(1+'[1]数据-取费表'!$B$42),0)</f>
        <v>0</v>
      </c>
      <c r="AQ158" s="218">
        <f>ROUND(AV158*'[1]数据-取费表'!B$51/(1+'[1]数据-取费表'!C$42),0)</f>
        <v>0</v>
      </c>
      <c r="AR158" s="218">
        <f t="shared" si="108"/>
        <v>0</v>
      </c>
      <c r="AS158" s="218">
        <f t="shared" si="120"/>
        <v>0</v>
      </c>
      <c r="AT158" s="223">
        <f t="shared" si="137"/>
        <v>8.77</v>
      </c>
      <c r="AU158" s="224">
        <f t="shared" si="121"/>
        <v>0.23</v>
      </c>
      <c r="AV158" s="218">
        <f t="shared" si="122"/>
        <v>0</v>
      </c>
      <c r="AW158" s="218">
        <f t="shared" si="123"/>
        <v>0</v>
      </c>
      <c r="AX158" s="218">
        <f t="shared" si="109"/>
        <v>0</v>
      </c>
      <c r="AY158" s="218">
        <f t="shared" si="133"/>
        <v>153.44</v>
      </c>
      <c r="AZ158" s="227">
        <f t="shared" si="134"/>
        <v>0</v>
      </c>
      <c r="BA158" s="227">
        <f t="shared" si="124"/>
        <v>0</v>
      </c>
      <c r="BB158" s="229">
        <f t="shared" si="110"/>
        <v>0</v>
      </c>
      <c r="BC158" s="229">
        <f t="shared" si="136"/>
        <v>0</v>
      </c>
      <c r="BD158" s="229">
        <f t="shared" si="125"/>
        <v>0</v>
      </c>
      <c r="BE158" s="227">
        <f t="shared" si="126"/>
        <v>0</v>
      </c>
      <c r="BF158" s="227">
        <f t="shared" si="127"/>
        <v>0</v>
      </c>
      <c r="BG158" s="227">
        <f t="shared" si="111"/>
        <v>0</v>
      </c>
      <c r="BH158" s="227">
        <f t="shared" si="112"/>
        <v>0</v>
      </c>
      <c r="BI158" s="227">
        <f>ROUND(BE158*'[1]数据-取费表'!$B$51/(1+'[1]数据-取费表'!$C$42),0)</f>
        <v>0</v>
      </c>
      <c r="BJ158" s="227">
        <f>ROUND(BG158*'[1]数据-取费表'!B$41/(1+'[1]数据-取费表'!C$42),0)</f>
        <v>0</v>
      </c>
      <c r="BK158" s="227">
        <f t="shared" si="113"/>
        <v>0</v>
      </c>
      <c r="BL158" s="227">
        <f t="shared" si="114"/>
        <v>0</v>
      </c>
      <c r="BM158" s="227">
        <f t="shared" si="128"/>
        <v>0</v>
      </c>
      <c r="BN158" s="228">
        <f t="shared" si="115"/>
        <v>0</v>
      </c>
      <c r="BO158" s="229"/>
      <c r="BP158" s="229"/>
      <c r="BQ158" s="229"/>
      <c r="BR158" s="194"/>
    </row>
    <row r="159" spans="1:71" x14ac:dyDescent="0.2">
      <c r="A159" s="146">
        <v>142</v>
      </c>
      <c r="B159" s="125" t="s">
        <v>82</v>
      </c>
      <c r="C159" s="126" t="s">
        <v>85</v>
      </c>
      <c r="D159" s="127">
        <v>2002</v>
      </c>
      <c r="E159" s="127">
        <v>216.1</v>
      </c>
      <c r="F159" s="127" t="s">
        <v>83</v>
      </c>
      <c r="G159" s="127" t="s">
        <v>75</v>
      </c>
      <c r="H159" s="128">
        <v>56009</v>
      </c>
      <c r="I159" s="128">
        <v>44987</v>
      </c>
      <c r="J159" s="127">
        <f>IF(F159="商业",[1]项目基本情况!D$15,[1]项目基本情况!E$15)</f>
        <v>30.19</v>
      </c>
      <c r="K159" s="127"/>
      <c r="L159" s="127">
        <v>216.1</v>
      </c>
      <c r="M159" s="127">
        <v>17</v>
      </c>
      <c r="N159" s="127" t="s">
        <v>12</v>
      </c>
      <c r="O159" s="127">
        <v>2008</v>
      </c>
      <c r="P159" s="129">
        <f t="shared" si="98"/>
        <v>40.39</v>
      </c>
      <c r="Q159" s="129">
        <f>ROUND(P159*'[1]数据-取费表'!B$52,0)</f>
        <v>1212</v>
      </c>
      <c r="R159" s="129">
        <f t="shared" si="130"/>
        <v>2448752</v>
      </c>
      <c r="S159" s="130">
        <f t="shared" si="116"/>
        <v>36731</v>
      </c>
      <c r="T159" s="131">
        <v>0.8</v>
      </c>
      <c r="U159" s="129">
        <f t="shared" si="131"/>
        <v>1959002</v>
      </c>
      <c r="V159" s="130">
        <f t="shared" si="99"/>
        <v>1959</v>
      </c>
      <c r="W159" s="130">
        <f t="shared" si="117"/>
        <v>3125</v>
      </c>
      <c r="X159" s="129">
        <f>ROUND(AC159*'[1]数据-取费表'!$B$41/(1+'[1]数据-取费表'!$C$42),0)</f>
        <v>33204</v>
      </c>
      <c r="Y159" s="129">
        <f>ROUND(AC159*'[1]数据-取费表'!$B$51/(1+'[1]数据-取费表'!$C$42),0)</f>
        <v>71151</v>
      </c>
      <c r="Z159" s="129">
        <f t="shared" si="100"/>
        <v>105567</v>
      </c>
      <c r="AA159" s="130">
        <f t="shared" si="101"/>
        <v>147382</v>
      </c>
      <c r="AB159" s="132">
        <f t="shared" si="129"/>
        <v>8.77</v>
      </c>
      <c r="AC159" s="129">
        <f t="shared" ref="AC159:AC169" si="139">ROUND(AB159*365*L159*(1-I$2),0)</f>
        <v>622572</v>
      </c>
      <c r="AD159" s="129">
        <f t="shared" si="118"/>
        <v>2335</v>
      </c>
      <c r="AE159" s="129">
        <f t="shared" si="119"/>
        <v>624907</v>
      </c>
      <c r="AF159" s="133">
        <f t="shared" ref="AF159:AF169" si="140">H$2</f>
        <v>0.03</v>
      </c>
      <c r="AG159" s="134"/>
      <c r="AH159" s="128">
        <f t="shared" ref="AH159:AH169" si="141">H159</f>
        <v>56009</v>
      </c>
      <c r="AI159" s="127">
        <f t="shared" si="132"/>
        <v>30.19</v>
      </c>
      <c r="AJ159" s="130">
        <f t="shared" si="102"/>
        <v>477525</v>
      </c>
      <c r="AK159" s="135">
        <f t="shared" si="103"/>
        <v>9840804</v>
      </c>
      <c r="AL159" s="131">
        <f t="shared" si="104"/>
        <v>0.25</v>
      </c>
      <c r="AM159" s="129">
        <f t="shared" si="105"/>
        <v>0</v>
      </c>
      <c r="AN159" s="130">
        <f t="shared" si="106"/>
        <v>0</v>
      </c>
      <c r="AO159" s="130">
        <f t="shared" si="107"/>
        <v>0</v>
      </c>
      <c r="AP159" s="129">
        <f>ROUND(AV159*'[1]数据-取费表'!$B$41/(1+'[1]数据-取费表'!$B$42),0)</f>
        <v>0</v>
      </c>
      <c r="AQ159" s="129">
        <f>ROUND(AV159*'[1]数据-取费表'!B$51/(1+'[1]数据-取费表'!C$42),0)</f>
        <v>0</v>
      </c>
      <c r="AR159" s="136">
        <f t="shared" si="108"/>
        <v>0</v>
      </c>
      <c r="AS159" s="130">
        <f t="shared" si="120"/>
        <v>0</v>
      </c>
      <c r="AT159" s="137">
        <f t="shared" si="137"/>
        <v>8.77</v>
      </c>
      <c r="AU159" s="138">
        <f t="shared" si="121"/>
        <v>21.41</v>
      </c>
      <c r="AV159" s="129">
        <f t="shared" si="122"/>
        <v>0</v>
      </c>
      <c r="AW159" s="129">
        <f t="shared" si="123"/>
        <v>0</v>
      </c>
      <c r="AX159" s="129">
        <f t="shared" si="109"/>
        <v>0</v>
      </c>
      <c r="AY159" s="127">
        <f t="shared" si="133"/>
        <v>0</v>
      </c>
      <c r="AZ159" s="139">
        <f t="shared" si="134"/>
        <v>0</v>
      </c>
      <c r="BA159" s="139">
        <f t="shared" si="124"/>
        <v>0</v>
      </c>
      <c r="BB159" s="140">
        <f t="shared" si="110"/>
        <v>0</v>
      </c>
      <c r="BC159" s="140">
        <f t="shared" si="136"/>
        <v>146300</v>
      </c>
      <c r="BD159" s="140">
        <f t="shared" si="125"/>
        <v>998.71</v>
      </c>
      <c r="BE159" s="139">
        <f t="shared" si="126"/>
        <v>0</v>
      </c>
      <c r="BF159" s="139">
        <f t="shared" si="127"/>
        <v>0</v>
      </c>
      <c r="BG159" s="139">
        <f t="shared" si="111"/>
        <v>0</v>
      </c>
      <c r="BH159" s="139">
        <f t="shared" si="112"/>
        <v>0</v>
      </c>
      <c r="BI159" s="139">
        <f>ROUND(BE159*'[1]数据-取费表'!$B$51/(1+'[1]数据-取费表'!$C$42),0)</f>
        <v>0</v>
      </c>
      <c r="BJ159" s="139">
        <f>ROUND(BG159*'[1]数据-取费表'!B$41/(1+'[1]数据-取费表'!C$42),0)</f>
        <v>0</v>
      </c>
      <c r="BK159" s="139">
        <f t="shared" si="113"/>
        <v>0</v>
      </c>
      <c r="BL159" s="139">
        <f t="shared" si="114"/>
        <v>0</v>
      </c>
      <c r="BM159" s="139">
        <f t="shared" si="128"/>
        <v>0</v>
      </c>
      <c r="BN159" s="165">
        <f t="shared" si="115"/>
        <v>0</v>
      </c>
      <c r="BO159" s="140">
        <f t="shared" ref="BO159:BO170" si="142">BD159/$BD$234*$BS$3</f>
        <v>1387.3340183243376</v>
      </c>
      <c r="BP159" s="229"/>
      <c r="BQ159" s="229"/>
      <c r="BR159" s="194"/>
    </row>
    <row r="160" spans="1:71" x14ac:dyDescent="0.2">
      <c r="A160" s="146">
        <v>143</v>
      </c>
      <c r="B160" s="125" t="s">
        <v>82</v>
      </c>
      <c r="C160" s="126" t="s">
        <v>85</v>
      </c>
      <c r="D160" s="127">
        <v>2003</v>
      </c>
      <c r="E160" s="127">
        <v>133.08000000000001</v>
      </c>
      <c r="F160" s="127" t="s">
        <v>83</v>
      </c>
      <c r="G160" s="127" t="s">
        <v>75</v>
      </c>
      <c r="H160" s="128">
        <v>56009</v>
      </c>
      <c r="I160" s="128">
        <v>44987</v>
      </c>
      <c r="J160" s="127">
        <f>IF(F160="商业",[1]项目基本情况!D$15,[1]项目基本情况!E$15)</f>
        <v>30.19</v>
      </c>
      <c r="K160" s="127"/>
      <c r="L160" s="127">
        <v>133.08000000000001</v>
      </c>
      <c r="M160" s="127">
        <v>17</v>
      </c>
      <c r="N160" s="127" t="s">
        <v>12</v>
      </c>
      <c r="O160" s="127">
        <v>2008</v>
      </c>
      <c r="P160" s="129">
        <f t="shared" si="98"/>
        <v>24.87</v>
      </c>
      <c r="Q160" s="129">
        <f>ROUND(P160*'[1]数据-取费表'!B$52,0)</f>
        <v>746</v>
      </c>
      <c r="R160" s="129">
        <f t="shared" si="130"/>
        <v>1508005</v>
      </c>
      <c r="S160" s="130">
        <f t="shared" si="116"/>
        <v>22620</v>
      </c>
      <c r="T160" s="131">
        <v>0.8</v>
      </c>
      <c r="U160" s="129">
        <f t="shared" si="131"/>
        <v>1206404</v>
      </c>
      <c r="V160" s="130">
        <f t="shared" si="99"/>
        <v>1206</v>
      </c>
      <c r="W160" s="130">
        <f t="shared" si="117"/>
        <v>1924</v>
      </c>
      <c r="X160" s="129">
        <f>ROUND(AC160*'[1]数据-取费表'!$B$41/(1+'[1]数据-取费表'!$C$42),0)</f>
        <v>20448</v>
      </c>
      <c r="Y160" s="129">
        <f>ROUND(AC160*'[1]数据-取费表'!$B$51/(1+'[1]数据-取费表'!$C$42),0)</f>
        <v>43817</v>
      </c>
      <c r="Z160" s="129">
        <f t="shared" si="100"/>
        <v>65011</v>
      </c>
      <c r="AA160" s="130">
        <f t="shared" si="101"/>
        <v>90761</v>
      </c>
      <c r="AB160" s="132">
        <f t="shared" si="129"/>
        <v>8.77</v>
      </c>
      <c r="AC160" s="129">
        <f t="shared" si="139"/>
        <v>383396</v>
      </c>
      <c r="AD160" s="129">
        <f t="shared" si="118"/>
        <v>1438</v>
      </c>
      <c r="AE160" s="129">
        <f t="shared" si="119"/>
        <v>384834</v>
      </c>
      <c r="AF160" s="133">
        <f t="shared" si="140"/>
        <v>0.03</v>
      </c>
      <c r="AG160" s="134"/>
      <c r="AH160" s="128">
        <f t="shared" si="141"/>
        <v>56009</v>
      </c>
      <c r="AI160" s="127">
        <f t="shared" si="132"/>
        <v>30.19</v>
      </c>
      <c r="AJ160" s="130">
        <f t="shared" si="102"/>
        <v>294073</v>
      </c>
      <c r="AK160" s="135">
        <f t="shared" si="103"/>
        <v>6060237</v>
      </c>
      <c r="AL160" s="131">
        <f t="shared" si="104"/>
        <v>0.25</v>
      </c>
      <c r="AM160" s="129">
        <f t="shared" si="105"/>
        <v>0</v>
      </c>
      <c r="AN160" s="130">
        <f t="shared" si="106"/>
        <v>0</v>
      </c>
      <c r="AO160" s="130">
        <f t="shared" si="107"/>
        <v>0</v>
      </c>
      <c r="AP160" s="129">
        <f>ROUND(AV160*'[1]数据-取费表'!$B$41/(1+'[1]数据-取费表'!$B$42),0)</f>
        <v>0</v>
      </c>
      <c r="AQ160" s="129">
        <f>ROUND(AV160*'[1]数据-取费表'!B$51/(1+'[1]数据-取费表'!C$42),0)</f>
        <v>0</v>
      </c>
      <c r="AR160" s="136">
        <f t="shared" si="108"/>
        <v>0</v>
      </c>
      <c r="AS160" s="130">
        <f t="shared" si="120"/>
        <v>0</v>
      </c>
      <c r="AT160" s="137">
        <f t="shared" si="137"/>
        <v>8.77</v>
      </c>
      <c r="AU160" s="138">
        <f t="shared" si="121"/>
        <v>21.41</v>
      </c>
      <c r="AV160" s="129">
        <f t="shared" si="122"/>
        <v>0</v>
      </c>
      <c r="AW160" s="129">
        <f t="shared" si="123"/>
        <v>0</v>
      </c>
      <c r="AX160" s="129">
        <f t="shared" si="109"/>
        <v>0</v>
      </c>
      <c r="AY160" s="127">
        <f t="shared" si="133"/>
        <v>0</v>
      </c>
      <c r="AZ160" s="139">
        <f t="shared" si="134"/>
        <v>0</v>
      </c>
      <c r="BA160" s="139">
        <f t="shared" si="124"/>
        <v>0</v>
      </c>
      <c r="BB160" s="140">
        <f t="shared" si="110"/>
        <v>0</v>
      </c>
      <c r="BC160" s="140">
        <f t="shared" si="136"/>
        <v>90095</v>
      </c>
      <c r="BD160" s="140">
        <f t="shared" si="125"/>
        <v>615.03</v>
      </c>
      <c r="BE160" s="139">
        <f t="shared" si="126"/>
        <v>0</v>
      </c>
      <c r="BF160" s="139">
        <f t="shared" si="127"/>
        <v>0</v>
      </c>
      <c r="BG160" s="139">
        <f t="shared" si="111"/>
        <v>0</v>
      </c>
      <c r="BH160" s="139">
        <f t="shared" si="112"/>
        <v>0</v>
      </c>
      <c r="BI160" s="139">
        <f>ROUND(BE160*'[1]数据-取费表'!$B$51/(1+'[1]数据-取费表'!$C$42),0)</f>
        <v>0</v>
      </c>
      <c r="BJ160" s="139">
        <f>ROUND(BG160*'[1]数据-取费表'!B$41/(1+'[1]数据-取费表'!C$42),0)</f>
        <v>0</v>
      </c>
      <c r="BK160" s="139">
        <f t="shared" si="113"/>
        <v>0</v>
      </c>
      <c r="BL160" s="139">
        <f t="shared" si="114"/>
        <v>0</v>
      </c>
      <c r="BM160" s="139">
        <f t="shared" si="128"/>
        <v>0</v>
      </c>
      <c r="BN160" s="165">
        <f t="shared" si="115"/>
        <v>0</v>
      </c>
      <c r="BO160" s="140">
        <f t="shared" si="142"/>
        <v>854.3541581540361</v>
      </c>
      <c r="BP160" s="229"/>
      <c r="BQ160" s="229"/>
      <c r="BR160" s="194"/>
    </row>
    <row r="161" spans="1:71" x14ac:dyDescent="0.2">
      <c r="A161" s="146">
        <v>144</v>
      </c>
      <c r="B161" s="125" t="s">
        <v>82</v>
      </c>
      <c r="C161" s="126" t="s">
        <v>85</v>
      </c>
      <c r="D161" s="127">
        <v>2005</v>
      </c>
      <c r="E161" s="127">
        <v>196.54</v>
      </c>
      <c r="F161" s="127" t="s">
        <v>83</v>
      </c>
      <c r="G161" s="127" t="s">
        <v>75</v>
      </c>
      <c r="H161" s="128">
        <v>56009</v>
      </c>
      <c r="I161" s="128">
        <v>44987</v>
      </c>
      <c r="J161" s="127">
        <f>IF(F161="商业",[1]项目基本情况!D$15,[1]项目基本情况!E$15)</f>
        <v>30.19</v>
      </c>
      <c r="K161" s="127"/>
      <c r="L161" s="127">
        <v>196.54</v>
      </c>
      <c r="M161" s="127">
        <v>17</v>
      </c>
      <c r="N161" s="127" t="s">
        <v>12</v>
      </c>
      <c r="O161" s="127">
        <v>2008</v>
      </c>
      <c r="P161" s="129">
        <f t="shared" si="98"/>
        <v>36.74</v>
      </c>
      <c r="Q161" s="129">
        <f>ROUND(P161*'[1]数据-取费表'!B$52,0)</f>
        <v>1102</v>
      </c>
      <c r="R161" s="129">
        <f t="shared" si="130"/>
        <v>2227107</v>
      </c>
      <c r="S161" s="130">
        <f t="shared" si="116"/>
        <v>33407</v>
      </c>
      <c r="T161" s="131">
        <v>0.8</v>
      </c>
      <c r="U161" s="129">
        <f t="shared" si="131"/>
        <v>1781686</v>
      </c>
      <c r="V161" s="130">
        <f t="shared" si="99"/>
        <v>1782</v>
      </c>
      <c r="W161" s="130">
        <f t="shared" si="117"/>
        <v>2842</v>
      </c>
      <c r="X161" s="129">
        <f>ROUND(AC161*'[1]数据-取费表'!$B$41/(1+'[1]数据-取费表'!$C$42),0)</f>
        <v>30198</v>
      </c>
      <c r="Y161" s="129">
        <f>ROUND(AC161*'[1]数据-取费表'!$B$51/(1+'[1]数据-取费表'!$C$42),0)</f>
        <v>64711</v>
      </c>
      <c r="Z161" s="129">
        <f t="shared" si="100"/>
        <v>96011</v>
      </c>
      <c r="AA161" s="130">
        <f t="shared" si="101"/>
        <v>134042</v>
      </c>
      <c r="AB161" s="132">
        <f t="shared" si="129"/>
        <v>8.77</v>
      </c>
      <c r="AC161" s="129">
        <f t="shared" si="139"/>
        <v>566221</v>
      </c>
      <c r="AD161" s="129">
        <f t="shared" si="118"/>
        <v>2123</v>
      </c>
      <c r="AE161" s="129">
        <f t="shared" si="119"/>
        <v>568344</v>
      </c>
      <c r="AF161" s="133">
        <f t="shared" si="140"/>
        <v>0.03</v>
      </c>
      <c r="AG161" s="134"/>
      <c r="AH161" s="128">
        <f t="shared" si="141"/>
        <v>56009</v>
      </c>
      <c r="AI161" s="127">
        <f t="shared" si="132"/>
        <v>30.19</v>
      </c>
      <c r="AJ161" s="130">
        <f t="shared" si="102"/>
        <v>434302</v>
      </c>
      <c r="AK161" s="135">
        <f t="shared" si="103"/>
        <v>8950068</v>
      </c>
      <c r="AL161" s="131">
        <f t="shared" si="104"/>
        <v>0.25</v>
      </c>
      <c r="AM161" s="129">
        <f t="shared" si="105"/>
        <v>0</v>
      </c>
      <c r="AN161" s="130">
        <f t="shared" si="106"/>
        <v>0</v>
      </c>
      <c r="AO161" s="130">
        <f t="shared" si="107"/>
        <v>0</v>
      </c>
      <c r="AP161" s="129">
        <f>ROUND(AV161*'[1]数据-取费表'!$B$41/(1+'[1]数据-取费表'!$B$42),0)</f>
        <v>0</v>
      </c>
      <c r="AQ161" s="129">
        <f>ROUND(AV161*'[1]数据-取费表'!B$51/(1+'[1]数据-取费表'!C$42),0)</f>
        <v>0</v>
      </c>
      <c r="AR161" s="136">
        <f t="shared" si="108"/>
        <v>0</v>
      </c>
      <c r="AS161" s="130">
        <f t="shared" si="120"/>
        <v>0</v>
      </c>
      <c r="AT161" s="137">
        <f t="shared" si="137"/>
        <v>8.77</v>
      </c>
      <c r="AU161" s="138">
        <f t="shared" si="121"/>
        <v>21.41</v>
      </c>
      <c r="AV161" s="129">
        <f t="shared" si="122"/>
        <v>0</v>
      </c>
      <c r="AW161" s="129">
        <f t="shared" si="123"/>
        <v>0</v>
      </c>
      <c r="AX161" s="129">
        <f t="shared" si="109"/>
        <v>0</v>
      </c>
      <c r="AY161" s="127">
        <f t="shared" si="133"/>
        <v>0</v>
      </c>
      <c r="AZ161" s="139">
        <f t="shared" si="134"/>
        <v>0</v>
      </c>
      <c r="BA161" s="139">
        <f t="shared" si="124"/>
        <v>0</v>
      </c>
      <c r="BB161" s="140">
        <f t="shared" si="110"/>
        <v>0</v>
      </c>
      <c r="BC161" s="140">
        <f t="shared" si="136"/>
        <v>133058</v>
      </c>
      <c r="BD161" s="140">
        <f t="shared" si="125"/>
        <v>908.31</v>
      </c>
      <c r="BE161" s="139">
        <f t="shared" si="126"/>
        <v>0</v>
      </c>
      <c r="BF161" s="139">
        <f t="shared" si="127"/>
        <v>0</v>
      </c>
      <c r="BG161" s="139">
        <f t="shared" si="111"/>
        <v>0</v>
      </c>
      <c r="BH161" s="139">
        <f t="shared" si="112"/>
        <v>0</v>
      </c>
      <c r="BI161" s="139">
        <f>ROUND(BE161*'[1]数据-取费表'!$B$51/(1+'[1]数据-取费表'!$C$42),0)</f>
        <v>0</v>
      </c>
      <c r="BJ161" s="139">
        <f>ROUND(BG161*'[1]数据-取费表'!B$41/(1+'[1]数据-取费表'!C$42),0)</f>
        <v>0</v>
      </c>
      <c r="BK161" s="139">
        <f t="shared" si="113"/>
        <v>0</v>
      </c>
      <c r="BL161" s="139">
        <f t="shared" si="114"/>
        <v>0</v>
      </c>
      <c r="BM161" s="139">
        <f t="shared" si="128"/>
        <v>0</v>
      </c>
      <c r="BN161" s="165">
        <f t="shared" si="115"/>
        <v>0</v>
      </c>
      <c r="BO161" s="140">
        <f t="shared" si="142"/>
        <v>1261.7570287512681</v>
      </c>
      <c r="BP161" s="229"/>
      <c r="BQ161" s="229"/>
      <c r="BR161" s="194"/>
    </row>
    <row r="162" spans="1:71" x14ac:dyDescent="0.2">
      <c r="A162" s="146">
        <v>145</v>
      </c>
      <c r="B162" s="141" t="s">
        <v>82</v>
      </c>
      <c r="C162" s="142" t="s">
        <v>85</v>
      </c>
      <c r="D162" s="143">
        <v>2201</v>
      </c>
      <c r="E162" s="143">
        <v>134.94</v>
      </c>
      <c r="F162" s="143" t="s">
        <v>83</v>
      </c>
      <c r="G162" s="143" t="s">
        <v>75</v>
      </c>
      <c r="H162" s="144">
        <v>56009</v>
      </c>
      <c r="I162" s="144">
        <v>44987</v>
      </c>
      <c r="J162" s="143">
        <f>IF(F162="商业",[1]项目基本情况!D$15,[1]项目基本情况!E$15)</f>
        <v>30.19</v>
      </c>
      <c r="K162" s="143"/>
      <c r="L162" s="143">
        <v>134.94</v>
      </c>
      <c r="M162" s="143">
        <v>19</v>
      </c>
      <c r="N162" s="143" t="s">
        <v>12</v>
      </c>
      <c r="O162" s="143">
        <v>2008</v>
      </c>
      <c r="P162" s="172">
        <f t="shared" si="98"/>
        <v>25.22</v>
      </c>
      <c r="Q162" s="172">
        <f>ROUND(P162*'[1]数据-取费表'!B$52,0)</f>
        <v>757</v>
      </c>
      <c r="R162" s="172">
        <f t="shared" si="130"/>
        <v>1529082</v>
      </c>
      <c r="S162" s="173">
        <f t="shared" si="116"/>
        <v>22936</v>
      </c>
      <c r="T162" s="174">
        <v>0.8</v>
      </c>
      <c r="U162" s="172">
        <f t="shared" si="131"/>
        <v>1223266</v>
      </c>
      <c r="V162" s="173">
        <f t="shared" si="99"/>
        <v>1223</v>
      </c>
      <c r="W162" s="173">
        <f t="shared" si="117"/>
        <v>1951</v>
      </c>
      <c r="X162" s="172">
        <f>ROUND(AC162*'[1]数据-取费表'!$B$41/(1+'[1]数据-取费表'!$C$42),0)</f>
        <v>20734</v>
      </c>
      <c r="Y162" s="172">
        <f>ROUND(AC162*'[1]数据-取费表'!$B$51/(1+'[1]数据-取费表'!$C$42),0)</f>
        <v>44429</v>
      </c>
      <c r="Z162" s="172">
        <f t="shared" si="100"/>
        <v>65920</v>
      </c>
      <c r="AA162" s="173">
        <f t="shared" si="101"/>
        <v>92030</v>
      </c>
      <c r="AB162" s="175">
        <f t="shared" si="129"/>
        <v>8.77</v>
      </c>
      <c r="AC162" s="172">
        <f t="shared" si="139"/>
        <v>388755</v>
      </c>
      <c r="AD162" s="172">
        <f t="shared" si="118"/>
        <v>1458</v>
      </c>
      <c r="AE162" s="172">
        <f t="shared" si="119"/>
        <v>390213</v>
      </c>
      <c r="AF162" s="176">
        <f t="shared" si="140"/>
        <v>0.03</v>
      </c>
      <c r="AG162" s="177"/>
      <c r="AH162" s="144">
        <f t="shared" si="141"/>
        <v>56009</v>
      </c>
      <c r="AI162" s="143">
        <f t="shared" si="132"/>
        <v>30.19</v>
      </c>
      <c r="AJ162" s="173">
        <f t="shared" si="102"/>
        <v>298183</v>
      </c>
      <c r="AK162" s="178">
        <f t="shared" si="103"/>
        <v>6144936</v>
      </c>
      <c r="AL162" s="174">
        <f t="shared" si="104"/>
        <v>0.25</v>
      </c>
      <c r="AM162" s="172">
        <f t="shared" si="105"/>
        <v>0</v>
      </c>
      <c r="AN162" s="173">
        <f t="shared" si="106"/>
        <v>0</v>
      </c>
      <c r="AO162" s="173">
        <f t="shared" si="107"/>
        <v>0</v>
      </c>
      <c r="AP162" s="172">
        <f>ROUND(AV162*'[1]数据-取费表'!$B$41/(1+'[1]数据-取费表'!$B$42),0)</f>
        <v>0</v>
      </c>
      <c r="AQ162" s="172">
        <f>ROUND(AV162*'[1]数据-取费表'!B$51/(1+'[1]数据-取费表'!C$42),0)</f>
        <v>0</v>
      </c>
      <c r="AR162" s="179">
        <f t="shared" si="108"/>
        <v>0</v>
      </c>
      <c r="AS162" s="173">
        <f t="shared" si="120"/>
        <v>0</v>
      </c>
      <c r="AT162" s="180">
        <f t="shared" si="137"/>
        <v>8.77</v>
      </c>
      <c r="AU162" s="181">
        <f t="shared" si="121"/>
        <v>21.41</v>
      </c>
      <c r="AV162" s="172">
        <f t="shared" si="122"/>
        <v>0</v>
      </c>
      <c r="AW162" s="172">
        <f t="shared" si="123"/>
        <v>0</v>
      </c>
      <c r="AX162" s="172">
        <f t="shared" si="109"/>
        <v>0</v>
      </c>
      <c r="AY162" s="143">
        <f t="shared" si="133"/>
        <v>0</v>
      </c>
      <c r="AZ162" s="182">
        <f t="shared" si="134"/>
        <v>0</v>
      </c>
      <c r="BA162" s="182">
        <f t="shared" si="124"/>
        <v>0</v>
      </c>
      <c r="BB162" s="183">
        <f t="shared" si="110"/>
        <v>0</v>
      </c>
      <c r="BC162" s="183">
        <f t="shared" si="136"/>
        <v>91354</v>
      </c>
      <c r="BD162" s="183">
        <f t="shared" si="125"/>
        <v>623.63</v>
      </c>
      <c r="BE162" s="182">
        <f t="shared" si="126"/>
        <v>0</v>
      </c>
      <c r="BF162" s="182">
        <f t="shared" si="127"/>
        <v>0</v>
      </c>
      <c r="BG162" s="182">
        <f t="shared" si="111"/>
        <v>0</v>
      </c>
      <c r="BH162" s="182">
        <f t="shared" si="112"/>
        <v>0</v>
      </c>
      <c r="BI162" s="182">
        <f>ROUND(BE162*'[1]数据-取费表'!$B$51/(1+'[1]数据-取费表'!$C$42),0)</f>
        <v>0</v>
      </c>
      <c r="BJ162" s="182">
        <f>ROUND(BG162*'[1]数据-取费表'!B$41/(1+'[1]数据-取费表'!C$42),0)</f>
        <v>0</v>
      </c>
      <c r="BK162" s="182">
        <f t="shared" si="113"/>
        <v>0</v>
      </c>
      <c r="BL162" s="182">
        <f t="shared" si="114"/>
        <v>0</v>
      </c>
      <c r="BM162" s="182">
        <f t="shared" si="128"/>
        <v>0</v>
      </c>
      <c r="BN162" s="184">
        <f t="shared" si="115"/>
        <v>0</v>
      </c>
      <c r="BO162" s="183">
        <f t="shared" si="142"/>
        <v>866.30064167536796</v>
      </c>
      <c r="BP162" s="195">
        <f>SUM(BO162:BO172)</f>
        <v>11032.772009588658</v>
      </c>
      <c r="BQ162" s="195">
        <f>ROUND(BP162*10000/BS162,0)</f>
        <v>63941</v>
      </c>
      <c r="BR162" s="195"/>
      <c r="BS162" s="20">
        <f>SUM(E162:E172)</f>
        <v>1725.4600000000003</v>
      </c>
    </row>
    <row r="163" spans="1:71" x14ac:dyDescent="0.2">
      <c r="A163" s="146">
        <v>146</v>
      </c>
      <c r="B163" s="141" t="s">
        <v>82</v>
      </c>
      <c r="C163" s="142" t="s">
        <v>85</v>
      </c>
      <c r="D163" s="143">
        <v>2202</v>
      </c>
      <c r="E163" s="143">
        <v>216.1</v>
      </c>
      <c r="F163" s="143" t="s">
        <v>83</v>
      </c>
      <c r="G163" s="143" t="s">
        <v>75</v>
      </c>
      <c r="H163" s="144">
        <v>56009</v>
      </c>
      <c r="I163" s="144">
        <v>44987</v>
      </c>
      <c r="J163" s="143">
        <f>IF(F163="商业",[1]项目基本情况!D$15,[1]项目基本情况!E$15)</f>
        <v>30.19</v>
      </c>
      <c r="K163" s="143"/>
      <c r="L163" s="143">
        <v>216.1</v>
      </c>
      <c r="M163" s="143">
        <v>19</v>
      </c>
      <c r="N163" s="143" t="s">
        <v>12</v>
      </c>
      <c r="O163" s="143">
        <v>2008</v>
      </c>
      <c r="P163" s="172">
        <f t="shared" si="98"/>
        <v>40.39</v>
      </c>
      <c r="Q163" s="172">
        <f>ROUND(P163*'[1]数据-取费表'!B$52,0)</f>
        <v>1212</v>
      </c>
      <c r="R163" s="172">
        <f t="shared" si="130"/>
        <v>2448752</v>
      </c>
      <c r="S163" s="173">
        <f t="shared" si="116"/>
        <v>36731</v>
      </c>
      <c r="T163" s="174">
        <v>0.8</v>
      </c>
      <c r="U163" s="172">
        <f t="shared" si="131"/>
        <v>1959002</v>
      </c>
      <c r="V163" s="173">
        <f t="shared" si="99"/>
        <v>1959</v>
      </c>
      <c r="W163" s="173">
        <f t="shared" si="117"/>
        <v>3125</v>
      </c>
      <c r="X163" s="172">
        <f>ROUND(AC163*'[1]数据-取费表'!$B$41/(1+'[1]数据-取费表'!$C$42),0)</f>
        <v>33204</v>
      </c>
      <c r="Y163" s="172">
        <f>ROUND(AC163*'[1]数据-取费表'!$B$51/(1+'[1]数据-取费表'!$C$42),0)</f>
        <v>71151</v>
      </c>
      <c r="Z163" s="172">
        <f t="shared" si="100"/>
        <v>105567</v>
      </c>
      <c r="AA163" s="173">
        <f t="shared" si="101"/>
        <v>147382</v>
      </c>
      <c r="AB163" s="175">
        <f t="shared" si="129"/>
        <v>8.77</v>
      </c>
      <c r="AC163" s="172">
        <f t="shared" si="139"/>
        <v>622572</v>
      </c>
      <c r="AD163" s="172">
        <f t="shared" si="118"/>
        <v>2335</v>
      </c>
      <c r="AE163" s="172">
        <f t="shared" si="119"/>
        <v>624907</v>
      </c>
      <c r="AF163" s="176">
        <f t="shared" si="140"/>
        <v>0.03</v>
      </c>
      <c r="AG163" s="177"/>
      <c r="AH163" s="144">
        <f t="shared" si="141"/>
        <v>56009</v>
      </c>
      <c r="AI163" s="143">
        <f t="shared" si="132"/>
        <v>30.19</v>
      </c>
      <c r="AJ163" s="173">
        <f t="shared" si="102"/>
        <v>477525</v>
      </c>
      <c r="AK163" s="178">
        <f t="shared" si="103"/>
        <v>9840804</v>
      </c>
      <c r="AL163" s="174">
        <f t="shared" si="104"/>
        <v>0.25</v>
      </c>
      <c r="AM163" s="172">
        <f t="shared" si="105"/>
        <v>0</v>
      </c>
      <c r="AN163" s="173">
        <f t="shared" si="106"/>
        <v>0</v>
      </c>
      <c r="AO163" s="173">
        <f t="shared" si="107"/>
        <v>0</v>
      </c>
      <c r="AP163" s="172">
        <f>ROUND(AV163*'[1]数据-取费表'!$B$41/(1+'[1]数据-取费表'!$B$42),0)</f>
        <v>0</v>
      </c>
      <c r="AQ163" s="172">
        <f>ROUND(AV163*'[1]数据-取费表'!B$51/(1+'[1]数据-取费表'!C$42),0)</f>
        <v>0</v>
      </c>
      <c r="AR163" s="179">
        <f t="shared" si="108"/>
        <v>0</v>
      </c>
      <c r="AS163" s="173">
        <f t="shared" si="120"/>
        <v>0</v>
      </c>
      <c r="AT163" s="180">
        <f t="shared" si="137"/>
        <v>8.77</v>
      </c>
      <c r="AU163" s="181">
        <f t="shared" si="121"/>
        <v>21.41</v>
      </c>
      <c r="AV163" s="172">
        <f t="shared" si="122"/>
        <v>0</v>
      </c>
      <c r="AW163" s="172">
        <f t="shared" si="123"/>
        <v>0</v>
      </c>
      <c r="AX163" s="172">
        <f t="shared" si="109"/>
        <v>0</v>
      </c>
      <c r="AY163" s="143">
        <f t="shared" si="133"/>
        <v>0</v>
      </c>
      <c r="AZ163" s="182">
        <f t="shared" si="134"/>
        <v>0</v>
      </c>
      <c r="BA163" s="182">
        <f t="shared" si="124"/>
        <v>0</v>
      </c>
      <c r="BB163" s="183">
        <f t="shared" si="110"/>
        <v>0</v>
      </c>
      <c r="BC163" s="183">
        <f t="shared" si="136"/>
        <v>146300</v>
      </c>
      <c r="BD163" s="183">
        <f t="shared" si="125"/>
        <v>998.71</v>
      </c>
      <c r="BE163" s="182">
        <f t="shared" si="126"/>
        <v>0</v>
      </c>
      <c r="BF163" s="182">
        <f t="shared" si="127"/>
        <v>0</v>
      </c>
      <c r="BG163" s="182">
        <f t="shared" si="111"/>
        <v>0</v>
      </c>
      <c r="BH163" s="182">
        <f t="shared" si="112"/>
        <v>0</v>
      </c>
      <c r="BI163" s="182">
        <f>ROUND(BE163*'[1]数据-取费表'!$B$51/(1+'[1]数据-取费表'!$C$42),0)</f>
        <v>0</v>
      </c>
      <c r="BJ163" s="182">
        <f>ROUND(BG163*'[1]数据-取费表'!B$41/(1+'[1]数据-取费表'!C$42),0)</f>
        <v>0</v>
      </c>
      <c r="BK163" s="182">
        <f t="shared" si="113"/>
        <v>0</v>
      </c>
      <c r="BL163" s="182">
        <f t="shared" si="114"/>
        <v>0</v>
      </c>
      <c r="BM163" s="182">
        <f t="shared" si="128"/>
        <v>0</v>
      </c>
      <c r="BN163" s="184">
        <f t="shared" si="115"/>
        <v>0</v>
      </c>
      <c r="BO163" s="183">
        <f t="shared" si="142"/>
        <v>1387.3340183243376</v>
      </c>
      <c r="BP163" s="195"/>
      <c r="BQ163" s="195"/>
      <c r="BR163" s="195"/>
    </row>
    <row r="164" spans="1:71" x14ac:dyDescent="0.2">
      <c r="A164" s="146">
        <v>147</v>
      </c>
      <c r="B164" s="141" t="s">
        <v>82</v>
      </c>
      <c r="C164" s="142" t="s">
        <v>85</v>
      </c>
      <c r="D164" s="143">
        <v>2203</v>
      </c>
      <c r="E164" s="143">
        <v>133.08000000000001</v>
      </c>
      <c r="F164" s="143" t="s">
        <v>83</v>
      </c>
      <c r="G164" s="143" t="s">
        <v>75</v>
      </c>
      <c r="H164" s="144">
        <v>56009</v>
      </c>
      <c r="I164" s="144">
        <v>44987</v>
      </c>
      <c r="J164" s="143">
        <f>IF(F164="商业",[1]项目基本情况!D$15,[1]项目基本情况!E$15)</f>
        <v>30.19</v>
      </c>
      <c r="K164" s="143"/>
      <c r="L164" s="143">
        <v>133.08000000000001</v>
      </c>
      <c r="M164" s="143">
        <v>19</v>
      </c>
      <c r="N164" s="143" t="s">
        <v>12</v>
      </c>
      <c r="O164" s="143">
        <v>2008</v>
      </c>
      <c r="P164" s="172">
        <f t="shared" si="98"/>
        <v>24.87</v>
      </c>
      <c r="Q164" s="172">
        <f>ROUND(P164*'[1]数据-取费表'!B$52,0)</f>
        <v>746</v>
      </c>
      <c r="R164" s="172">
        <f t="shared" si="130"/>
        <v>1508005</v>
      </c>
      <c r="S164" s="173">
        <f t="shared" si="116"/>
        <v>22620</v>
      </c>
      <c r="T164" s="174">
        <v>0.8</v>
      </c>
      <c r="U164" s="172">
        <f t="shared" si="131"/>
        <v>1206404</v>
      </c>
      <c r="V164" s="173">
        <f t="shared" si="99"/>
        <v>1206</v>
      </c>
      <c r="W164" s="173">
        <f t="shared" si="117"/>
        <v>1924</v>
      </c>
      <c r="X164" s="172">
        <f>ROUND(AC164*'[1]数据-取费表'!$B$41/(1+'[1]数据-取费表'!$C$42),0)</f>
        <v>20448</v>
      </c>
      <c r="Y164" s="172">
        <f>ROUND(AC164*'[1]数据-取费表'!$B$51/(1+'[1]数据-取费表'!$C$42),0)</f>
        <v>43817</v>
      </c>
      <c r="Z164" s="172">
        <f t="shared" si="100"/>
        <v>65011</v>
      </c>
      <c r="AA164" s="173">
        <f t="shared" si="101"/>
        <v>90761</v>
      </c>
      <c r="AB164" s="175">
        <f t="shared" si="129"/>
        <v>8.77</v>
      </c>
      <c r="AC164" s="172">
        <f t="shared" si="139"/>
        <v>383396</v>
      </c>
      <c r="AD164" s="172">
        <f t="shared" si="118"/>
        <v>1438</v>
      </c>
      <c r="AE164" s="172">
        <f t="shared" si="119"/>
        <v>384834</v>
      </c>
      <c r="AF164" s="176">
        <f t="shared" si="140"/>
        <v>0.03</v>
      </c>
      <c r="AG164" s="177"/>
      <c r="AH164" s="144">
        <f t="shared" si="141"/>
        <v>56009</v>
      </c>
      <c r="AI164" s="143">
        <f t="shared" si="132"/>
        <v>30.19</v>
      </c>
      <c r="AJ164" s="173">
        <f t="shared" si="102"/>
        <v>294073</v>
      </c>
      <c r="AK164" s="178">
        <f t="shared" si="103"/>
        <v>6060237</v>
      </c>
      <c r="AL164" s="174">
        <f t="shared" si="104"/>
        <v>0.25</v>
      </c>
      <c r="AM164" s="172">
        <f t="shared" si="105"/>
        <v>0</v>
      </c>
      <c r="AN164" s="173">
        <f t="shared" si="106"/>
        <v>0</v>
      </c>
      <c r="AO164" s="173">
        <f t="shared" si="107"/>
        <v>0</v>
      </c>
      <c r="AP164" s="172">
        <f>ROUND(AV164*'[1]数据-取费表'!$B$41/(1+'[1]数据-取费表'!$B$42),0)</f>
        <v>0</v>
      </c>
      <c r="AQ164" s="172">
        <f>ROUND(AV164*'[1]数据-取费表'!B$51/(1+'[1]数据-取费表'!C$42),0)</f>
        <v>0</v>
      </c>
      <c r="AR164" s="179">
        <f t="shared" si="108"/>
        <v>0</v>
      </c>
      <c r="AS164" s="173">
        <f t="shared" si="120"/>
        <v>0</v>
      </c>
      <c r="AT164" s="180">
        <f t="shared" si="137"/>
        <v>8.77</v>
      </c>
      <c r="AU164" s="181">
        <f t="shared" si="121"/>
        <v>21.41</v>
      </c>
      <c r="AV164" s="172">
        <f t="shared" si="122"/>
        <v>0</v>
      </c>
      <c r="AW164" s="172">
        <f t="shared" si="123"/>
        <v>0</v>
      </c>
      <c r="AX164" s="172">
        <f t="shared" si="109"/>
        <v>0</v>
      </c>
      <c r="AY164" s="143">
        <f t="shared" si="133"/>
        <v>0</v>
      </c>
      <c r="AZ164" s="182">
        <f t="shared" si="134"/>
        <v>0</v>
      </c>
      <c r="BA164" s="182">
        <f t="shared" si="124"/>
        <v>0</v>
      </c>
      <c r="BB164" s="183">
        <f t="shared" si="110"/>
        <v>0</v>
      </c>
      <c r="BC164" s="183">
        <f t="shared" si="136"/>
        <v>90095</v>
      </c>
      <c r="BD164" s="183">
        <f t="shared" si="125"/>
        <v>615.03</v>
      </c>
      <c r="BE164" s="182">
        <f t="shared" si="126"/>
        <v>0</v>
      </c>
      <c r="BF164" s="182">
        <f t="shared" si="127"/>
        <v>0</v>
      </c>
      <c r="BG164" s="182">
        <f t="shared" si="111"/>
        <v>0</v>
      </c>
      <c r="BH164" s="182">
        <f t="shared" si="112"/>
        <v>0</v>
      </c>
      <c r="BI164" s="182">
        <f>ROUND(BE164*'[1]数据-取费表'!$B$51/(1+'[1]数据-取费表'!$C$42),0)</f>
        <v>0</v>
      </c>
      <c r="BJ164" s="182">
        <f>ROUND(BG164*'[1]数据-取费表'!B$41/(1+'[1]数据-取费表'!C$42),0)</f>
        <v>0</v>
      </c>
      <c r="BK164" s="182">
        <f t="shared" si="113"/>
        <v>0</v>
      </c>
      <c r="BL164" s="182">
        <f t="shared" si="114"/>
        <v>0</v>
      </c>
      <c r="BM164" s="182">
        <f t="shared" si="128"/>
        <v>0</v>
      </c>
      <c r="BN164" s="184">
        <f t="shared" si="115"/>
        <v>0</v>
      </c>
      <c r="BO164" s="183">
        <f t="shared" si="142"/>
        <v>854.3541581540361</v>
      </c>
      <c r="BP164" s="195"/>
      <c r="BQ164" s="195"/>
      <c r="BR164" s="195"/>
    </row>
    <row r="165" spans="1:71" x14ac:dyDescent="0.2">
      <c r="A165" s="146">
        <v>148</v>
      </c>
      <c r="B165" s="141" t="s">
        <v>82</v>
      </c>
      <c r="C165" s="142" t="s">
        <v>85</v>
      </c>
      <c r="D165" s="143">
        <v>2205</v>
      </c>
      <c r="E165" s="143">
        <v>195.34</v>
      </c>
      <c r="F165" s="143" t="s">
        <v>83</v>
      </c>
      <c r="G165" s="143" t="s">
        <v>75</v>
      </c>
      <c r="H165" s="144">
        <v>56009</v>
      </c>
      <c r="I165" s="144">
        <v>44987</v>
      </c>
      <c r="J165" s="143">
        <f>IF(F165="商业",[1]项目基本情况!D$15,[1]项目基本情况!E$15)</f>
        <v>30.19</v>
      </c>
      <c r="K165" s="143"/>
      <c r="L165" s="143">
        <v>195.34</v>
      </c>
      <c r="M165" s="143">
        <v>19</v>
      </c>
      <c r="N165" s="143" t="s">
        <v>12</v>
      </c>
      <c r="O165" s="143">
        <v>2008</v>
      </c>
      <c r="P165" s="172">
        <f t="shared" si="98"/>
        <v>36.51</v>
      </c>
      <c r="Q165" s="172">
        <f>ROUND(P165*'[1]数据-取费表'!B$52,0)</f>
        <v>1095</v>
      </c>
      <c r="R165" s="172">
        <f t="shared" si="130"/>
        <v>2213509</v>
      </c>
      <c r="S165" s="173">
        <f t="shared" si="116"/>
        <v>33203</v>
      </c>
      <c r="T165" s="174">
        <v>0.8</v>
      </c>
      <c r="U165" s="172">
        <f t="shared" si="131"/>
        <v>1770807</v>
      </c>
      <c r="V165" s="173">
        <f t="shared" si="99"/>
        <v>1771</v>
      </c>
      <c r="W165" s="173">
        <f t="shared" si="117"/>
        <v>2824</v>
      </c>
      <c r="X165" s="172">
        <f>ROUND(AC165*'[1]数据-取费表'!$B$41/(1+'[1]数据-取费表'!$C$42),0)</f>
        <v>30014</v>
      </c>
      <c r="Y165" s="172">
        <f>ROUND(AC165*'[1]数据-取费表'!$B$51/(1+'[1]数据-取费表'!$C$42),0)</f>
        <v>64316</v>
      </c>
      <c r="Z165" s="172">
        <f t="shared" si="100"/>
        <v>95425</v>
      </c>
      <c r="AA165" s="173">
        <f t="shared" si="101"/>
        <v>133223</v>
      </c>
      <c r="AB165" s="175">
        <f t="shared" si="129"/>
        <v>8.77</v>
      </c>
      <c r="AC165" s="172">
        <f t="shared" si="139"/>
        <v>562764</v>
      </c>
      <c r="AD165" s="172">
        <f t="shared" si="118"/>
        <v>2110</v>
      </c>
      <c r="AE165" s="172">
        <f t="shared" si="119"/>
        <v>564874</v>
      </c>
      <c r="AF165" s="176">
        <f t="shared" si="140"/>
        <v>0.03</v>
      </c>
      <c r="AG165" s="177"/>
      <c r="AH165" s="144">
        <f t="shared" si="141"/>
        <v>56009</v>
      </c>
      <c r="AI165" s="143">
        <f t="shared" si="132"/>
        <v>30.19</v>
      </c>
      <c r="AJ165" s="173">
        <f t="shared" si="102"/>
        <v>431651</v>
      </c>
      <c r="AK165" s="178">
        <f t="shared" si="103"/>
        <v>8895436</v>
      </c>
      <c r="AL165" s="174">
        <f t="shared" si="104"/>
        <v>0.25</v>
      </c>
      <c r="AM165" s="172">
        <f t="shared" si="105"/>
        <v>0</v>
      </c>
      <c r="AN165" s="173">
        <f t="shared" si="106"/>
        <v>0</v>
      </c>
      <c r="AO165" s="173">
        <f t="shared" si="107"/>
        <v>0</v>
      </c>
      <c r="AP165" s="172">
        <f>ROUND(AV165*'[1]数据-取费表'!$B$41/(1+'[1]数据-取费表'!$B$42),0)</f>
        <v>0</v>
      </c>
      <c r="AQ165" s="172">
        <f>ROUND(AV165*'[1]数据-取费表'!B$51/(1+'[1]数据-取费表'!C$42),0)</f>
        <v>0</v>
      </c>
      <c r="AR165" s="179">
        <f t="shared" si="108"/>
        <v>0</v>
      </c>
      <c r="AS165" s="173">
        <f t="shared" si="120"/>
        <v>0</v>
      </c>
      <c r="AT165" s="180">
        <f t="shared" si="137"/>
        <v>8.77</v>
      </c>
      <c r="AU165" s="181">
        <f t="shared" si="121"/>
        <v>21.41</v>
      </c>
      <c r="AV165" s="172">
        <f t="shared" si="122"/>
        <v>0</v>
      </c>
      <c r="AW165" s="172">
        <f t="shared" si="123"/>
        <v>0</v>
      </c>
      <c r="AX165" s="172">
        <f t="shared" si="109"/>
        <v>0</v>
      </c>
      <c r="AY165" s="143">
        <f t="shared" si="133"/>
        <v>0</v>
      </c>
      <c r="AZ165" s="182">
        <f t="shared" si="134"/>
        <v>0</v>
      </c>
      <c r="BA165" s="182">
        <f t="shared" si="124"/>
        <v>0</v>
      </c>
      <c r="BB165" s="183">
        <f t="shared" si="110"/>
        <v>0</v>
      </c>
      <c r="BC165" s="183">
        <f t="shared" si="136"/>
        <v>132245</v>
      </c>
      <c r="BD165" s="183">
        <f t="shared" si="125"/>
        <v>902.77</v>
      </c>
      <c r="BE165" s="182">
        <f t="shared" si="126"/>
        <v>0</v>
      </c>
      <c r="BF165" s="182">
        <f t="shared" si="127"/>
        <v>0</v>
      </c>
      <c r="BG165" s="182">
        <f t="shared" si="111"/>
        <v>0</v>
      </c>
      <c r="BH165" s="182">
        <f t="shared" si="112"/>
        <v>0</v>
      </c>
      <c r="BI165" s="182">
        <f>ROUND(BE165*'[1]数据-取费表'!$B$51/(1+'[1]数据-取费表'!$C$42),0)</f>
        <v>0</v>
      </c>
      <c r="BJ165" s="182">
        <f>ROUND(BG165*'[1]数据-取费表'!B$41/(1+'[1]数据-取费表'!C$42),0)</f>
        <v>0</v>
      </c>
      <c r="BK165" s="182">
        <f t="shared" si="113"/>
        <v>0</v>
      </c>
      <c r="BL165" s="182">
        <f t="shared" si="114"/>
        <v>0</v>
      </c>
      <c r="BM165" s="182">
        <f t="shared" si="128"/>
        <v>0</v>
      </c>
      <c r="BN165" s="184">
        <f t="shared" si="115"/>
        <v>0</v>
      </c>
      <c r="BO165" s="183">
        <f t="shared" si="142"/>
        <v>1254.0612707619453</v>
      </c>
      <c r="BP165" s="195"/>
      <c r="BQ165" s="195"/>
      <c r="BR165" s="195"/>
    </row>
    <row r="166" spans="1:71" x14ac:dyDescent="0.2">
      <c r="A166" s="146">
        <v>149</v>
      </c>
      <c r="B166" s="141" t="s">
        <v>82</v>
      </c>
      <c r="C166" s="142" t="s">
        <v>85</v>
      </c>
      <c r="D166" s="143">
        <v>2206</v>
      </c>
      <c r="E166" s="143">
        <v>145.26</v>
      </c>
      <c r="F166" s="143" t="s">
        <v>83</v>
      </c>
      <c r="G166" s="143" t="s">
        <v>75</v>
      </c>
      <c r="H166" s="144">
        <v>56009</v>
      </c>
      <c r="I166" s="144">
        <v>44987</v>
      </c>
      <c r="J166" s="143">
        <f>IF(F166="商业",[1]项目基本情况!D$15,[1]项目基本情况!E$15)</f>
        <v>30.19</v>
      </c>
      <c r="K166" s="143"/>
      <c r="L166" s="143">
        <v>145.26</v>
      </c>
      <c r="M166" s="143">
        <v>19</v>
      </c>
      <c r="N166" s="143" t="s">
        <v>12</v>
      </c>
      <c r="O166" s="143">
        <v>2008</v>
      </c>
      <c r="P166" s="172">
        <f t="shared" si="98"/>
        <v>27.15</v>
      </c>
      <c r="Q166" s="172">
        <f>ROUND(P166*'[1]数据-取费表'!B$52,0)</f>
        <v>815</v>
      </c>
      <c r="R166" s="172">
        <f t="shared" si="130"/>
        <v>1646024</v>
      </c>
      <c r="S166" s="173">
        <f t="shared" si="116"/>
        <v>24690</v>
      </c>
      <c r="T166" s="174">
        <v>0.8</v>
      </c>
      <c r="U166" s="172">
        <f t="shared" si="131"/>
        <v>1316819</v>
      </c>
      <c r="V166" s="173">
        <f t="shared" si="99"/>
        <v>1317</v>
      </c>
      <c r="W166" s="173">
        <f t="shared" si="117"/>
        <v>2100</v>
      </c>
      <c r="X166" s="172">
        <f>ROUND(AC166*'[1]数据-取费表'!$B$41/(1+'[1]数据-取费表'!$C$42),0)</f>
        <v>22319</v>
      </c>
      <c r="Y166" s="172">
        <f>ROUND(AC166*'[1]数据-取费表'!$B$51/(1+'[1]数据-取费表'!$C$42),0)</f>
        <v>47827</v>
      </c>
      <c r="Z166" s="172">
        <f t="shared" si="100"/>
        <v>70961</v>
      </c>
      <c r="AA166" s="173">
        <f t="shared" si="101"/>
        <v>99068</v>
      </c>
      <c r="AB166" s="175">
        <f t="shared" si="129"/>
        <v>8.77</v>
      </c>
      <c r="AC166" s="172">
        <f t="shared" si="139"/>
        <v>418486</v>
      </c>
      <c r="AD166" s="172">
        <f t="shared" si="118"/>
        <v>1569</v>
      </c>
      <c r="AE166" s="172">
        <f t="shared" si="119"/>
        <v>420055</v>
      </c>
      <c r="AF166" s="176">
        <f t="shared" si="140"/>
        <v>0.03</v>
      </c>
      <c r="AG166" s="177"/>
      <c r="AH166" s="144">
        <f t="shared" si="141"/>
        <v>56009</v>
      </c>
      <c r="AI166" s="143">
        <f t="shared" si="132"/>
        <v>30.19</v>
      </c>
      <c r="AJ166" s="173">
        <f t="shared" si="102"/>
        <v>320987</v>
      </c>
      <c r="AK166" s="178">
        <f t="shared" si="103"/>
        <v>6614879</v>
      </c>
      <c r="AL166" s="174">
        <f t="shared" si="104"/>
        <v>0.25</v>
      </c>
      <c r="AM166" s="172">
        <f t="shared" si="105"/>
        <v>0</v>
      </c>
      <c r="AN166" s="173">
        <f t="shared" si="106"/>
        <v>0</v>
      </c>
      <c r="AO166" s="173">
        <f t="shared" si="107"/>
        <v>0</v>
      </c>
      <c r="AP166" s="172">
        <f>ROUND(AV166*'[1]数据-取费表'!$B$41/(1+'[1]数据-取费表'!$B$42),0)</f>
        <v>0</v>
      </c>
      <c r="AQ166" s="172">
        <f>ROUND(AV166*'[1]数据-取费表'!B$51/(1+'[1]数据-取费表'!C$42),0)</f>
        <v>0</v>
      </c>
      <c r="AR166" s="179">
        <f t="shared" si="108"/>
        <v>0</v>
      </c>
      <c r="AS166" s="173">
        <f t="shared" si="120"/>
        <v>0</v>
      </c>
      <c r="AT166" s="180">
        <f t="shared" si="137"/>
        <v>8.77</v>
      </c>
      <c r="AU166" s="181">
        <f t="shared" si="121"/>
        <v>21.41</v>
      </c>
      <c r="AV166" s="172">
        <f t="shared" si="122"/>
        <v>0</v>
      </c>
      <c r="AW166" s="172">
        <f t="shared" si="123"/>
        <v>0</v>
      </c>
      <c r="AX166" s="172">
        <f t="shared" si="109"/>
        <v>0</v>
      </c>
      <c r="AY166" s="143">
        <f t="shared" si="133"/>
        <v>0</v>
      </c>
      <c r="AZ166" s="182">
        <f t="shared" si="134"/>
        <v>0</v>
      </c>
      <c r="BA166" s="182">
        <f t="shared" si="124"/>
        <v>0</v>
      </c>
      <c r="BB166" s="183">
        <f t="shared" si="110"/>
        <v>0</v>
      </c>
      <c r="BC166" s="183">
        <f t="shared" si="136"/>
        <v>98341</v>
      </c>
      <c r="BD166" s="183">
        <f t="shared" si="125"/>
        <v>671.32</v>
      </c>
      <c r="BE166" s="182">
        <f t="shared" si="126"/>
        <v>0</v>
      </c>
      <c r="BF166" s="182">
        <f t="shared" si="127"/>
        <v>0</v>
      </c>
      <c r="BG166" s="182">
        <f t="shared" si="111"/>
        <v>0</v>
      </c>
      <c r="BH166" s="182">
        <f t="shared" si="112"/>
        <v>0</v>
      </c>
      <c r="BI166" s="182">
        <f>ROUND(BE166*'[1]数据-取费表'!$B$51/(1+'[1]数据-取费表'!$C$42),0)</f>
        <v>0</v>
      </c>
      <c r="BJ166" s="182">
        <f>ROUND(BG166*'[1]数据-取费表'!B$41/(1+'[1]数据-取费表'!C$42),0)</f>
        <v>0</v>
      </c>
      <c r="BK166" s="182">
        <f t="shared" si="113"/>
        <v>0</v>
      </c>
      <c r="BL166" s="182">
        <f t="shared" si="114"/>
        <v>0</v>
      </c>
      <c r="BM166" s="182">
        <f t="shared" si="128"/>
        <v>0</v>
      </c>
      <c r="BN166" s="184">
        <f t="shared" si="115"/>
        <v>0</v>
      </c>
      <c r="BO166" s="183">
        <f t="shared" si="142"/>
        <v>932.5480601791254</v>
      </c>
      <c r="BP166" s="195"/>
      <c r="BQ166" s="195"/>
      <c r="BR166" s="195"/>
    </row>
    <row r="167" spans="1:71" x14ac:dyDescent="0.2">
      <c r="A167" s="146">
        <v>150</v>
      </c>
      <c r="B167" s="141" t="s">
        <v>82</v>
      </c>
      <c r="C167" s="142" t="s">
        <v>85</v>
      </c>
      <c r="D167" s="143">
        <v>2207</v>
      </c>
      <c r="E167" s="143">
        <v>139.97999999999999</v>
      </c>
      <c r="F167" s="143" t="s">
        <v>83</v>
      </c>
      <c r="G167" s="143" t="s">
        <v>75</v>
      </c>
      <c r="H167" s="144">
        <v>56009</v>
      </c>
      <c r="I167" s="144">
        <v>44987</v>
      </c>
      <c r="J167" s="143">
        <f>IF(F167="商业",[1]项目基本情况!D$15,[1]项目基本情况!E$15)</f>
        <v>30.19</v>
      </c>
      <c r="K167" s="143"/>
      <c r="L167" s="143">
        <v>139.97999999999999</v>
      </c>
      <c r="M167" s="143">
        <v>19</v>
      </c>
      <c r="N167" s="143" t="s">
        <v>12</v>
      </c>
      <c r="O167" s="143">
        <v>2008</v>
      </c>
      <c r="P167" s="172">
        <f t="shared" si="98"/>
        <v>26.16</v>
      </c>
      <c r="Q167" s="172">
        <f>ROUND(P167*'[1]数据-取费表'!B$52,0)</f>
        <v>785</v>
      </c>
      <c r="R167" s="172">
        <f t="shared" si="130"/>
        <v>1586193</v>
      </c>
      <c r="S167" s="173">
        <f t="shared" si="116"/>
        <v>23793</v>
      </c>
      <c r="T167" s="174">
        <v>0.8</v>
      </c>
      <c r="U167" s="172">
        <f t="shared" si="131"/>
        <v>1268954</v>
      </c>
      <c r="V167" s="173">
        <f t="shared" si="99"/>
        <v>1269</v>
      </c>
      <c r="W167" s="173">
        <f t="shared" si="117"/>
        <v>2024</v>
      </c>
      <c r="X167" s="172">
        <f>ROUND(AC167*'[1]数据-取费表'!$B$41/(1+'[1]数据-取费表'!$C$42),0)</f>
        <v>21508</v>
      </c>
      <c r="Y167" s="172">
        <f>ROUND(AC167*'[1]数据-取费表'!$B$51/(1+'[1]数据-取费表'!$C$42),0)</f>
        <v>46089</v>
      </c>
      <c r="Z167" s="172">
        <f t="shared" si="100"/>
        <v>68382</v>
      </c>
      <c r="AA167" s="173">
        <f t="shared" si="101"/>
        <v>95468</v>
      </c>
      <c r="AB167" s="175">
        <f t="shared" si="129"/>
        <v>8.77</v>
      </c>
      <c r="AC167" s="172">
        <f t="shared" si="139"/>
        <v>403275</v>
      </c>
      <c r="AD167" s="172">
        <f t="shared" si="118"/>
        <v>1512</v>
      </c>
      <c r="AE167" s="172">
        <f t="shared" si="119"/>
        <v>404787</v>
      </c>
      <c r="AF167" s="176">
        <f t="shared" si="140"/>
        <v>0.03</v>
      </c>
      <c r="AG167" s="177"/>
      <c r="AH167" s="144">
        <f t="shared" si="141"/>
        <v>56009</v>
      </c>
      <c r="AI167" s="143">
        <f t="shared" si="132"/>
        <v>30.19</v>
      </c>
      <c r="AJ167" s="173">
        <f t="shared" si="102"/>
        <v>309319</v>
      </c>
      <c r="AK167" s="178">
        <f t="shared" si="103"/>
        <v>6374426</v>
      </c>
      <c r="AL167" s="174">
        <f t="shared" si="104"/>
        <v>0.25</v>
      </c>
      <c r="AM167" s="172">
        <f t="shared" si="105"/>
        <v>0</v>
      </c>
      <c r="AN167" s="173">
        <f t="shared" si="106"/>
        <v>0</v>
      </c>
      <c r="AO167" s="173">
        <f t="shared" si="107"/>
        <v>0</v>
      </c>
      <c r="AP167" s="172">
        <f>ROUND(AV167*'[1]数据-取费表'!$B$41/(1+'[1]数据-取费表'!$B$42),0)</f>
        <v>0</v>
      </c>
      <c r="AQ167" s="172">
        <f>ROUND(AV167*'[1]数据-取费表'!B$51/(1+'[1]数据-取费表'!C$42),0)</f>
        <v>0</v>
      </c>
      <c r="AR167" s="179">
        <f t="shared" si="108"/>
        <v>0</v>
      </c>
      <c r="AS167" s="173">
        <f t="shared" si="120"/>
        <v>0</v>
      </c>
      <c r="AT167" s="180">
        <f t="shared" si="137"/>
        <v>8.77</v>
      </c>
      <c r="AU167" s="181">
        <f t="shared" si="121"/>
        <v>21.41</v>
      </c>
      <c r="AV167" s="172">
        <f t="shared" si="122"/>
        <v>0</v>
      </c>
      <c r="AW167" s="172">
        <f t="shared" si="123"/>
        <v>0</v>
      </c>
      <c r="AX167" s="172">
        <f t="shared" si="109"/>
        <v>0</v>
      </c>
      <c r="AY167" s="143">
        <f t="shared" si="133"/>
        <v>0</v>
      </c>
      <c r="AZ167" s="182">
        <f t="shared" si="134"/>
        <v>0</v>
      </c>
      <c r="BA167" s="182">
        <f t="shared" si="124"/>
        <v>0</v>
      </c>
      <c r="BB167" s="183">
        <f t="shared" si="110"/>
        <v>0</v>
      </c>
      <c r="BC167" s="183">
        <f t="shared" si="136"/>
        <v>94766</v>
      </c>
      <c r="BD167" s="183">
        <f t="shared" si="125"/>
        <v>646.91999999999996</v>
      </c>
      <c r="BE167" s="182">
        <f t="shared" si="126"/>
        <v>0</v>
      </c>
      <c r="BF167" s="182">
        <f t="shared" si="127"/>
        <v>0</v>
      </c>
      <c r="BG167" s="182">
        <f t="shared" si="111"/>
        <v>0</v>
      </c>
      <c r="BH167" s="182">
        <f t="shared" si="112"/>
        <v>0</v>
      </c>
      <c r="BI167" s="182">
        <f>ROUND(BE167*'[1]数据-取费表'!$B$51/(1+'[1]数据-取费表'!$C$42),0)</f>
        <v>0</v>
      </c>
      <c r="BJ167" s="182">
        <f>ROUND(BG167*'[1]数据-取费表'!B$41/(1+'[1]数据-取费表'!C$42),0)</f>
        <v>0</v>
      </c>
      <c r="BK167" s="182">
        <f t="shared" si="113"/>
        <v>0</v>
      </c>
      <c r="BL167" s="182">
        <f t="shared" si="114"/>
        <v>0</v>
      </c>
      <c r="BM167" s="182">
        <f t="shared" si="128"/>
        <v>0</v>
      </c>
      <c r="BN167" s="184">
        <f t="shared" si="115"/>
        <v>0</v>
      </c>
      <c r="BO167" s="183">
        <f t="shared" si="142"/>
        <v>898.65338600232349</v>
      </c>
      <c r="BP167" s="195"/>
      <c r="BQ167" s="195"/>
      <c r="BR167" s="195"/>
    </row>
    <row r="168" spans="1:71" x14ac:dyDescent="0.2">
      <c r="A168" s="146">
        <v>151</v>
      </c>
      <c r="B168" s="141" t="s">
        <v>82</v>
      </c>
      <c r="C168" s="142" t="s">
        <v>85</v>
      </c>
      <c r="D168" s="143">
        <v>2208</v>
      </c>
      <c r="E168" s="143">
        <v>135.16999999999999</v>
      </c>
      <c r="F168" s="143" t="s">
        <v>83</v>
      </c>
      <c r="G168" s="143" t="s">
        <v>75</v>
      </c>
      <c r="H168" s="144">
        <v>56009</v>
      </c>
      <c r="I168" s="144">
        <v>44987</v>
      </c>
      <c r="J168" s="143">
        <f>IF(F168="商业",[1]项目基本情况!D$15,[1]项目基本情况!E$15)</f>
        <v>30.19</v>
      </c>
      <c r="K168" s="143"/>
      <c r="L168" s="143">
        <v>135.16999999999999</v>
      </c>
      <c r="M168" s="143">
        <v>19</v>
      </c>
      <c r="N168" s="143" t="s">
        <v>12</v>
      </c>
      <c r="O168" s="143">
        <v>2008</v>
      </c>
      <c r="P168" s="172">
        <f t="shared" si="98"/>
        <v>25.27</v>
      </c>
      <c r="Q168" s="172">
        <f>ROUND(P168*'[1]数据-取费表'!B$52,0)</f>
        <v>758</v>
      </c>
      <c r="R168" s="172">
        <f t="shared" si="130"/>
        <v>1531688</v>
      </c>
      <c r="S168" s="173">
        <f t="shared" si="116"/>
        <v>22975</v>
      </c>
      <c r="T168" s="174">
        <v>0.8</v>
      </c>
      <c r="U168" s="172">
        <f t="shared" si="131"/>
        <v>1225350</v>
      </c>
      <c r="V168" s="173">
        <f t="shared" si="99"/>
        <v>1225</v>
      </c>
      <c r="W168" s="173">
        <f t="shared" si="117"/>
        <v>1954</v>
      </c>
      <c r="X168" s="172">
        <f>ROUND(AC168*'[1]数据-取费表'!$B$41/(1+'[1]数据-取费表'!$C$42),0)</f>
        <v>20769</v>
      </c>
      <c r="Y168" s="172">
        <f>ROUND(AC168*'[1]数据-取费表'!$B$51/(1+'[1]数据-取费表'!$C$42),0)</f>
        <v>44505</v>
      </c>
      <c r="Z168" s="172">
        <f t="shared" si="100"/>
        <v>66032</v>
      </c>
      <c r="AA168" s="173">
        <f t="shared" si="101"/>
        <v>92186</v>
      </c>
      <c r="AB168" s="175">
        <f t="shared" si="129"/>
        <v>8.77</v>
      </c>
      <c r="AC168" s="172">
        <f t="shared" si="139"/>
        <v>389417</v>
      </c>
      <c r="AD168" s="172">
        <f t="shared" si="118"/>
        <v>1460</v>
      </c>
      <c r="AE168" s="172">
        <f t="shared" si="119"/>
        <v>390877</v>
      </c>
      <c r="AF168" s="176">
        <f t="shared" si="140"/>
        <v>0.03</v>
      </c>
      <c r="AG168" s="177"/>
      <c r="AH168" s="144">
        <f t="shared" si="141"/>
        <v>56009</v>
      </c>
      <c r="AI168" s="143">
        <f t="shared" si="132"/>
        <v>30.19</v>
      </c>
      <c r="AJ168" s="173">
        <f t="shared" si="102"/>
        <v>298691</v>
      </c>
      <c r="AK168" s="178">
        <f t="shared" si="103"/>
        <v>6155405</v>
      </c>
      <c r="AL168" s="174">
        <f t="shared" si="104"/>
        <v>0.25</v>
      </c>
      <c r="AM168" s="172">
        <f t="shared" si="105"/>
        <v>0</v>
      </c>
      <c r="AN168" s="173">
        <f t="shared" si="106"/>
        <v>0</v>
      </c>
      <c r="AO168" s="173">
        <f t="shared" si="107"/>
        <v>0</v>
      </c>
      <c r="AP168" s="172">
        <f>ROUND(AV168*'[1]数据-取费表'!$B$41/(1+'[1]数据-取费表'!$B$42),0)</f>
        <v>0</v>
      </c>
      <c r="AQ168" s="172">
        <f>ROUND(AV168*'[1]数据-取费表'!B$51/(1+'[1]数据-取费表'!C$42),0)</f>
        <v>0</v>
      </c>
      <c r="AR168" s="179">
        <f t="shared" si="108"/>
        <v>0</v>
      </c>
      <c r="AS168" s="173">
        <f t="shared" si="120"/>
        <v>0</v>
      </c>
      <c r="AT168" s="180">
        <f t="shared" si="137"/>
        <v>8.77</v>
      </c>
      <c r="AU168" s="181">
        <f t="shared" si="121"/>
        <v>21.41</v>
      </c>
      <c r="AV168" s="172">
        <f t="shared" si="122"/>
        <v>0</v>
      </c>
      <c r="AW168" s="172">
        <f t="shared" si="123"/>
        <v>0</v>
      </c>
      <c r="AX168" s="172">
        <f t="shared" si="109"/>
        <v>0</v>
      </c>
      <c r="AY168" s="143">
        <f t="shared" si="133"/>
        <v>0</v>
      </c>
      <c r="AZ168" s="182">
        <f t="shared" si="134"/>
        <v>0</v>
      </c>
      <c r="BA168" s="182">
        <f t="shared" si="124"/>
        <v>0</v>
      </c>
      <c r="BB168" s="183">
        <f t="shared" si="110"/>
        <v>0</v>
      </c>
      <c r="BC168" s="183">
        <f t="shared" si="136"/>
        <v>91510</v>
      </c>
      <c r="BD168" s="183">
        <f t="shared" si="125"/>
        <v>624.69000000000005</v>
      </c>
      <c r="BE168" s="182">
        <f t="shared" si="126"/>
        <v>0</v>
      </c>
      <c r="BF168" s="182">
        <f t="shared" si="127"/>
        <v>0</v>
      </c>
      <c r="BG168" s="182">
        <f t="shared" si="111"/>
        <v>0</v>
      </c>
      <c r="BH168" s="182">
        <f t="shared" si="112"/>
        <v>0</v>
      </c>
      <c r="BI168" s="182">
        <f>ROUND(BE168*'[1]数据-取费表'!$B$51/(1+'[1]数据-取费表'!$C$42),0)</f>
        <v>0</v>
      </c>
      <c r="BJ168" s="182">
        <f>ROUND(BG168*'[1]数据-取费表'!B$41/(1+'[1]数据-取费表'!C$42),0)</f>
        <v>0</v>
      </c>
      <c r="BK168" s="182">
        <f t="shared" si="113"/>
        <v>0</v>
      </c>
      <c r="BL168" s="182">
        <f t="shared" si="114"/>
        <v>0</v>
      </c>
      <c r="BM168" s="182">
        <f t="shared" si="128"/>
        <v>0</v>
      </c>
      <c r="BN168" s="184">
        <f t="shared" si="115"/>
        <v>0</v>
      </c>
      <c r="BO168" s="183">
        <f t="shared" si="142"/>
        <v>867.77311522567163</v>
      </c>
      <c r="BP168" s="195"/>
      <c r="BQ168" s="195"/>
      <c r="BR168" s="195"/>
    </row>
    <row r="169" spans="1:71" x14ac:dyDescent="0.2">
      <c r="A169" s="146">
        <v>152</v>
      </c>
      <c r="B169" s="141" t="s">
        <v>82</v>
      </c>
      <c r="C169" s="142" t="s">
        <v>85</v>
      </c>
      <c r="D169" s="143">
        <v>2209</v>
      </c>
      <c r="E169" s="143">
        <v>135.16999999999999</v>
      </c>
      <c r="F169" s="143" t="s">
        <v>83</v>
      </c>
      <c r="G169" s="143" t="s">
        <v>75</v>
      </c>
      <c r="H169" s="144">
        <v>56009</v>
      </c>
      <c r="I169" s="144">
        <v>44987</v>
      </c>
      <c r="J169" s="143">
        <f>IF(F169="商业",[1]项目基本情况!D$15,[1]项目基本情况!E$15)</f>
        <v>30.19</v>
      </c>
      <c r="K169" s="143"/>
      <c r="L169" s="143">
        <v>135.16999999999999</v>
      </c>
      <c r="M169" s="143">
        <v>19</v>
      </c>
      <c r="N169" s="143" t="s">
        <v>12</v>
      </c>
      <c r="O169" s="143">
        <v>2008</v>
      </c>
      <c r="P169" s="172">
        <f t="shared" si="98"/>
        <v>25.27</v>
      </c>
      <c r="Q169" s="172">
        <f>ROUND(P169*'[1]数据-取费表'!B$52,0)</f>
        <v>758</v>
      </c>
      <c r="R169" s="172">
        <f t="shared" si="130"/>
        <v>1531688</v>
      </c>
      <c r="S169" s="173">
        <f t="shared" si="116"/>
        <v>22975</v>
      </c>
      <c r="T169" s="174">
        <v>0.8</v>
      </c>
      <c r="U169" s="172">
        <f t="shared" si="131"/>
        <v>1225350</v>
      </c>
      <c r="V169" s="173">
        <f t="shared" si="99"/>
        <v>1225</v>
      </c>
      <c r="W169" s="173">
        <f t="shared" si="117"/>
        <v>1954</v>
      </c>
      <c r="X169" s="172">
        <f>ROUND(AC169*'[1]数据-取费表'!$B$41/(1+'[1]数据-取费表'!$C$42),0)</f>
        <v>20769</v>
      </c>
      <c r="Y169" s="172">
        <f>ROUND(AC169*'[1]数据-取费表'!$B$51/(1+'[1]数据-取费表'!$C$42),0)</f>
        <v>44505</v>
      </c>
      <c r="Z169" s="172">
        <f t="shared" si="100"/>
        <v>66032</v>
      </c>
      <c r="AA169" s="173">
        <f t="shared" si="101"/>
        <v>92186</v>
      </c>
      <c r="AB169" s="175">
        <f t="shared" si="129"/>
        <v>8.77</v>
      </c>
      <c r="AC169" s="172">
        <f t="shared" si="139"/>
        <v>389417</v>
      </c>
      <c r="AD169" s="172">
        <f t="shared" si="118"/>
        <v>1460</v>
      </c>
      <c r="AE169" s="172">
        <f t="shared" si="119"/>
        <v>390877</v>
      </c>
      <c r="AF169" s="176">
        <f t="shared" si="140"/>
        <v>0.03</v>
      </c>
      <c r="AG169" s="177"/>
      <c r="AH169" s="144">
        <f t="shared" si="141"/>
        <v>56009</v>
      </c>
      <c r="AI169" s="143">
        <f t="shared" si="132"/>
        <v>30.19</v>
      </c>
      <c r="AJ169" s="173">
        <f t="shared" si="102"/>
        <v>298691</v>
      </c>
      <c r="AK169" s="178">
        <f t="shared" si="103"/>
        <v>6155405</v>
      </c>
      <c r="AL169" s="174">
        <f t="shared" si="104"/>
        <v>0.25</v>
      </c>
      <c r="AM169" s="172">
        <f t="shared" si="105"/>
        <v>0</v>
      </c>
      <c r="AN169" s="173">
        <f t="shared" si="106"/>
        <v>0</v>
      </c>
      <c r="AO169" s="173">
        <f t="shared" si="107"/>
        <v>0</v>
      </c>
      <c r="AP169" s="172">
        <f>ROUND(AV169*'[1]数据-取费表'!$B$41/(1+'[1]数据-取费表'!$B$42),0)</f>
        <v>0</v>
      </c>
      <c r="AQ169" s="172">
        <f>ROUND(AV169*'[1]数据-取费表'!B$51/(1+'[1]数据-取费表'!C$42),0)</f>
        <v>0</v>
      </c>
      <c r="AR169" s="179">
        <f t="shared" si="108"/>
        <v>0</v>
      </c>
      <c r="AS169" s="173">
        <f t="shared" si="120"/>
        <v>0</v>
      </c>
      <c r="AT169" s="180">
        <f t="shared" si="137"/>
        <v>8.77</v>
      </c>
      <c r="AU169" s="181">
        <f t="shared" si="121"/>
        <v>21.41</v>
      </c>
      <c r="AV169" s="172">
        <f t="shared" si="122"/>
        <v>0</v>
      </c>
      <c r="AW169" s="172">
        <f t="shared" si="123"/>
        <v>0</v>
      </c>
      <c r="AX169" s="172">
        <f t="shared" si="109"/>
        <v>0</v>
      </c>
      <c r="AY169" s="143">
        <f t="shared" si="133"/>
        <v>0</v>
      </c>
      <c r="AZ169" s="182">
        <f t="shared" si="134"/>
        <v>0</v>
      </c>
      <c r="BA169" s="182">
        <f t="shared" si="124"/>
        <v>0</v>
      </c>
      <c r="BB169" s="183">
        <f t="shared" si="110"/>
        <v>0</v>
      </c>
      <c r="BC169" s="183">
        <f t="shared" si="136"/>
        <v>91510</v>
      </c>
      <c r="BD169" s="183">
        <f t="shared" si="125"/>
        <v>624.69000000000005</v>
      </c>
      <c r="BE169" s="182">
        <f t="shared" si="126"/>
        <v>0</v>
      </c>
      <c r="BF169" s="182">
        <f t="shared" si="127"/>
        <v>0</v>
      </c>
      <c r="BG169" s="182">
        <f t="shared" si="111"/>
        <v>0</v>
      </c>
      <c r="BH169" s="182">
        <f t="shared" si="112"/>
        <v>0</v>
      </c>
      <c r="BI169" s="182">
        <f>ROUND(BE169*'[1]数据-取费表'!$B$51/(1+'[1]数据-取费表'!$C$42),0)</f>
        <v>0</v>
      </c>
      <c r="BJ169" s="182">
        <f>ROUND(BG169*'[1]数据-取费表'!B$41/(1+'[1]数据-取费表'!C$42),0)</f>
        <v>0</v>
      </c>
      <c r="BK169" s="182">
        <f t="shared" si="113"/>
        <v>0</v>
      </c>
      <c r="BL169" s="182">
        <f t="shared" si="114"/>
        <v>0</v>
      </c>
      <c r="BM169" s="182">
        <f t="shared" si="128"/>
        <v>0</v>
      </c>
      <c r="BN169" s="184">
        <f t="shared" si="115"/>
        <v>0</v>
      </c>
      <c r="BO169" s="183">
        <f t="shared" si="142"/>
        <v>867.77311522567163</v>
      </c>
      <c r="BP169" s="195"/>
      <c r="BQ169" s="195"/>
      <c r="BR169" s="195"/>
    </row>
    <row r="170" spans="1:71" x14ac:dyDescent="0.2">
      <c r="A170" s="146">
        <v>153</v>
      </c>
      <c r="B170" s="141" t="s">
        <v>82</v>
      </c>
      <c r="C170" s="142" t="s">
        <v>85</v>
      </c>
      <c r="D170" s="143">
        <v>2210</v>
      </c>
      <c r="E170" s="143">
        <v>139.97999999999999</v>
      </c>
      <c r="F170" s="143" t="s">
        <v>83</v>
      </c>
      <c r="G170" s="143" t="s">
        <v>75</v>
      </c>
      <c r="H170" s="144">
        <v>56009</v>
      </c>
      <c r="I170" s="144">
        <v>44987</v>
      </c>
      <c r="J170" s="143">
        <f>IF(F170="商业",[1]项目基本情况!D$15,[1]项目基本情况!E$15)</f>
        <v>30.19</v>
      </c>
      <c r="K170" s="143" t="s">
        <v>84</v>
      </c>
      <c r="L170" s="230">
        <f>SUM(E170+E171)</f>
        <v>279.65999999999997</v>
      </c>
      <c r="M170" s="143">
        <v>19</v>
      </c>
      <c r="N170" s="143" t="s">
        <v>12</v>
      </c>
      <c r="O170" s="143">
        <v>2008</v>
      </c>
      <c r="P170" s="230">
        <f t="shared" si="98"/>
        <v>52.27</v>
      </c>
      <c r="Q170" s="230">
        <f>ROUND(P170*'[1]数据-取费表'!B$52,0)</f>
        <v>1568</v>
      </c>
      <c r="R170" s="230">
        <f t="shared" si="130"/>
        <v>3168987</v>
      </c>
      <c r="S170" s="230">
        <f t="shared" si="116"/>
        <v>47535</v>
      </c>
      <c r="T170" s="233">
        <v>0.8</v>
      </c>
      <c r="U170" s="241">
        <f t="shared" si="131"/>
        <v>2535190</v>
      </c>
      <c r="V170" s="241">
        <f t="shared" si="99"/>
        <v>2535</v>
      </c>
      <c r="W170" s="241">
        <f t="shared" si="117"/>
        <v>3480</v>
      </c>
      <c r="X170" s="241">
        <f>ROUND(AC170*'[1]数据-取费表'!$B$41/(1+'[1]数据-取费表'!$C$42),0)</f>
        <v>36983</v>
      </c>
      <c r="Y170" s="241">
        <f>ROUND(AC170*'[1]数据-取费表'!$B$51/(1+'[1]数据-取费表'!$C$42),0)</f>
        <v>79249</v>
      </c>
      <c r="Z170" s="241">
        <f t="shared" si="100"/>
        <v>117800</v>
      </c>
      <c r="AA170" s="230">
        <f t="shared" si="101"/>
        <v>171350</v>
      </c>
      <c r="AB170" s="235">
        <f>ROUND(AC170/365/L170,2)</f>
        <v>6.79</v>
      </c>
      <c r="AC170" s="230">
        <v>693432</v>
      </c>
      <c r="AD170" s="241">
        <f t="shared" si="118"/>
        <v>2600</v>
      </c>
      <c r="AE170" s="230">
        <f t="shared" si="119"/>
        <v>696032</v>
      </c>
      <c r="AF170" s="232">
        <v>0</v>
      </c>
      <c r="AG170" s="230"/>
      <c r="AH170" s="236">
        <v>45716</v>
      </c>
      <c r="AI170" s="230">
        <f t="shared" si="132"/>
        <v>1.99</v>
      </c>
      <c r="AJ170" s="230">
        <f t="shared" si="102"/>
        <v>524682</v>
      </c>
      <c r="AK170" s="235">
        <f t="shared" si="103"/>
        <v>964141</v>
      </c>
      <c r="AL170" s="233">
        <f t="shared" si="104"/>
        <v>0.72</v>
      </c>
      <c r="AM170" s="230">
        <f t="shared" si="105"/>
        <v>2281671</v>
      </c>
      <c r="AN170" s="230">
        <f t="shared" si="106"/>
        <v>2282</v>
      </c>
      <c r="AO170" s="230">
        <f t="shared" si="107"/>
        <v>4288</v>
      </c>
      <c r="AP170" s="230">
        <f>ROUND(AV170*'[1]数据-取费表'!$B$41/(1+'[1]数据-取费表'!$B$42),0)</f>
        <v>45567</v>
      </c>
      <c r="AQ170" s="230">
        <f>ROUND(AV170*'[1]数据-取费表'!B$51/(1+'[1]数据-取费表'!C$42),0)</f>
        <v>97643</v>
      </c>
      <c r="AR170" s="230">
        <f t="shared" si="108"/>
        <v>144778</v>
      </c>
      <c r="AS170" s="230">
        <f t="shared" si="120"/>
        <v>198883</v>
      </c>
      <c r="AT170" s="234">
        <f t="shared" si="137"/>
        <v>8.77</v>
      </c>
      <c r="AU170" s="235">
        <f t="shared" si="121"/>
        <v>9.3000000000000007</v>
      </c>
      <c r="AV170" s="230">
        <f t="shared" si="122"/>
        <v>854375</v>
      </c>
      <c r="AW170" s="230">
        <f t="shared" si="123"/>
        <v>3204</v>
      </c>
      <c r="AX170" s="230">
        <f t="shared" si="109"/>
        <v>857579</v>
      </c>
      <c r="AY170" s="230">
        <f t="shared" si="133"/>
        <v>28.200000000000003</v>
      </c>
      <c r="AZ170" s="237">
        <f t="shared" si="134"/>
        <v>658696</v>
      </c>
      <c r="BA170" s="237">
        <f t="shared" si="124"/>
        <v>12949981</v>
      </c>
      <c r="BB170" s="239">
        <f t="shared" si="110"/>
        <v>11641173</v>
      </c>
      <c r="BC170" s="239">
        <f t="shared" si="136"/>
        <v>189330</v>
      </c>
      <c r="BD170" s="239">
        <f t="shared" si="125"/>
        <v>1279.46</v>
      </c>
      <c r="BE170" s="237">
        <f t="shared" si="126"/>
        <v>805685</v>
      </c>
      <c r="BF170" s="237">
        <f t="shared" si="127"/>
        <v>3021</v>
      </c>
      <c r="BG170" s="237">
        <f t="shared" si="111"/>
        <v>808706</v>
      </c>
      <c r="BH170" s="237">
        <f t="shared" si="112"/>
        <v>4044</v>
      </c>
      <c r="BI170" s="237">
        <f>ROUND(BE170*'[1]数据-取费表'!$B$51/(1+'[1]数据-取费表'!$C$42),0)</f>
        <v>92078</v>
      </c>
      <c r="BJ170" s="237">
        <f>ROUND(BG170*'[1]数据-取费表'!B$41/(1+'[1]数据-取费表'!C$42),0)</f>
        <v>43131</v>
      </c>
      <c r="BK170" s="237">
        <f t="shared" si="113"/>
        <v>190891</v>
      </c>
      <c r="BL170" s="237">
        <f t="shared" si="114"/>
        <v>617815</v>
      </c>
      <c r="BM170" s="237">
        <f t="shared" si="128"/>
        <v>1151687</v>
      </c>
      <c r="BN170" s="238">
        <f t="shared" si="115"/>
        <v>187546</v>
      </c>
      <c r="BO170" s="239">
        <f t="shared" si="142"/>
        <v>1777.3311402561876</v>
      </c>
      <c r="BP170" s="195"/>
      <c r="BQ170" s="195"/>
      <c r="BR170" s="195"/>
    </row>
    <row r="171" spans="1:71" x14ac:dyDescent="0.2">
      <c r="A171" s="146">
        <v>154</v>
      </c>
      <c r="B171" s="141" t="s">
        <v>82</v>
      </c>
      <c r="C171" s="142" t="s">
        <v>85</v>
      </c>
      <c r="D171" s="143">
        <v>2211</v>
      </c>
      <c r="E171" s="143">
        <v>139.68</v>
      </c>
      <c r="F171" s="143" t="s">
        <v>83</v>
      </c>
      <c r="G171" s="143" t="s">
        <v>75</v>
      </c>
      <c r="H171" s="144">
        <v>56009</v>
      </c>
      <c r="I171" s="144">
        <v>44987</v>
      </c>
      <c r="J171" s="143">
        <f>IF(F171="商业",[1]项目基本情况!D$15,[1]项目基本情况!E$15)</f>
        <v>30.19</v>
      </c>
      <c r="K171" s="143" t="s">
        <v>84</v>
      </c>
      <c r="L171" s="230"/>
      <c r="M171" s="143">
        <v>19</v>
      </c>
      <c r="N171" s="143" t="s">
        <v>12</v>
      </c>
      <c r="O171" s="143">
        <v>2008</v>
      </c>
      <c r="P171" s="230">
        <f t="shared" si="98"/>
        <v>0</v>
      </c>
      <c r="Q171" s="230">
        <f>ROUND(P171*'[1]数据-取费表'!B$52,0)</f>
        <v>0</v>
      </c>
      <c r="R171" s="230">
        <f t="shared" si="130"/>
        <v>0</v>
      </c>
      <c r="S171" s="230">
        <f t="shared" si="116"/>
        <v>0</v>
      </c>
      <c r="T171" s="233">
        <v>0.8</v>
      </c>
      <c r="U171" s="241"/>
      <c r="V171" s="241">
        <f t="shared" si="99"/>
        <v>0</v>
      </c>
      <c r="W171" s="241">
        <f t="shared" si="117"/>
        <v>0</v>
      </c>
      <c r="X171" s="241">
        <f>ROUND(AC171*'[1]数据-取费表'!$B$41/(1+'[1]数据-取费表'!$C$42),0)</f>
        <v>0</v>
      </c>
      <c r="Y171" s="241">
        <f>ROUND(AC171*'[1]数据-取费表'!$B$51/(1+'[1]数据-取费表'!$C$42),0)</f>
        <v>0</v>
      </c>
      <c r="Z171" s="241">
        <f t="shared" si="100"/>
        <v>0</v>
      </c>
      <c r="AA171" s="230">
        <f t="shared" si="101"/>
        <v>0</v>
      </c>
      <c r="AB171" s="235"/>
      <c r="AC171" s="230"/>
      <c r="AD171" s="241"/>
      <c r="AE171" s="230">
        <f t="shared" si="119"/>
        <v>0</v>
      </c>
      <c r="AF171" s="232"/>
      <c r="AG171" s="230"/>
      <c r="AH171" s="236"/>
      <c r="AI171" s="230">
        <f t="shared" si="132"/>
        <v>-123.25</v>
      </c>
      <c r="AJ171" s="230">
        <f t="shared" si="102"/>
        <v>0</v>
      </c>
      <c r="AK171" s="235">
        <f t="shared" si="103"/>
        <v>0</v>
      </c>
      <c r="AL171" s="233">
        <f t="shared" si="104"/>
        <v>2.8</v>
      </c>
      <c r="AM171" s="230">
        <f t="shared" si="105"/>
        <v>0</v>
      </c>
      <c r="AN171" s="230">
        <f t="shared" si="106"/>
        <v>0</v>
      </c>
      <c r="AO171" s="230">
        <f t="shared" si="107"/>
        <v>0</v>
      </c>
      <c r="AP171" s="230">
        <f>ROUND(AV171*'[1]数据-取费表'!$B$41/(1+'[1]数据-取费表'!$B$42),0)</f>
        <v>0</v>
      </c>
      <c r="AQ171" s="230">
        <f>ROUND(AV171*'[1]数据-取费表'!B$51/(1+'[1]数据-取费表'!C$42),0)</f>
        <v>0</v>
      </c>
      <c r="AR171" s="230">
        <f t="shared" si="108"/>
        <v>0</v>
      </c>
      <c r="AS171" s="230">
        <f t="shared" si="120"/>
        <v>0</v>
      </c>
      <c r="AT171" s="234">
        <f t="shared" si="137"/>
        <v>8.77</v>
      </c>
      <c r="AU171" s="235">
        <f t="shared" si="121"/>
        <v>0.23</v>
      </c>
      <c r="AV171" s="230">
        <f t="shared" si="122"/>
        <v>0</v>
      </c>
      <c r="AW171" s="230">
        <f t="shared" si="123"/>
        <v>0</v>
      </c>
      <c r="AX171" s="230">
        <f t="shared" si="109"/>
        <v>0</v>
      </c>
      <c r="AY171" s="230">
        <f t="shared" si="133"/>
        <v>153.44</v>
      </c>
      <c r="AZ171" s="237">
        <f t="shared" si="134"/>
        <v>0</v>
      </c>
      <c r="BA171" s="237">
        <f t="shared" si="124"/>
        <v>0</v>
      </c>
      <c r="BB171" s="239">
        <f t="shared" si="110"/>
        <v>0</v>
      </c>
      <c r="BC171" s="239">
        <f t="shared" si="136"/>
        <v>0</v>
      </c>
      <c r="BD171" s="239">
        <f t="shared" si="125"/>
        <v>0</v>
      </c>
      <c r="BE171" s="237">
        <f t="shared" si="126"/>
        <v>0</v>
      </c>
      <c r="BF171" s="237">
        <f t="shared" si="127"/>
        <v>0</v>
      </c>
      <c r="BG171" s="237">
        <f t="shared" si="111"/>
        <v>0</v>
      </c>
      <c r="BH171" s="237">
        <f t="shared" si="112"/>
        <v>0</v>
      </c>
      <c r="BI171" s="237">
        <f>ROUND(BE171*'[1]数据-取费表'!$B$51/(1+'[1]数据-取费表'!$C$42),0)</f>
        <v>0</v>
      </c>
      <c r="BJ171" s="237">
        <f>ROUND(BG171*'[1]数据-取费表'!B$41/(1+'[1]数据-取费表'!C$42),0)</f>
        <v>0</v>
      </c>
      <c r="BK171" s="237">
        <f t="shared" si="113"/>
        <v>0</v>
      </c>
      <c r="BL171" s="237">
        <f t="shared" si="114"/>
        <v>0</v>
      </c>
      <c r="BM171" s="237">
        <f t="shared" si="128"/>
        <v>0</v>
      </c>
      <c r="BN171" s="238">
        <f t="shared" si="115"/>
        <v>0</v>
      </c>
      <c r="BO171" s="239"/>
      <c r="BP171" s="195"/>
      <c r="BQ171" s="195"/>
      <c r="BR171" s="195"/>
    </row>
    <row r="172" spans="1:71" x14ac:dyDescent="0.2">
      <c r="A172" s="146">
        <v>155</v>
      </c>
      <c r="B172" s="141" t="s">
        <v>82</v>
      </c>
      <c r="C172" s="142" t="s">
        <v>85</v>
      </c>
      <c r="D172" s="143">
        <v>2212</v>
      </c>
      <c r="E172" s="143">
        <v>210.76</v>
      </c>
      <c r="F172" s="143" t="s">
        <v>83</v>
      </c>
      <c r="G172" s="143" t="s">
        <v>75</v>
      </c>
      <c r="H172" s="144">
        <v>56009</v>
      </c>
      <c r="I172" s="144">
        <v>44987</v>
      </c>
      <c r="J172" s="143">
        <f>IF(F172="商业",[1]项目基本情况!D$15,[1]项目基本情况!E$15)</f>
        <v>30.19</v>
      </c>
      <c r="K172" s="143" t="s">
        <v>84</v>
      </c>
      <c r="L172" s="143">
        <f>E172</f>
        <v>210.76</v>
      </c>
      <c r="M172" s="143">
        <v>19</v>
      </c>
      <c r="N172" s="143" t="s">
        <v>12</v>
      </c>
      <c r="O172" s="143">
        <v>2008</v>
      </c>
      <c r="P172" s="172">
        <f t="shared" si="98"/>
        <v>39.39</v>
      </c>
      <c r="Q172" s="172">
        <f>ROUND(P172*'[1]数据-取费表'!B$52,0)</f>
        <v>1182</v>
      </c>
      <c r="R172" s="172">
        <f t="shared" si="130"/>
        <v>2388242</v>
      </c>
      <c r="S172" s="173">
        <f t="shared" si="116"/>
        <v>35824</v>
      </c>
      <c r="T172" s="174">
        <v>0.8</v>
      </c>
      <c r="U172" s="172">
        <f t="shared" si="131"/>
        <v>1910594</v>
      </c>
      <c r="V172" s="173">
        <f t="shared" si="99"/>
        <v>1911</v>
      </c>
      <c r="W172" s="173">
        <f t="shared" si="117"/>
        <v>2058</v>
      </c>
      <c r="X172" s="172">
        <f>ROUND(AC172*'[1]数据-取费表'!$B$41/(1+'[1]数据-取费表'!$C$42),0)</f>
        <v>21867</v>
      </c>
      <c r="Y172" s="172">
        <f>ROUND(AC172*'[1]数据-取费表'!$B$51/(1+'[1]数据-取费表'!$C$42),0)</f>
        <v>46857</v>
      </c>
      <c r="Z172" s="172">
        <f t="shared" si="100"/>
        <v>69906</v>
      </c>
      <c r="AA172" s="173">
        <f t="shared" si="101"/>
        <v>109699</v>
      </c>
      <c r="AB172" s="175">
        <f>ROUND(AC172/365/L172,2)</f>
        <v>5.33</v>
      </c>
      <c r="AC172" s="143">
        <v>410000</v>
      </c>
      <c r="AD172" s="172">
        <f t="shared" si="118"/>
        <v>1538</v>
      </c>
      <c r="AE172" s="172">
        <f t="shared" si="119"/>
        <v>411538</v>
      </c>
      <c r="AF172" s="177">
        <v>0</v>
      </c>
      <c r="AG172" s="177"/>
      <c r="AH172" s="185">
        <v>45504</v>
      </c>
      <c r="AI172" s="143">
        <f t="shared" si="132"/>
        <v>1.41</v>
      </c>
      <c r="AJ172" s="173">
        <f t="shared" si="102"/>
        <v>301839</v>
      </c>
      <c r="AK172" s="178">
        <f t="shared" si="103"/>
        <v>399049</v>
      </c>
      <c r="AL172" s="174">
        <f t="shared" si="104"/>
        <v>0.73</v>
      </c>
      <c r="AM172" s="172">
        <f t="shared" si="105"/>
        <v>1743417</v>
      </c>
      <c r="AN172" s="173">
        <f t="shared" si="106"/>
        <v>1743</v>
      </c>
      <c r="AO172" s="173">
        <f t="shared" si="107"/>
        <v>3176</v>
      </c>
      <c r="AP172" s="172">
        <f>ROUND(AV172*'[1]数据-取费表'!$B$41/(1+'[1]数据-取费表'!$B$42),0)</f>
        <v>33750</v>
      </c>
      <c r="AQ172" s="172">
        <f>ROUND(AV172*'[1]数据-取费表'!B$51/(1+'[1]数据-取费表'!C$42),0)</f>
        <v>72321</v>
      </c>
      <c r="AR172" s="179">
        <f t="shared" si="108"/>
        <v>107253</v>
      </c>
      <c r="AS172" s="173">
        <f t="shared" si="120"/>
        <v>147996</v>
      </c>
      <c r="AT172" s="180">
        <f t="shared" si="137"/>
        <v>8.77</v>
      </c>
      <c r="AU172" s="181">
        <f t="shared" si="121"/>
        <v>9.14</v>
      </c>
      <c r="AV172" s="172">
        <f t="shared" si="122"/>
        <v>632805</v>
      </c>
      <c r="AW172" s="172">
        <f t="shared" si="123"/>
        <v>2373</v>
      </c>
      <c r="AX172" s="172">
        <f t="shared" si="109"/>
        <v>635178</v>
      </c>
      <c r="AY172" s="143">
        <f t="shared" si="133"/>
        <v>28.78</v>
      </c>
      <c r="AZ172" s="182">
        <f t="shared" si="134"/>
        <v>487182</v>
      </c>
      <c r="BA172" s="182">
        <f t="shared" si="124"/>
        <v>9714891</v>
      </c>
      <c r="BB172" s="183">
        <f t="shared" si="110"/>
        <v>9008489</v>
      </c>
      <c r="BC172" s="183">
        <f t="shared" si="136"/>
        <v>142685</v>
      </c>
      <c r="BD172" s="183">
        <f t="shared" si="125"/>
        <v>955.02</v>
      </c>
      <c r="BE172" s="182">
        <f t="shared" si="126"/>
        <v>607188</v>
      </c>
      <c r="BF172" s="182">
        <f t="shared" si="127"/>
        <v>2277</v>
      </c>
      <c r="BG172" s="182">
        <f t="shared" si="111"/>
        <v>609465</v>
      </c>
      <c r="BH172" s="182">
        <f t="shared" si="112"/>
        <v>3047</v>
      </c>
      <c r="BI172" s="182">
        <f>ROUND(BE172*'[1]数据-取费表'!$B$51/(1+'[1]数据-取费表'!$C$42),0)</f>
        <v>69393</v>
      </c>
      <c r="BJ172" s="182">
        <f>ROUND(BG172*'[1]数据-取费表'!B$41/(1+'[1]数据-取费表'!C$42),0)</f>
        <v>32505</v>
      </c>
      <c r="BK172" s="182">
        <f t="shared" si="113"/>
        <v>143862</v>
      </c>
      <c r="BL172" s="182">
        <f t="shared" si="114"/>
        <v>465603</v>
      </c>
      <c r="BM172" s="182">
        <f t="shared" si="128"/>
        <v>619238</v>
      </c>
      <c r="BN172" s="184">
        <f t="shared" si="115"/>
        <v>220189</v>
      </c>
      <c r="BO172" s="183">
        <f t="shared" ref="BO172:BO184" si="143">BD172/$BD$234*$BS$3</f>
        <v>1326.6431037839902</v>
      </c>
      <c r="BP172" s="195"/>
      <c r="BQ172" s="195"/>
      <c r="BR172" s="195"/>
    </row>
    <row r="173" spans="1:71" x14ac:dyDescent="0.2">
      <c r="A173" s="146">
        <v>156</v>
      </c>
      <c r="B173" s="125" t="s">
        <v>82</v>
      </c>
      <c r="C173" s="126" t="s">
        <v>85</v>
      </c>
      <c r="D173" s="127">
        <v>2301</v>
      </c>
      <c r="E173" s="127">
        <v>134.94</v>
      </c>
      <c r="F173" s="127" t="s">
        <v>83</v>
      </c>
      <c r="G173" s="127" t="s">
        <v>75</v>
      </c>
      <c r="H173" s="128">
        <v>56009</v>
      </c>
      <c r="I173" s="128">
        <v>44987</v>
      </c>
      <c r="J173" s="127">
        <f>IF(F173="商业",[1]项目基本情况!D$15,[1]项目基本情况!E$15)</f>
        <v>30.19</v>
      </c>
      <c r="K173" s="127"/>
      <c r="L173" s="127">
        <v>134.94</v>
      </c>
      <c r="M173" s="127">
        <v>20</v>
      </c>
      <c r="N173" s="127" t="s">
        <v>12</v>
      </c>
      <c r="O173" s="127">
        <v>2008</v>
      </c>
      <c r="P173" s="129">
        <f t="shared" si="98"/>
        <v>25.22</v>
      </c>
      <c r="Q173" s="129">
        <f>ROUND(P173*'[1]数据-取费表'!B$52,0)</f>
        <v>757</v>
      </c>
      <c r="R173" s="129">
        <f t="shared" si="130"/>
        <v>1529082</v>
      </c>
      <c r="S173" s="130">
        <f t="shared" si="116"/>
        <v>22936</v>
      </c>
      <c r="T173" s="131">
        <v>0.8</v>
      </c>
      <c r="U173" s="129">
        <f t="shared" si="131"/>
        <v>1223266</v>
      </c>
      <c r="V173" s="130">
        <f t="shared" si="99"/>
        <v>1223</v>
      </c>
      <c r="W173" s="130">
        <f t="shared" si="117"/>
        <v>1951</v>
      </c>
      <c r="X173" s="129">
        <f>ROUND(AC173*'[1]数据-取费表'!$B$41/(1+'[1]数据-取费表'!$C$42),0)</f>
        <v>20734</v>
      </c>
      <c r="Y173" s="129">
        <f>ROUND(AC173*'[1]数据-取费表'!$B$51/(1+'[1]数据-取费表'!$C$42),0)</f>
        <v>44429</v>
      </c>
      <c r="Z173" s="129">
        <f t="shared" si="100"/>
        <v>65920</v>
      </c>
      <c r="AA173" s="130">
        <f t="shared" si="101"/>
        <v>92030</v>
      </c>
      <c r="AB173" s="132">
        <f t="shared" si="129"/>
        <v>8.77</v>
      </c>
      <c r="AC173" s="129">
        <f t="shared" ref="AC173:AC183" si="144">ROUND(AB173*365*L173*(1-I$2),0)</f>
        <v>388755</v>
      </c>
      <c r="AD173" s="129">
        <f t="shared" si="118"/>
        <v>1458</v>
      </c>
      <c r="AE173" s="129">
        <f t="shared" si="119"/>
        <v>390213</v>
      </c>
      <c r="AF173" s="133">
        <f t="shared" ref="AF173:AF183" si="145">H$2</f>
        <v>0.03</v>
      </c>
      <c r="AG173" s="134"/>
      <c r="AH173" s="128">
        <f t="shared" ref="AH173:AH183" si="146">H173</f>
        <v>56009</v>
      </c>
      <c r="AI173" s="127">
        <f t="shared" si="132"/>
        <v>30.19</v>
      </c>
      <c r="AJ173" s="130">
        <f t="shared" si="102"/>
        <v>298183</v>
      </c>
      <c r="AK173" s="135">
        <f t="shared" si="103"/>
        <v>6144936</v>
      </c>
      <c r="AL173" s="131">
        <f t="shared" si="104"/>
        <v>0.25</v>
      </c>
      <c r="AM173" s="129">
        <f t="shared" si="105"/>
        <v>0</v>
      </c>
      <c r="AN173" s="130">
        <f t="shared" si="106"/>
        <v>0</v>
      </c>
      <c r="AO173" s="130">
        <f t="shared" si="107"/>
        <v>0</v>
      </c>
      <c r="AP173" s="129">
        <f>ROUND(AV173*'[1]数据-取费表'!$B$41/(1+'[1]数据-取费表'!$B$42),0)</f>
        <v>0</v>
      </c>
      <c r="AQ173" s="129">
        <f>ROUND(AV173*'[1]数据-取费表'!B$51/(1+'[1]数据-取费表'!C$42),0)</f>
        <v>0</v>
      </c>
      <c r="AR173" s="136">
        <f t="shared" si="108"/>
        <v>0</v>
      </c>
      <c r="AS173" s="130">
        <f t="shared" si="120"/>
        <v>0</v>
      </c>
      <c r="AT173" s="137">
        <f t="shared" si="137"/>
        <v>8.77</v>
      </c>
      <c r="AU173" s="138">
        <f t="shared" si="121"/>
        <v>21.41</v>
      </c>
      <c r="AV173" s="129">
        <f t="shared" si="122"/>
        <v>0</v>
      </c>
      <c r="AW173" s="129">
        <f t="shared" si="123"/>
        <v>0</v>
      </c>
      <c r="AX173" s="129">
        <f t="shared" si="109"/>
        <v>0</v>
      </c>
      <c r="AY173" s="127">
        <f t="shared" si="133"/>
        <v>0</v>
      </c>
      <c r="AZ173" s="139">
        <f t="shared" si="134"/>
        <v>0</v>
      </c>
      <c r="BA173" s="139">
        <f t="shared" si="124"/>
        <v>0</v>
      </c>
      <c r="BB173" s="140">
        <f t="shared" si="110"/>
        <v>0</v>
      </c>
      <c r="BC173" s="140">
        <f t="shared" si="136"/>
        <v>91354</v>
      </c>
      <c r="BD173" s="140">
        <f t="shared" si="125"/>
        <v>623.63</v>
      </c>
      <c r="BE173" s="139">
        <f t="shared" si="126"/>
        <v>0</v>
      </c>
      <c r="BF173" s="139">
        <f t="shared" si="127"/>
        <v>0</v>
      </c>
      <c r="BG173" s="139">
        <f t="shared" si="111"/>
        <v>0</v>
      </c>
      <c r="BH173" s="139">
        <f t="shared" si="112"/>
        <v>0</v>
      </c>
      <c r="BI173" s="139">
        <f>ROUND(BE173*'[1]数据-取费表'!$B$51/(1+'[1]数据-取费表'!$C$42),0)</f>
        <v>0</v>
      </c>
      <c r="BJ173" s="139">
        <f>ROUND(BG173*'[1]数据-取费表'!B$41/(1+'[1]数据-取费表'!C$42),0)</f>
        <v>0</v>
      </c>
      <c r="BK173" s="139">
        <f t="shared" si="113"/>
        <v>0</v>
      </c>
      <c r="BL173" s="139">
        <f t="shared" si="114"/>
        <v>0</v>
      </c>
      <c r="BM173" s="139">
        <f t="shared" si="128"/>
        <v>0</v>
      </c>
      <c r="BN173" s="165">
        <f t="shared" si="115"/>
        <v>0</v>
      </c>
      <c r="BO173" s="140">
        <f t="shared" si="143"/>
        <v>866.30064167536796</v>
      </c>
      <c r="BP173" s="194">
        <f>SUM(BO173:BO183)</f>
        <v>11068.555895113019</v>
      </c>
      <c r="BQ173" s="194">
        <f>ROUND(BP173*10000/BS173,0)</f>
        <v>64199</v>
      </c>
      <c r="BR173" s="194"/>
      <c r="BS173" s="20">
        <f>SUM(E173:E183)</f>
        <v>1724.1100000000001</v>
      </c>
    </row>
    <row r="174" spans="1:71" x14ac:dyDescent="0.2">
      <c r="A174" s="146">
        <v>157</v>
      </c>
      <c r="B174" s="125" t="s">
        <v>82</v>
      </c>
      <c r="C174" s="126" t="s">
        <v>85</v>
      </c>
      <c r="D174" s="127">
        <v>2302</v>
      </c>
      <c r="E174" s="127">
        <v>216.1</v>
      </c>
      <c r="F174" s="127" t="s">
        <v>83</v>
      </c>
      <c r="G174" s="127" t="s">
        <v>75</v>
      </c>
      <c r="H174" s="128">
        <v>56009</v>
      </c>
      <c r="I174" s="128">
        <v>44987</v>
      </c>
      <c r="J174" s="127">
        <f>IF(F174="商业",[1]项目基本情况!D$15,[1]项目基本情况!E$15)</f>
        <v>30.19</v>
      </c>
      <c r="K174" s="127"/>
      <c r="L174" s="127">
        <v>216.1</v>
      </c>
      <c r="M174" s="127">
        <v>20</v>
      </c>
      <c r="N174" s="127" t="s">
        <v>12</v>
      </c>
      <c r="O174" s="127">
        <v>2008</v>
      </c>
      <c r="P174" s="129">
        <f t="shared" si="98"/>
        <v>40.39</v>
      </c>
      <c r="Q174" s="129">
        <f>ROUND(P174*'[1]数据-取费表'!B$52,0)</f>
        <v>1212</v>
      </c>
      <c r="R174" s="129">
        <f t="shared" si="130"/>
        <v>2448752</v>
      </c>
      <c r="S174" s="130">
        <f t="shared" si="116"/>
        <v>36731</v>
      </c>
      <c r="T174" s="131">
        <v>0.8</v>
      </c>
      <c r="U174" s="129">
        <f t="shared" si="131"/>
        <v>1959002</v>
      </c>
      <c r="V174" s="130">
        <f t="shared" si="99"/>
        <v>1959</v>
      </c>
      <c r="W174" s="130">
        <f t="shared" si="117"/>
        <v>3125</v>
      </c>
      <c r="X174" s="129">
        <f>ROUND(AC174*'[1]数据-取费表'!$B$41/(1+'[1]数据-取费表'!$C$42),0)</f>
        <v>33204</v>
      </c>
      <c r="Y174" s="129">
        <f>ROUND(AC174*'[1]数据-取费表'!$B$51/(1+'[1]数据-取费表'!$C$42),0)</f>
        <v>71151</v>
      </c>
      <c r="Z174" s="129">
        <f t="shared" si="100"/>
        <v>105567</v>
      </c>
      <c r="AA174" s="130">
        <f t="shared" si="101"/>
        <v>147382</v>
      </c>
      <c r="AB174" s="132">
        <f t="shared" si="129"/>
        <v>8.77</v>
      </c>
      <c r="AC174" s="129">
        <f t="shared" si="144"/>
        <v>622572</v>
      </c>
      <c r="AD174" s="129">
        <f t="shared" si="118"/>
        <v>2335</v>
      </c>
      <c r="AE174" s="129">
        <f t="shared" si="119"/>
        <v>624907</v>
      </c>
      <c r="AF174" s="133">
        <f t="shared" si="145"/>
        <v>0.03</v>
      </c>
      <c r="AG174" s="134"/>
      <c r="AH174" s="128">
        <f t="shared" si="146"/>
        <v>56009</v>
      </c>
      <c r="AI174" s="127">
        <f t="shared" si="132"/>
        <v>30.19</v>
      </c>
      <c r="AJ174" s="130">
        <f t="shared" si="102"/>
        <v>477525</v>
      </c>
      <c r="AK174" s="135">
        <f t="shared" si="103"/>
        <v>9840804</v>
      </c>
      <c r="AL174" s="131">
        <f t="shared" si="104"/>
        <v>0.25</v>
      </c>
      <c r="AM174" s="129">
        <f t="shared" si="105"/>
        <v>0</v>
      </c>
      <c r="AN174" s="130">
        <f t="shared" si="106"/>
        <v>0</v>
      </c>
      <c r="AO174" s="130">
        <f t="shared" si="107"/>
        <v>0</v>
      </c>
      <c r="AP174" s="129">
        <f>ROUND(AV174*'[1]数据-取费表'!$B$41/(1+'[1]数据-取费表'!$B$42),0)</f>
        <v>0</v>
      </c>
      <c r="AQ174" s="129">
        <f>ROUND(AV174*'[1]数据-取费表'!B$51/(1+'[1]数据-取费表'!C$42),0)</f>
        <v>0</v>
      </c>
      <c r="AR174" s="136">
        <f t="shared" si="108"/>
        <v>0</v>
      </c>
      <c r="AS174" s="130">
        <f t="shared" si="120"/>
        <v>0</v>
      </c>
      <c r="AT174" s="137">
        <f t="shared" si="137"/>
        <v>8.77</v>
      </c>
      <c r="AU174" s="138">
        <f t="shared" si="121"/>
        <v>21.41</v>
      </c>
      <c r="AV174" s="129">
        <f t="shared" si="122"/>
        <v>0</v>
      </c>
      <c r="AW174" s="129">
        <f t="shared" si="123"/>
        <v>0</v>
      </c>
      <c r="AX174" s="129">
        <f t="shared" si="109"/>
        <v>0</v>
      </c>
      <c r="AY174" s="127">
        <f t="shared" si="133"/>
        <v>0</v>
      </c>
      <c r="AZ174" s="139">
        <f t="shared" si="134"/>
        <v>0</v>
      </c>
      <c r="BA174" s="139">
        <f t="shared" si="124"/>
        <v>0</v>
      </c>
      <c r="BB174" s="140">
        <f t="shared" si="110"/>
        <v>0</v>
      </c>
      <c r="BC174" s="140">
        <f t="shared" si="136"/>
        <v>146300</v>
      </c>
      <c r="BD174" s="140">
        <f t="shared" si="125"/>
        <v>998.71</v>
      </c>
      <c r="BE174" s="139">
        <f t="shared" si="126"/>
        <v>0</v>
      </c>
      <c r="BF174" s="139">
        <f t="shared" si="127"/>
        <v>0</v>
      </c>
      <c r="BG174" s="139">
        <f t="shared" si="111"/>
        <v>0</v>
      </c>
      <c r="BH174" s="139">
        <f t="shared" si="112"/>
        <v>0</v>
      </c>
      <c r="BI174" s="139">
        <f>ROUND(BE174*'[1]数据-取费表'!$B$51/(1+'[1]数据-取费表'!$C$42),0)</f>
        <v>0</v>
      </c>
      <c r="BJ174" s="139">
        <f>ROUND(BG174*'[1]数据-取费表'!B$41/(1+'[1]数据-取费表'!C$42),0)</f>
        <v>0</v>
      </c>
      <c r="BK174" s="139">
        <f t="shared" si="113"/>
        <v>0</v>
      </c>
      <c r="BL174" s="139">
        <f t="shared" si="114"/>
        <v>0</v>
      </c>
      <c r="BM174" s="139">
        <f t="shared" si="128"/>
        <v>0</v>
      </c>
      <c r="BN174" s="165">
        <f t="shared" si="115"/>
        <v>0</v>
      </c>
      <c r="BO174" s="140">
        <f t="shared" si="143"/>
        <v>1387.3340183243376</v>
      </c>
      <c r="BP174" s="194"/>
      <c r="BQ174" s="194"/>
      <c r="BR174" s="194"/>
    </row>
    <row r="175" spans="1:71" x14ac:dyDescent="0.2">
      <c r="A175" s="146">
        <v>158</v>
      </c>
      <c r="B175" s="125" t="s">
        <v>82</v>
      </c>
      <c r="C175" s="126" t="s">
        <v>85</v>
      </c>
      <c r="D175" s="127">
        <v>2303</v>
      </c>
      <c r="E175" s="127">
        <v>133.08000000000001</v>
      </c>
      <c r="F175" s="127" t="s">
        <v>83</v>
      </c>
      <c r="G175" s="127" t="s">
        <v>75</v>
      </c>
      <c r="H175" s="128">
        <v>56009</v>
      </c>
      <c r="I175" s="128">
        <v>44987</v>
      </c>
      <c r="J175" s="127">
        <f>IF(F175="商业",[1]项目基本情况!D$15,[1]项目基本情况!E$15)</f>
        <v>30.19</v>
      </c>
      <c r="K175" s="127"/>
      <c r="L175" s="127">
        <v>133.08000000000001</v>
      </c>
      <c r="M175" s="127">
        <v>20</v>
      </c>
      <c r="N175" s="127" t="s">
        <v>12</v>
      </c>
      <c r="O175" s="127">
        <v>2008</v>
      </c>
      <c r="P175" s="129">
        <f t="shared" si="98"/>
        <v>24.87</v>
      </c>
      <c r="Q175" s="129">
        <f>ROUND(P175*'[1]数据-取费表'!B$52,0)</f>
        <v>746</v>
      </c>
      <c r="R175" s="129">
        <f t="shared" si="130"/>
        <v>1508005</v>
      </c>
      <c r="S175" s="130">
        <f t="shared" si="116"/>
        <v>22620</v>
      </c>
      <c r="T175" s="131">
        <v>0.8</v>
      </c>
      <c r="U175" s="129">
        <f t="shared" si="131"/>
        <v>1206404</v>
      </c>
      <c r="V175" s="130">
        <f t="shared" si="99"/>
        <v>1206</v>
      </c>
      <c r="W175" s="130">
        <f t="shared" si="117"/>
        <v>1924</v>
      </c>
      <c r="X175" s="129">
        <f>ROUND(AC175*'[1]数据-取费表'!$B$41/(1+'[1]数据-取费表'!$C$42),0)</f>
        <v>20448</v>
      </c>
      <c r="Y175" s="129">
        <f>ROUND(AC175*'[1]数据-取费表'!$B$51/(1+'[1]数据-取费表'!$C$42),0)</f>
        <v>43817</v>
      </c>
      <c r="Z175" s="129">
        <f t="shared" si="100"/>
        <v>65011</v>
      </c>
      <c r="AA175" s="130">
        <f t="shared" si="101"/>
        <v>90761</v>
      </c>
      <c r="AB175" s="132">
        <f t="shared" si="129"/>
        <v>8.77</v>
      </c>
      <c r="AC175" s="129">
        <f t="shared" si="144"/>
        <v>383396</v>
      </c>
      <c r="AD175" s="129">
        <f t="shared" si="118"/>
        <v>1438</v>
      </c>
      <c r="AE175" s="129">
        <f t="shared" si="119"/>
        <v>384834</v>
      </c>
      <c r="AF175" s="133">
        <f t="shared" si="145"/>
        <v>0.03</v>
      </c>
      <c r="AG175" s="134"/>
      <c r="AH175" s="128">
        <f t="shared" si="146"/>
        <v>56009</v>
      </c>
      <c r="AI175" s="127">
        <f t="shared" si="132"/>
        <v>30.19</v>
      </c>
      <c r="AJ175" s="130">
        <f t="shared" si="102"/>
        <v>294073</v>
      </c>
      <c r="AK175" s="135">
        <f t="shared" si="103"/>
        <v>6060237</v>
      </c>
      <c r="AL175" s="131">
        <f t="shared" si="104"/>
        <v>0.25</v>
      </c>
      <c r="AM175" s="129">
        <f t="shared" si="105"/>
        <v>0</v>
      </c>
      <c r="AN175" s="130">
        <f t="shared" si="106"/>
        <v>0</v>
      </c>
      <c r="AO175" s="130">
        <f t="shared" si="107"/>
        <v>0</v>
      </c>
      <c r="AP175" s="129">
        <f>ROUND(AV175*'[1]数据-取费表'!$B$41/(1+'[1]数据-取费表'!$B$42),0)</f>
        <v>0</v>
      </c>
      <c r="AQ175" s="129">
        <f>ROUND(AV175*'[1]数据-取费表'!B$51/(1+'[1]数据-取费表'!C$42),0)</f>
        <v>0</v>
      </c>
      <c r="AR175" s="136">
        <f t="shared" si="108"/>
        <v>0</v>
      </c>
      <c r="AS175" s="130">
        <f t="shared" si="120"/>
        <v>0</v>
      </c>
      <c r="AT175" s="137">
        <f t="shared" si="137"/>
        <v>8.77</v>
      </c>
      <c r="AU175" s="138">
        <f t="shared" si="121"/>
        <v>21.41</v>
      </c>
      <c r="AV175" s="129">
        <f t="shared" si="122"/>
        <v>0</v>
      </c>
      <c r="AW175" s="129">
        <f t="shared" si="123"/>
        <v>0</v>
      </c>
      <c r="AX175" s="129">
        <f t="shared" si="109"/>
        <v>0</v>
      </c>
      <c r="AY175" s="127">
        <f t="shared" si="133"/>
        <v>0</v>
      </c>
      <c r="AZ175" s="139">
        <f t="shared" si="134"/>
        <v>0</v>
      </c>
      <c r="BA175" s="139">
        <f t="shared" si="124"/>
        <v>0</v>
      </c>
      <c r="BB175" s="140">
        <f t="shared" si="110"/>
        <v>0</v>
      </c>
      <c r="BC175" s="140">
        <f t="shared" si="136"/>
        <v>90095</v>
      </c>
      <c r="BD175" s="140">
        <f t="shared" si="125"/>
        <v>615.03</v>
      </c>
      <c r="BE175" s="139">
        <f t="shared" si="126"/>
        <v>0</v>
      </c>
      <c r="BF175" s="139">
        <f t="shared" si="127"/>
        <v>0</v>
      </c>
      <c r="BG175" s="139">
        <f t="shared" si="111"/>
        <v>0</v>
      </c>
      <c r="BH175" s="139">
        <f t="shared" si="112"/>
        <v>0</v>
      </c>
      <c r="BI175" s="139">
        <f>ROUND(BE175*'[1]数据-取费表'!$B$51/(1+'[1]数据-取费表'!$C$42),0)</f>
        <v>0</v>
      </c>
      <c r="BJ175" s="139">
        <f>ROUND(BG175*'[1]数据-取费表'!B$41/(1+'[1]数据-取费表'!C$42),0)</f>
        <v>0</v>
      </c>
      <c r="BK175" s="139">
        <f t="shared" si="113"/>
        <v>0</v>
      </c>
      <c r="BL175" s="139">
        <f t="shared" si="114"/>
        <v>0</v>
      </c>
      <c r="BM175" s="139">
        <f t="shared" si="128"/>
        <v>0</v>
      </c>
      <c r="BN175" s="165">
        <f t="shared" si="115"/>
        <v>0</v>
      </c>
      <c r="BO175" s="140">
        <f t="shared" si="143"/>
        <v>854.3541581540361</v>
      </c>
      <c r="BP175" s="194"/>
      <c r="BQ175" s="194"/>
      <c r="BR175" s="194"/>
    </row>
    <row r="176" spans="1:71" x14ac:dyDescent="0.2">
      <c r="A176" s="146">
        <v>159</v>
      </c>
      <c r="B176" s="125" t="s">
        <v>82</v>
      </c>
      <c r="C176" s="126" t="s">
        <v>85</v>
      </c>
      <c r="D176" s="127">
        <v>2305</v>
      </c>
      <c r="E176" s="127">
        <v>194.77</v>
      </c>
      <c r="F176" s="127" t="s">
        <v>83</v>
      </c>
      <c r="G176" s="127" t="s">
        <v>75</v>
      </c>
      <c r="H176" s="128">
        <v>56009</v>
      </c>
      <c r="I176" s="128">
        <v>44987</v>
      </c>
      <c r="J176" s="127">
        <f>IF(F176="商业",[1]项目基本情况!D$15,[1]项目基本情况!E$15)</f>
        <v>30.19</v>
      </c>
      <c r="K176" s="127"/>
      <c r="L176" s="127">
        <v>194.77</v>
      </c>
      <c r="M176" s="127">
        <v>20</v>
      </c>
      <c r="N176" s="127" t="s">
        <v>12</v>
      </c>
      <c r="O176" s="127">
        <v>2008</v>
      </c>
      <c r="P176" s="129">
        <f t="shared" si="98"/>
        <v>36.409999999999997</v>
      </c>
      <c r="Q176" s="129">
        <f>ROUND(P176*'[1]数据-取费表'!B$52,0)</f>
        <v>1092</v>
      </c>
      <c r="R176" s="129">
        <f t="shared" si="130"/>
        <v>2207050</v>
      </c>
      <c r="S176" s="130">
        <f t="shared" si="116"/>
        <v>33106</v>
      </c>
      <c r="T176" s="131">
        <v>0.8</v>
      </c>
      <c r="U176" s="129">
        <f t="shared" si="131"/>
        <v>1765640</v>
      </c>
      <c r="V176" s="130">
        <f t="shared" si="99"/>
        <v>1766</v>
      </c>
      <c r="W176" s="130">
        <f t="shared" si="117"/>
        <v>2816</v>
      </c>
      <c r="X176" s="129">
        <f>ROUND(AC176*'[1]数据-取费表'!$B$41/(1+'[1]数据-取费表'!$C$42),0)</f>
        <v>29927</v>
      </c>
      <c r="Y176" s="129">
        <f>ROUND(AC176*'[1]数据-取费表'!$B$51/(1+'[1]数据-取费表'!$C$42),0)</f>
        <v>64128</v>
      </c>
      <c r="Z176" s="129">
        <f t="shared" si="100"/>
        <v>95147</v>
      </c>
      <c r="AA176" s="130">
        <f t="shared" si="101"/>
        <v>132835</v>
      </c>
      <c r="AB176" s="132">
        <f t="shared" si="129"/>
        <v>8.77</v>
      </c>
      <c r="AC176" s="129">
        <f t="shared" si="144"/>
        <v>561122</v>
      </c>
      <c r="AD176" s="129">
        <f t="shared" si="118"/>
        <v>2104</v>
      </c>
      <c r="AE176" s="129">
        <f t="shared" si="119"/>
        <v>563226</v>
      </c>
      <c r="AF176" s="133">
        <f t="shared" si="145"/>
        <v>0.03</v>
      </c>
      <c r="AG176" s="134"/>
      <c r="AH176" s="128">
        <f t="shared" si="146"/>
        <v>56009</v>
      </c>
      <c r="AI176" s="127">
        <f t="shared" si="132"/>
        <v>30.19</v>
      </c>
      <c r="AJ176" s="130">
        <f t="shared" si="102"/>
        <v>430391</v>
      </c>
      <c r="AK176" s="135">
        <f t="shared" si="103"/>
        <v>8869470</v>
      </c>
      <c r="AL176" s="131">
        <f t="shared" si="104"/>
        <v>0.25</v>
      </c>
      <c r="AM176" s="129">
        <f t="shared" si="105"/>
        <v>0</v>
      </c>
      <c r="AN176" s="130">
        <f t="shared" si="106"/>
        <v>0</v>
      </c>
      <c r="AO176" s="130">
        <f t="shared" si="107"/>
        <v>0</v>
      </c>
      <c r="AP176" s="129">
        <f>ROUND(AV176*'[1]数据-取费表'!$B$41/(1+'[1]数据-取费表'!$B$42),0)</f>
        <v>0</v>
      </c>
      <c r="AQ176" s="129">
        <f>ROUND(AV176*'[1]数据-取费表'!B$51/(1+'[1]数据-取费表'!C$42),0)</f>
        <v>0</v>
      </c>
      <c r="AR176" s="136">
        <f t="shared" si="108"/>
        <v>0</v>
      </c>
      <c r="AS176" s="130">
        <f t="shared" si="120"/>
        <v>0</v>
      </c>
      <c r="AT176" s="137">
        <f t="shared" si="137"/>
        <v>8.77</v>
      </c>
      <c r="AU176" s="138">
        <f t="shared" si="121"/>
        <v>21.41</v>
      </c>
      <c r="AV176" s="129">
        <f t="shared" si="122"/>
        <v>0</v>
      </c>
      <c r="AW176" s="129">
        <f t="shared" si="123"/>
        <v>0</v>
      </c>
      <c r="AX176" s="129">
        <f t="shared" si="109"/>
        <v>0</v>
      </c>
      <c r="AY176" s="127">
        <f t="shared" si="133"/>
        <v>0</v>
      </c>
      <c r="AZ176" s="139">
        <f t="shared" si="134"/>
        <v>0</v>
      </c>
      <c r="BA176" s="139">
        <f t="shared" si="124"/>
        <v>0</v>
      </c>
      <c r="BB176" s="140">
        <f t="shared" si="110"/>
        <v>0</v>
      </c>
      <c r="BC176" s="140">
        <f t="shared" si="136"/>
        <v>131859</v>
      </c>
      <c r="BD176" s="140">
        <f t="shared" si="125"/>
        <v>900.13</v>
      </c>
      <c r="BE176" s="139">
        <f t="shared" si="126"/>
        <v>0</v>
      </c>
      <c r="BF176" s="139">
        <f t="shared" si="127"/>
        <v>0</v>
      </c>
      <c r="BG176" s="139">
        <f t="shared" si="111"/>
        <v>0</v>
      </c>
      <c r="BH176" s="139">
        <f t="shared" si="112"/>
        <v>0</v>
      </c>
      <c r="BI176" s="139">
        <f>ROUND(BE176*'[1]数据-取费表'!$B$51/(1+'[1]数据-取费表'!$C$42),0)</f>
        <v>0</v>
      </c>
      <c r="BJ176" s="139">
        <f>ROUND(BG176*'[1]数据-取费表'!B$41/(1+'[1]数据-取费表'!C$42),0)</f>
        <v>0</v>
      </c>
      <c r="BK176" s="139">
        <f t="shared" si="113"/>
        <v>0</v>
      </c>
      <c r="BL176" s="139">
        <f t="shared" si="114"/>
        <v>0</v>
      </c>
      <c r="BM176" s="139">
        <f t="shared" si="128"/>
        <v>0</v>
      </c>
      <c r="BN176" s="165">
        <f t="shared" si="115"/>
        <v>0</v>
      </c>
      <c r="BO176" s="140">
        <f t="shared" si="143"/>
        <v>1250.3939781460945</v>
      </c>
      <c r="BP176" s="194"/>
      <c r="BQ176" s="194"/>
      <c r="BR176" s="194"/>
    </row>
    <row r="177" spans="1:71" x14ac:dyDescent="0.2">
      <c r="A177" s="146">
        <v>160</v>
      </c>
      <c r="B177" s="125" t="s">
        <v>82</v>
      </c>
      <c r="C177" s="126" t="s">
        <v>85</v>
      </c>
      <c r="D177" s="127">
        <v>2306</v>
      </c>
      <c r="E177" s="127">
        <v>145.26</v>
      </c>
      <c r="F177" s="127" t="s">
        <v>83</v>
      </c>
      <c r="G177" s="127" t="s">
        <v>75</v>
      </c>
      <c r="H177" s="128">
        <v>56009</v>
      </c>
      <c r="I177" s="128">
        <v>44987</v>
      </c>
      <c r="J177" s="127">
        <f>IF(F177="商业",[1]项目基本情况!D$15,[1]项目基本情况!E$15)</f>
        <v>30.19</v>
      </c>
      <c r="K177" s="127"/>
      <c r="L177" s="127">
        <v>145.26</v>
      </c>
      <c r="M177" s="127">
        <v>20</v>
      </c>
      <c r="N177" s="127" t="s">
        <v>12</v>
      </c>
      <c r="O177" s="127">
        <v>2008</v>
      </c>
      <c r="P177" s="129">
        <f t="shared" si="98"/>
        <v>27.15</v>
      </c>
      <c r="Q177" s="129">
        <f>ROUND(P177*'[1]数据-取费表'!B$52,0)</f>
        <v>815</v>
      </c>
      <c r="R177" s="129">
        <f t="shared" si="130"/>
        <v>1646024</v>
      </c>
      <c r="S177" s="130">
        <f t="shared" si="116"/>
        <v>24690</v>
      </c>
      <c r="T177" s="131">
        <v>0.8</v>
      </c>
      <c r="U177" s="129">
        <f t="shared" si="131"/>
        <v>1316819</v>
      </c>
      <c r="V177" s="130">
        <f t="shared" si="99"/>
        <v>1317</v>
      </c>
      <c r="W177" s="130">
        <f t="shared" si="117"/>
        <v>2100</v>
      </c>
      <c r="X177" s="129">
        <f>ROUND(AC177*'[1]数据-取费表'!$B$41/(1+'[1]数据-取费表'!$C$42),0)</f>
        <v>22319</v>
      </c>
      <c r="Y177" s="129">
        <f>ROUND(AC177*'[1]数据-取费表'!$B$51/(1+'[1]数据-取费表'!$C$42),0)</f>
        <v>47827</v>
      </c>
      <c r="Z177" s="129">
        <f t="shared" si="100"/>
        <v>70961</v>
      </c>
      <c r="AA177" s="130">
        <f t="shared" si="101"/>
        <v>99068</v>
      </c>
      <c r="AB177" s="132">
        <f t="shared" si="129"/>
        <v>8.77</v>
      </c>
      <c r="AC177" s="129">
        <f t="shared" si="144"/>
        <v>418486</v>
      </c>
      <c r="AD177" s="129">
        <f t="shared" si="118"/>
        <v>1569</v>
      </c>
      <c r="AE177" s="129">
        <f t="shared" si="119"/>
        <v>420055</v>
      </c>
      <c r="AF177" s="133">
        <f t="shared" si="145"/>
        <v>0.03</v>
      </c>
      <c r="AG177" s="134"/>
      <c r="AH177" s="128">
        <f t="shared" si="146"/>
        <v>56009</v>
      </c>
      <c r="AI177" s="127">
        <f t="shared" si="132"/>
        <v>30.19</v>
      </c>
      <c r="AJ177" s="130">
        <f t="shared" si="102"/>
        <v>320987</v>
      </c>
      <c r="AK177" s="135">
        <f t="shared" si="103"/>
        <v>6614879</v>
      </c>
      <c r="AL177" s="131">
        <f t="shared" si="104"/>
        <v>0.25</v>
      </c>
      <c r="AM177" s="129">
        <f t="shared" si="105"/>
        <v>0</v>
      </c>
      <c r="AN177" s="130">
        <f t="shared" si="106"/>
        <v>0</v>
      </c>
      <c r="AO177" s="130">
        <f t="shared" si="107"/>
        <v>0</v>
      </c>
      <c r="AP177" s="129">
        <f>ROUND(AV177*'[1]数据-取费表'!$B$41/(1+'[1]数据-取费表'!$B$42),0)</f>
        <v>0</v>
      </c>
      <c r="AQ177" s="129">
        <f>ROUND(AV177*'[1]数据-取费表'!B$51/(1+'[1]数据-取费表'!C$42),0)</f>
        <v>0</v>
      </c>
      <c r="AR177" s="136">
        <f t="shared" si="108"/>
        <v>0</v>
      </c>
      <c r="AS177" s="130">
        <f t="shared" si="120"/>
        <v>0</v>
      </c>
      <c r="AT177" s="137">
        <f t="shared" si="137"/>
        <v>8.77</v>
      </c>
      <c r="AU177" s="138">
        <f t="shared" si="121"/>
        <v>21.41</v>
      </c>
      <c r="AV177" s="129">
        <f t="shared" si="122"/>
        <v>0</v>
      </c>
      <c r="AW177" s="129">
        <f t="shared" si="123"/>
        <v>0</v>
      </c>
      <c r="AX177" s="129">
        <f t="shared" si="109"/>
        <v>0</v>
      </c>
      <c r="AY177" s="127">
        <f t="shared" si="133"/>
        <v>0</v>
      </c>
      <c r="AZ177" s="139">
        <f t="shared" si="134"/>
        <v>0</v>
      </c>
      <c r="BA177" s="139">
        <f t="shared" si="124"/>
        <v>0</v>
      </c>
      <c r="BB177" s="140">
        <f t="shared" si="110"/>
        <v>0</v>
      </c>
      <c r="BC177" s="140">
        <f t="shared" si="136"/>
        <v>98341</v>
      </c>
      <c r="BD177" s="140">
        <f t="shared" si="125"/>
        <v>671.32</v>
      </c>
      <c r="BE177" s="139">
        <f t="shared" si="126"/>
        <v>0</v>
      </c>
      <c r="BF177" s="139">
        <f t="shared" si="127"/>
        <v>0</v>
      </c>
      <c r="BG177" s="139">
        <f t="shared" si="111"/>
        <v>0</v>
      </c>
      <c r="BH177" s="139">
        <f t="shared" si="112"/>
        <v>0</v>
      </c>
      <c r="BI177" s="139">
        <f>ROUND(BE177*'[1]数据-取费表'!$B$51/(1+'[1]数据-取费表'!$C$42),0)</f>
        <v>0</v>
      </c>
      <c r="BJ177" s="139">
        <f>ROUND(BG177*'[1]数据-取费表'!B$41/(1+'[1]数据-取费表'!C$42),0)</f>
        <v>0</v>
      </c>
      <c r="BK177" s="139">
        <f t="shared" si="113"/>
        <v>0</v>
      </c>
      <c r="BL177" s="139">
        <f t="shared" si="114"/>
        <v>0</v>
      </c>
      <c r="BM177" s="139">
        <f t="shared" si="128"/>
        <v>0</v>
      </c>
      <c r="BN177" s="165">
        <f t="shared" si="115"/>
        <v>0</v>
      </c>
      <c r="BO177" s="140">
        <f t="shared" si="143"/>
        <v>932.5480601791254</v>
      </c>
      <c r="BP177" s="194"/>
      <c r="BQ177" s="194"/>
      <c r="BR177" s="194"/>
    </row>
    <row r="178" spans="1:71" x14ac:dyDescent="0.2">
      <c r="A178" s="146">
        <v>161</v>
      </c>
      <c r="B178" s="125" t="s">
        <v>82</v>
      </c>
      <c r="C178" s="126" t="s">
        <v>85</v>
      </c>
      <c r="D178" s="127">
        <v>2307</v>
      </c>
      <c r="E178" s="127">
        <v>139.97999999999999</v>
      </c>
      <c r="F178" s="127" t="s">
        <v>83</v>
      </c>
      <c r="G178" s="127" t="s">
        <v>75</v>
      </c>
      <c r="H178" s="128">
        <v>56009</v>
      </c>
      <c r="I178" s="128">
        <v>44987</v>
      </c>
      <c r="J178" s="127">
        <f>IF(F178="商业",[1]项目基本情况!D$15,[1]项目基本情况!E$15)</f>
        <v>30.19</v>
      </c>
      <c r="K178" s="127"/>
      <c r="L178" s="127">
        <v>139.97999999999999</v>
      </c>
      <c r="M178" s="127">
        <v>20</v>
      </c>
      <c r="N178" s="127" t="s">
        <v>12</v>
      </c>
      <c r="O178" s="127">
        <v>2008</v>
      </c>
      <c r="P178" s="129">
        <f t="shared" si="98"/>
        <v>26.16</v>
      </c>
      <c r="Q178" s="129">
        <f>ROUND(P178*'[1]数据-取费表'!B$52,0)</f>
        <v>785</v>
      </c>
      <c r="R178" s="129">
        <f t="shared" si="130"/>
        <v>1586193</v>
      </c>
      <c r="S178" s="130">
        <f t="shared" si="116"/>
        <v>23793</v>
      </c>
      <c r="T178" s="131">
        <v>0.8</v>
      </c>
      <c r="U178" s="129">
        <f t="shared" si="131"/>
        <v>1268954</v>
      </c>
      <c r="V178" s="130">
        <f t="shared" si="99"/>
        <v>1269</v>
      </c>
      <c r="W178" s="130">
        <f t="shared" si="117"/>
        <v>2024</v>
      </c>
      <c r="X178" s="129">
        <f>ROUND(AC178*'[1]数据-取费表'!$B$41/(1+'[1]数据-取费表'!$C$42),0)</f>
        <v>21508</v>
      </c>
      <c r="Y178" s="129">
        <f>ROUND(AC178*'[1]数据-取费表'!$B$51/(1+'[1]数据-取费表'!$C$42),0)</f>
        <v>46089</v>
      </c>
      <c r="Z178" s="129">
        <f t="shared" si="100"/>
        <v>68382</v>
      </c>
      <c r="AA178" s="130">
        <f t="shared" si="101"/>
        <v>95468</v>
      </c>
      <c r="AB178" s="132">
        <f t="shared" si="129"/>
        <v>8.77</v>
      </c>
      <c r="AC178" s="129">
        <f t="shared" si="144"/>
        <v>403275</v>
      </c>
      <c r="AD178" s="129">
        <f t="shared" si="118"/>
        <v>1512</v>
      </c>
      <c r="AE178" s="129">
        <f t="shared" si="119"/>
        <v>404787</v>
      </c>
      <c r="AF178" s="133">
        <f t="shared" si="145"/>
        <v>0.03</v>
      </c>
      <c r="AG178" s="134"/>
      <c r="AH178" s="128">
        <f t="shared" si="146"/>
        <v>56009</v>
      </c>
      <c r="AI178" s="127">
        <f t="shared" si="132"/>
        <v>30.19</v>
      </c>
      <c r="AJ178" s="130">
        <f t="shared" si="102"/>
        <v>309319</v>
      </c>
      <c r="AK178" s="135">
        <f t="shared" si="103"/>
        <v>6374426</v>
      </c>
      <c r="AL178" s="131">
        <f t="shared" si="104"/>
        <v>0.25</v>
      </c>
      <c r="AM178" s="129">
        <f t="shared" si="105"/>
        <v>0</v>
      </c>
      <c r="AN178" s="130">
        <f t="shared" si="106"/>
        <v>0</v>
      </c>
      <c r="AO178" s="130">
        <f t="shared" si="107"/>
        <v>0</v>
      </c>
      <c r="AP178" s="129">
        <f>ROUND(AV178*'[1]数据-取费表'!$B$41/(1+'[1]数据-取费表'!$B$42),0)</f>
        <v>0</v>
      </c>
      <c r="AQ178" s="129">
        <f>ROUND(AV178*'[1]数据-取费表'!B$51/(1+'[1]数据-取费表'!C$42),0)</f>
        <v>0</v>
      </c>
      <c r="AR178" s="136">
        <f t="shared" si="108"/>
        <v>0</v>
      </c>
      <c r="AS178" s="130">
        <f t="shared" si="120"/>
        <v>0</v>
      </c>
      <c r="AT178" s="137">
        <f t="shared" si="137"/>
        <v>8.77</v>
      </c>
      <c r="AU178" s="138">
        <f t="shared" si="121"/>
        <v>21.41</v>
      </c>
      <c r="AV178" s="129">
        <f t="shared" si="122"/>
        <v>0</v>
      </c>
      <c r="AW178" s="129">
        <f t="shared" si="123"/>
        <v>0</v>
      </c>
      <c r="AX178" s="129">
        <f t="shared" si="109"/>
        <v>0</v>
      </c>
      <c r="AY178" s="127">
        <f t="shared" si="133"/>
        <v>0</v>
      </c>
      <c r="AZ178" s="139">
        <f t="shared" si="134"/>
        <v>0</v>
      </c>
      <c r="BA178" s="139">
        <f t="shared" si="124"/>
        <v>0</v>
      </c>
      <c r="BB178" s="140">
        <f t="shared" si="110"/>
        <v>0</v>
      </c>
      <c r="BC178" s="140">
        <f t="shared" si="136"/>
        <v>94766</v>
      </c>
      <c r="BD178" s="140">
        <f t="shared" si="125"/>
        <v>646.91999999999996</v>
      </c>
      <c r="BE178" s="139">
        <f t="shared" si="126"/>
        <v>0</v>
      </c>
      <c r="BF178" s="139">
        <f t="shared" si="127"/>
        <v>0</v>
      </c>
      <c r="BG178" s="139">
        <f t="shared" si="111"/>
        <v>0</v>
      </c>
      <c r="BH178" s="139">
        <f t="shared" si="112"/>
        <v>0</v>
      </c>
      <c r="BI178" s="139">
        <f>ROUND(BE178*'[1]数据-取费表'!$B$51/(1+'[1]数据-取费表'!$C$42),0)</f>
        <v>0</v>
      </c>
      <c r="BJ178" s="139">
        <f>ROUND(BG178*'[1]数据-取费表'!B$41/(1+'[1]数据-取费表'!C$42),0)</f>
        <v>0</v>
      </c>
      <c r="BK178" s="139">
        <f t="shared" si="113"/>
        <v>0</v>
      </c>
      <c r="BL178" s="139">
        <f t="shared" si="114"/>
        <v>0</v>
      </c>
      <c r="BM178" s="139">
        <f t="shared" si="128"/>
        <v>0</v>
      </c>
      <c r="BN178" s="165">
        <f t="shared" si="115"/>
        <v>0</v>
      </c>
      <c r="BO178" s="140">
        <f t="shared" si="143"/>
        <v>898.65338600232349</v>
      </c>
      <c r="BP178" s="194"/>
      <c r="BQ178" s="194"/>
      <c r="BR178" s="194"/>
    </row>
    <row r="179" spans="1:71" x14ac:dyDescent="0.2">
      <c r="A179" s="146">
        <v>162</v>
      </c>
      <c r="B179" s="125" t="s">
        <v>82</v>
      </c>
      <c r="C179" s="126" t="s">
        <v>85</v>
      </c>
      <c r="D179" s="127">
        <v>2308</v>
      </c>
      <c r="E179" s="127">
        <v>135.16999999999999</v>
      </c>
      <c r="F179" s="127" t="s">
        <v>83</v>
      </c>
      <c r="G179" s="127" t="s">
        <v>75</v>
      </c>
      <c r="H179" s="128">
        <v>56009</v>
      </c>
      <c r="I179" s="128">
        <v>44987</v>
      </c>
      <c r="J179" s="127">
        <f>IF(F179="商业",[1]项目基本情况!D$15,[1]项目基本情况!E$15)</f>
        <v>30.19</v>
      </c>
      <c r="K179" s="127"/>
      <c r="L179" s="127">
        <v>135.16999999999999</v>
      </c>
      <c r="M179" s="127">
        <v>20</v>
      </c>
      <c r="N179" s="127" t="s">
        <v>12</v>
      </c>
      <c r="O179" s="127">
        <v>2008</v>
      </c>
      <c r="P179" s="129">
        <f t="shared" si="98"/>
        <v>25.27</v>
      </c>
      <c r="Q179" s="129">
        <f>ROUND(P179*'[1]数据-取费表'!B$52,0)</f>
        <v>758</v>
      </c>
      <c r="R179" s="129">
        <f t="shared" si="130"/>
        <v>1531688</v>
      </c>
      <c r="S179" s="130">
        <f t="shared" si="116"/>
        <v>22975</v>
      </c>
      <c r="T179" s="131">
        <v>0.8</v>
      </c>
      <c r="U179" s="129">
        <f t="shared" si="131"/>
        <v>1225350</v>
      </c>
      <c r="V179" s="130">
        <f t="shared" si="99"/>
        <v>1225</v>
      </c>
      <c r="W179" s="130">
        <f t="shared" si="117"/>
        <v>1954</v>
      </c>
      <c r="X179" s="129">
        <f>ROUND(AC179*'[1]数据-取费表'!$B$41/(1+'[1]数据-取费表'!$C$42),0)</f>
        <v>20769</v>
      </c>
      <c r="Y179" s="129">
        <f>ROUND(AC179*'[1]数据-取费表'!$B$51/(1+'[1]数据-取费表'!$C$42),0)</f>
        <v>44505</v>
      </c>
      <c r="Z179" s="129">
        <f t="shared" si="100"/>
        <v>66032</v>
      </c>
      <c r="AA179" s="130">
        <f t="shared" si="101"/>
        <v>92186</v>
      </c>
      <c r="AB179" s="132">
        <f t="shared" si="129"/>
        <v>8.77</v>
      </c>
      <c r="AC179" s="129">
        <f t="shared" si="144"/>
        <v>389417</v>
      </c>
      <c r="AD179" s="129">
        <f t="shared" si="118"/>
        <v>1460</v>
      </c>
      <c r="AE179" s="129">
        <f t="shared" si="119"/>
        <v>390877</v>
      </c>
      <c r="AF179" s="133">
        <f t="shared" si="145"/>
        <v>0.03</v>
      </c>
      <c r="AG179" s="134"/>
      <c r="AH179" s="128">
        <f t="shared" si="146"/>
        <v>56009</v>
      </c>
      <c r="AI179" s="127">
        <f t="shared" si="132"/>
        <v>30.19</v>
      </c>
      <c r="AJ179" s="130">
        <f t="shared" si="102"/>
        <v>298691</v>
      </c>
      <c r="AK179" s="135">
        <f t="shared" si="103"/>
        <v>6155405</v>
      </c>
      <c r="AL179" s="131">
        <f t="shared" si="104"/>
        <v>0.25</v>
      </c>
      <c r="AM179" s="129">
        <f t="shared" si="105"/>
        <v>0</v>
      </c>
      <c r="AN179" s="130">
        <f t="shared" si="106"/>
        <v>0</v>
      </c>
      <c r="AO179" s="130">
        <f t="shared" si="107"/>
        <v>0</v>
      </c>
      <c r="AP179" s="129">
        <f>ROUND(AV179*'[1]数据-取费表'!$B$41/(1+'[1]数据-取费表'!$B$42),0)</f>
        <v>0</v>
      </c>
      <c r="AQ179" s="129">
        <f>ROUND(AV179*'[1]数据-取费表'!B$51/(1+'[1]数据-取费表'!C$42),0)</f>
        <v>0</v>
      </c>
      <c r="AR179" s="136">
        <f t="shared" si="108"/>
        <v>0</v>
      </c>
      <c r="AS179" s="130">
        <f t="shared" si="120"/>
        <v>0</v>
      </c>
      <c r="AT179" s="137">
        <f t="shared" si="137"/>
        <v>8.77</v>
      </c>
      <c r="AU179" s="138">
        <f t="shared" si="121"/>
        <v>21.41</v>
      </c>
      <c r="AV179" s="129">
        <f t="shared" si="122"/>
        <v>0</v>
      </c>
      <c r="AW179" s="129">
        <f t="shared" si="123"/>
        <v>0</v>
      </c>
      <c r="AX179" s="129">
        <f t="shared" si="109"/>
        <v>0</v>
      </c>
      <c r="AY179" s="127">
        <f t="shared" si="133"/>
        <v>0</v>
      </c>
      <c r="AZ179" s="139">
        <f t="shared" si="134"/>
        <v>0</v>
      </c>
      <c r="BA179" s="139">
        <f t="shared" si="124"/>
        <v>0</v>
      </c>
      <c r="BB179" s="140">
        <f t="shared" si="110"/>
        <v>0</v>
      </c>
      <c r="BC179" s="140">
        <f t="shared" si="136"/>
        <v>91510</v>
      </c>
      <c r="BD179" s="140">
        <f t="shared" si="125"/>
        <v>624.69000000000005</v>
      </c>
      <c r="BE179" s="139">
        <f t="shared" si="126"/>
        <v>0</v>
      </c>
      <c r="BF179" s="139">
        <f t="shared" si="127"/>
        <v>0</v>
      </c>
      <c r="BG179" s="139">
        <f t="shared" si="111"/>
        <v>0</v>
      </c>
      <c r="BH179" s="139">
        <f t="shared" si="112"/>
        <v>0</v>
      </c>
      <c r="BI179" s="139">
        <f>ROUND(BE179*'[1]数据-取费表'!$B$51/(1+'[1]数据-取费表'!$C$42),0)</f>
        <v>0</v>
      </c>
      <c r="BJ179" s="139">
        <f>ROUND(BG179*'[1]数据-取费表'!B$41/(1+'[1]数据-取费表'!C$42),0)</f>
        <v>0</v>
      </c>
      <c r="BK179" s="139">
        <f t="shared" si="113"/>
        <v>0</v>
      </c>
      <c r="BL179" s="139">
        <f t="shared" si="114"/>
        <v>0</v>
      </c>
      <c r="BM179" s="139">
        <f t="shared" si="128"/>
        <v>0</v>
      </c>
      <c r="BN179" s="165">
        <f t="shared" si="115"/>
        <v>0</v>
      </c>
      <c r="BO179" s="140">
        <f t="shared" si="143"/>
        <v>867.77311522567163</v>
      </c>
      <c r="BP179" s="194"/>
      <c r="BQ179" s="194"/>
      <c r="BR179" s="194"/>
    </row>
    <row r="180" spans="1:71" x14ac:dyDescent="0.2">
      <c r="A180" s="146">
        <v>163</v>
      </c>
      <c r="B180" s="125" t="s">
        <v>82</v>
      </c>
      <c r="C180" s="126" t="s">
        <v>85</v>
      </c>
      <c r="D180" s="127">
        <v>2309</v>
      </c>
      <c r="E180" s="127">
        <v>135.16999999999999</v>
      </c>
      <c r="F180" s="127" t="s">
        <v>83</v>
      </c>
      <c r="G180" s="127" t="s">
        <v>75</v>
      </c>
      <c r="H180" s="128">
        <v>56009</v>
      </c>
      <c r="I180" s="128">
        <v>44987</v>
      </c>
      <c r="J180" s="127">
        <f>IF(F180="商业",[1]项目基本情况!D$15,[1]项目基本情况!E$15)</f>
        <v>30.19</v>
      </c>
      <c r="K180" s="127"/>
      <c r="L180" s="127">
        <v>135.16999999999999</v>
      </c>
      <c r="M180" s="127">
        <v>20</v>
      </c>
      <c r="N180" s="127" t="s">
        <v>12</v>
      </c>
      <c r="O180" s="127">
        <v>2008</v>
      </c>
      <c r="P180" s="129">
        <f t="shared" si="98"/>
        <v>25.27</v>
      </c>
      <c r="Q180" s="129">
        <f>ROUND(P180*'[1]数据-取费表'!B$52,0)</f>
        <v>758</v>
      </c>
      <c r="R180" s="129">
        <f t="shared" si="130"/>
        <v>1531688</v>
      </c>
      <c r="S180" s="130">
        <f t="shared" si="116"/>
        <v>22975</v>
      </c>
      <c r="T180" s="131">
        <v>0.8</v>
      </c>
      <c r="U180" s="129">
        <f t="shared" si="131"/>
        <v>1225350</v>
      </c>
      <c r="V180" s="130">
        <f t="shared" si="99"/>
        <v>1225</v>
      </c>
      <c r="W180" s="130">
        <f t="shared" si="117"/>
        <v>1954</v>
      </c>
      <c r="X180" s="129">
        <f>ROUND(AC180*'[1]数据-取费表'!$B$41/(1+'[1]数据-取费表'!$C$42),0)</f>
        <v>20769</v>
      </c>
      <c r="Y180" s="129">
        <f>ROUND(AC180*'[1]数据-取费表'!$B$51/(1+'[1]数据-取费表'!$C$42),0)</f>
        <v>44505</v>
      </c>
      <c r="Z180" s="129">
        <f t="shared" si="100"/>
        <v>66032</v>
      </c>
      <c r="AA180" s="130">
        <f t="shared" si="101"/>
        <v>92186</v>
      </c>
      <c r="AB180" s="132">
        <f t="shared" si="129"/>
        <v>8.77</v>
      </c>
      <c r="AC180" s="129">
        <f t="shared" si="144"/>
        <v>389417</v>
      </c>
      <c r="AD180" s="129">
        <f t="shared" si="118"/>
        <v>1460</v>
      </c>
      <c r="AE180" s="129">
        <f t="shared" si="119"/>
        <v>390877</v>
      </c>
      <c r="AF180" s="133">
        <f t="shared" si="145"/>
        <v>0.03</v>
      </c>
      <c r="AG180" s="134"/>
      <c r="AH180" s="128">
        <f t="shared" si="146"/>
        <v>56009</v>
      </c>
      <c r="AI180" s="127">
        <f t="shared" si="132"/>
        <v>30.19</v>
      </c>
      <c r="AJ180" s="130">
        <f t="shared" si="102"/>
        <v>298691</v>
      </c>
      <c r="AK180" s="135">
        <f t="shared" si="103"/>
        <v>6155405</v>
      </c>
      <c r="AL180" s="131">
        <f t="shared" si="104"/>
        <v>0.25</v>
      </c>
      <c r="AM180" s="129">
        <f t="shared" si="105"/>
        <v>0</v>
      </c>
      <c r="AN180" s="130">
        <f t="shared" si="106"/>
        <v>0</v>
      </c>
      <c r="AO180" s="130">
        <f t="shared" si="107"/>
        <v>0</v>
      </c>
      <c r="AP180" s="129">
        <f>ROUND(AV180*'[1]数据-取费表'!$B$41/(1+'[1]数据-取费表'!$B$42),0)</f>
        <v>0</v>
      </c>
      <c r="AQ180" s="129">
        <f>ROUND(AV180*'[1]数据-取费表'!B$51/(1+'[1]数据-取费表'!C$42),0)</f>
        <v>0</v>
      </c>
      <c r="AR180" s="136">
        <f t="shared" si="108"/>
        <v>0</v>
      </c>
      <c r="AS180" s="130">
        <f t="shared" si="120"/>
        <v>0</v>
      </c>
      <c r="AT180" s="137">
        <f t="shared" si="137"/>
        <v>8.77</v>
      </c>
      <c r="AU180" s="138">
        <f t="shared" si="121"/>
        <v>21.41</v>
      </c>
      <c r="AV180" s="129">
        <f t="shared" si="122"/>
        <v>0</v>
      </c>
      <c r="AW180" s="129">
        <f t="shared" si="123"/>
        <v>0</v>
      </c>
      <c r="AX180" s="129">
        <f t="shared" si="109"/>
        <v>0</v>
      </c>
      <c r="AY180" s="127">
        <f t="shared" si="133"/>
        <v>0</v>
      </c>
      <c r="AZ180" s="139">
        <f t="shared" si="134"/>
        <v>0</v>
      </c>
      <c r="BA180" s="139">
        <f t="shared" si="124"/>
        <v>0</v>
      </c>
      <c r="BB180" s="140">
        <f t="shared" si="110"/>
        <v>0</v>
      </c>
      <c r="BC180" s="140">
        <f t="shared" si="136"/>
        <v>91510</v>
      </c>
      <c r="BD180" s="140">
        <f t="shared" si="125"/>
        <v>624.69000000000005</v>
      </c>
      <c r="BE180" s="139">
        <f t="shared" si="126"/>
        <v>0</v>
      </c>
      <c r="BF180" s="139">
        <f t="shared" si="127"/>
        <v>0</v>
      </c>
      <c r="BG180" s="139">
        <f t="shared" si="111"/>
        <v>0</v>
      </c>
      <c r="BH180" s="139">
        <f t="shared" si="112"/>
        <v>0</v>
      </c>
      <c r="BI180" s="139">
        <f>ROUND(BE180*'[1]数据-取费表'!$B$51/(1+'[1]数据-取费表'!$C$42),0)</f>
        <v>0</v>
      </c>
      <c r="BJ180" s="139">
        <f>ROUND(BG180*'[1]数据-取费表'!B$41/(1+'[1]数据-取费表'!C$42),0)</f>
        <v>0</v>
      </c>
      <c r="BK180" s="139">
        <f t="shared" si="113"/>
        <v>0</v>
      </c>
      <c r="BL180" s="139">
        <f t="shared" si="114"/>
        <v>0</v>
      </c>
      <c r="BM180" s="139">
        <f t="shared" si="128"/>
        <v>0</v>
      </c>
      <c r="BN180" s="165">
        <f t="shared" si="115"/>
        <v>0</v>
      </c>
      <c r="BO180" s="140">
        <f t="shared" si="143"/>
        <v>867.77311522567163</v>
      </c>
      <c r="BP180" s="194"/>
      <c r="BQ180" s="194"/>
      <c r="BR180" s="194"/>
    </row>
    <row r="181" spans="1:71" x14ac:dyDescent="0.2">
      <c r="A181" s="146">
        <v>164</v>
      </c>
      <c r="B181" s="125" t="s">
        <v>82</v>
      </c>
      <c r="C181" s="126" t="s">
        <v>85</v>
      </c>
      <c r="D181" s="127">
        <v>2310</v>
      </c>
      <c r="E181" s="127">
        <v>139.97999999999999</v>
      </c>
      <c r="F181" s="127" t="s">
        <v>83</v>
      </c>
      <c r="G181" s="127" t="s">
        <v>75</v>
      </c>
      <c r="H181" s="128">
        <v>56009</v>
      </c>
      <c r="I181" s="128">
        <v>44987</v>
      </c>
      <c r="J181" s="127">
        <f>IF(F181="商业",[1]项目基本情况!D$15,[1]项目基本情况!E$15)</f>
        <v>30.19</v>
      </c>
      <c r="K181" s="127"/>
      <c r="L181" s="127">
        <v>139.97999999999999</v>
      </c>
      <c r="M181" s="127">
        <v>20</v>
      </c>
      <c r="N181" s="127" t="s">
        <v>12</v>
      </c>
      <c r="O181" s="127">
        <v>2008</v>
      </c>
      <c r="P181" s="129">
        <f t="shared" si="98"/>
        <v>26.16</v>
      </c>
      <c r="Q181" s="129">
        <f>ROUND(P181*'[1]数据-取费表'!B$52,0)</f>
        <v>785</v>
      </c>
      <c r="R181" s="129">
        <f t="shared" si="130"/>
        <v>1586193</v>
      </c>
      <c r="S181" s="130">
        <f t="shared" si="116"/>
        <v>23793</v>
      </c>
      <c r="T181" s="131">
        <v>0.8</v>
      </c>
      <c r="U181" s="129">
        <f t="shared" si="131"/>
        <v>1268954</v>
      </c>
      <c r="V181" s="130">
        <f t="shared" si="99"/>
        <v>1269</v>
      </c>
      <c r="W181" s="130">
        <f t="shared" si="117"/>
        <v>2024</v>
      </c>
      <c r="X181" s="129">
        <f>ROUND(AC181*'[1]数据-取费表'!$B$41/(1+'[1]数据-取费表'!$C$42),0)</f>
        <v>21508</v>
      </c>
      <c r="Y181" s="129">
        <f>ROUND(AC181*'[1]数据-取费表'!$B$51/(1+'[1]数据-取费表'!$C$42),0)</f>
        <v>46089</v>
      </c>
      <c r="Z181" s="129">
        <f t="shared" si="100"/>
        <v>68382</v>
      </c>
      <c r="AA181" s="130">
        <f t="shared" si="101"/>
        <v>95468</v>
      </c>
      <c r="AB181" s="132">
        <f t="shared" si="129"/>
        <v>8.77</v>
      </c>
      <c r="AC181" s="129">
        <f t="shared" si="144"/>
        <v>403275</v>
      </c>
      <c r="AD181" s="129">
        <f t="shared" si="118"/>
        <v>1512</v>
      </c>
      <c r="AE181" s="129">
        <f t="shared" si="119"/>
        <v>404787</v>
      </c>
      <c r="AF181" s="133">
        <f t="shared" si="145"/>
        <v>0.03</v>
      </c>
      <c r="AG181" s="134"/>
      <c r="AH181" s="128">
        <f t="shared" si="146"/>
        <v>56009</v>
      </c>
      <c r="AI181" s="127">
        <f t="shared" si="132"/>
        <v>30.19</v>
      </c>
      <c r="AJ181" s="130">
        <f t="shared" si="102"/>
        <v>309319</v>
      </c>
      <c r="AK181" s="135">
        <f t="shared" si="103"/>
        <v>6374426</v>
      </c>
      <c r="AL181" s="131">
        <f t="shared" si="104"/>
        <v>0.25</v>
      </c>
      <c r="AM181" s="129">
        <f t="shared" si="105"/>
        <v>0</v>
      </c>
      <c r="AN181" s="130">
        <f t="shared" si="106"/>
        <v>0</v>
      </c>
      <c r="AO181" s="130">
        <f t="shared" si="107"/>
        <v>0</v>
      </c>
      <c r="AP181" s="129">
        <f>ROUND(AV181*'[1]数据-取费表'!$B$41/(1+'[1]数据-取费表'!$B$42),0)</f>
        <v>0</v>
      </c>
      <c r="AQ181" s="129">
        <f>ROUND(AV181*'[1]数据-取费表'!B$51/(1+'[1]数据-取费表'!C$42),0)</f>
        <v>0</v>
      </c>
      <c r="AR181" s="136">
        <f t="shared" si="108"/>
        <v>0</v>
      </c>
      <c r="AS181" s="130">
        <f t="shared" si="120"/>
        <v>0</v>
      </c>
      <c r="AT181" s="137">
        <f t="shared" si="137"/>
        <v>8.77</v>
      </c>
      <c r="AU181" s="138">
        <f t="shared" si="121"/>
        <v>21.41</v>
      </c>
      <c r="AV181" s="129">
        <f t="shared" si="122"/>
        <v>0</v>
      </c>
      <c r="AW181" s="129">
        <f t="shared" si="123"/>
        <v>0</v>
      </c>
      <c r="AX181" s="129">
        <f t="shared" si="109"/>
        <v>0</v>
      </c>
      <c r="AY181" s="127">
        <f t="shared" si="133"/>
        <v>0</v>
      </c>
      <c r="AZ181" s="139">
        <f t="shared" si="134"/>
        <v>0</v>
      </c>
      <c r="BA181" s="139">
        <f t="shared" si="124"/>
        <v>0</v>
      </c>
      <c r="BB181" s="140">
        <f t="shared" si="110"/>
        <v>0</v>
      </c>
      <c r="BC181" s="140">
        <f t="shared" si="136"/>
        <v>94766</v>
      </c>
      <c r="BD181" s="140">
        <f t="shared" si="125"/>
        <v>646.91999999999996</v>
      </c>
      <c r="BE181" s="139">
        <f t="shared" si="126"/>
        <v>0</v>
      </c>
      <c r="BF181" s="139">
        <f t="shared" si="127"/>
        <v>0</v>
      </c>
      <c r="BG181" s="139">
        <f t="shared" si="111"/>
        <v>0</v>
      </c>
      <c r="BH181" s="139">
        <f t="shared" si="112"/>
        <v>0</v>
      </c>
      <c r="BI181" s="139">
        <f>ROUND(BE181*'[1]数据-取费表'!$B$51/(1+'[1]数据-取费表'!$C$42),0)</f>
        <v>0</v>
      </c>
      <c r="BJ181" s="139">
        <f>ROUND(BG181*'[1]数据-取费表'!B$41/(1+'[1]数据-取费表'!C$42),0)</f>
        <v>0</v>
      </c>
      <c r="BK181" s="139">
        <f t="shared" si="113"/>
        <v>0</v>
      </c>
      <c r="BL181" s="139">
        <f t="shared" si="114"/>
        <v>0</v>
      </c>
      <c r="BM181" s="139">
        <f t="shared" si="128"/>
        <v>0</v>
      </c>
      <c r="BN181" s="165">
        <f t="shared" si="115"/>
        <v>0</v>
      </c>
      <c r="BO181" s="140">
        <f t="shared" si="143"/>
        <v>898.65338600232349</v>
      </c>
      <c r="BP181" s="194"/>
      <c r="BQ181" s="194"/>
      <c r="BR181" s="194"/>
    </row>
    <row r="182" spans="1:71" x14ac:dyDescent="0.2">
      <c r="A182" s="146">
        <v>165</v>
      </c>
      <c r="B182" s="125" t="s">
        <v>82</v>
      </c>
      <c r="C182" s="126" t="s">
        <v>85</v>
      </c>
      <c r="D182" s="127">
        <v>2311</v>
      </c>
      <c r="E182" s="127">
        <v>138.9</v>
      </c>
      <c r="F182" s="127" t="s">
        <v>83</v>
      </c>
      <c r="G182" s="127" t="s">
        <v>75</v>
      </c>
      <c r="H182" s="128">
        <v>56009</v>
      </c>
      <c r="I182" s="128">
        <v>44987</v>
      </c>
      <c r="J182" s="127">
        <f>IF(F182="商业",[1]项目基本情况!D$15,[1]项目基本情况!E$15)</f>
        <v>30.19</v>
      </c>
      <c r="K182" s="127"/>
      <c r="L182" s="127">
        <v>138.9</v>
      </c>
      <c r="M182" s="127">
        <v>20</v>
      </c>
      <c r="N182" s="127" t="s">
        <v>12</v>
      </c>
      <c r="O182" s="127">
        <v>2008</v>
      </c>
      <c r="P182" s="129">
        <f t="shared" si="98"/>
        <v>25.96</v>
      </c>
      <c r="Q182" s="129">
        <f>ROUND(P182*'[1]数据-取费表'!B$52,0)</f>
        <v>779</v>
      </c>
      <c r="R182" s="129">
        <f t="shared" si="130"/>
        <v>1573955</v>
      </c>
      <c r="S182" s="130">
        <f t="shared" si="116"/>
        <v>23609</v>
      </c>
      <c r="T182" s="131">
        <v>0.8</v>
      </c>
      <c r="U182" s="129">
        <f t="shared" si="131"/>
        <v>1259164</v>
      </c>
      <c r="V182" s="130">
        <f t="shared" si="99"/>
        <v>1259</v>
      </c>
      <c r="W182" s="130">
        <f t="shared" si="117"/>
        <v>2008</v>
      </c>
      <c r="X182" s="129">
        <f>ROUND(AC182*'[1]数据-取费表'!$B$41/(1+'[1]数据-取费表'!$C$42),0)</f>
        <v>21342</v>
      </c>
      <c r="Y182" s="129">
        <f>ROUND(AC182*'[1]数据-取费表'!$B$51/(1+'[1]数据-取费表'!$C$42),0)</f>
        <v>45733</v>
      </c>
      <c r="Z182" s="129">
        <f t="shared" si="100"/>
        <v>67854</v>
      </c>
      <c r="AA182" s="130">
        <f t="shared" si="101"/>
        <v>94730</v>
      </c>
      <c r="AB182" s="132">
        <f t="shared" si="129"/>
        <v>8.77</v>
      </c>
      <c r="AC182" s="129">
        <f t="shared" si="144"/>
        <v>400163</v>
      </c>
      <c r="AD182" s="129">
        <f t="shared" si="118"/>
        <v>1501</v>
      </c>
      <c r="AE182" s="129">
        <f t="shared" si="119"/>
        <v>401664</v>
      </c>
      <c r="AF182" s="133">
        <f t="shared" si="145"/>
        <v>0.03</v>
      </c>
      <c r="AG182" s="134"/>
      <c r="AH182" s="128">
        <f t="shared" si="146"/>
        <v>56009</v>
      </c>
      <c r="AI182" s="127">
        <f t="shared" si="132"/>
        <v>30.19</v>
      </c>
      <c r="AJ182" s="130">
        <f t="shared" si="102"/>
        <v>306934</v>
      </c>
      <c r="AK182" s="135">
        <f t="shared" si="103"/>
        <v>6325276</v>
      </c>
      <c r="AL182" s="131">
        <f t="shared" si="104"/>
        <v>0.25</v>
      </c>
      <c r="AM182" s="129">
        <f t="shared" si="105"/>
        <v>0</v>
      </c>
      <c r="AN182" s="130">
        <f t="shared" si="106"/>
        <v>0</v>
      </c>
      <c r="AO182" s="130">
        <f t="shared" si="107"/>
        <v>0</v>
      </c>
      <c r="AP182" s="129">
        <f>ROUND(AV182*'[1]数据-取费表'!$B$41/(1+'[1]数据-取费表'!$B$42),0)</f>
        <v>0</v>
      </c>
      <c r="AQ182" s="129">
        <f>ROUND(AV182*'[1]数据-取费表'!B$51/(1+'[1]数据-取费表'!C$42),0)</f>
        <v>0</v>
      </c>
      <c r="AR182" s="136">
        <f t="shared" si="108"/>
        <v>0</v>
      </c>
      <c r="AS182" s="130">
        <f t="shared" si="120"/>
        <v>0</v>
      </c>
      <c r="AT182" s="137">
        <f t="shared" si="137"/>
        <v>8.77</v>
      </c>
      <c r="AU182" s="138">
        <f t="shared" si="121"/>
        <v>21.41</v>
      </c>
      <c r="AV182" s="129">
        <f t="shared" si="122"/>
        <v>0</v>
      </c>
      <c r="AW182" s="129">
        <f t="shared" si="123"/>
        <v>0</v>
      </c>
      <c r="AX182" s="129">
        <f t="shared" si="109"/>
        <v>0</v>
      </c>
      <c r="AY182" s="127">
        <f t="shared" si="133"/>
        <v>0</v>
      </c>
      <c r="AZ182" s="139">
        <f t="shared" si="134"/>
        <v>0</v>
      </c>
      <c r="BA182" s="139">
        <f t="shared" si="124"/>
        <v>0</v>
      </c>
      <c r="BB182" s="140">
        <f t="shared" si="110"/>
        <v>0</v>
      </c>
      <c r="BC182" s="140">
        <f t="shared" si="136"/>
        <v>94035</v>
      </c>
      <c r="BD182" s="140">
        <f t="shared" si="125"/>
        <v>641.92999999999995</v>
      </c>
      <c r="BE182" s="139">
        <f t="shared" si="126"/>
        <v>0</v>
      </c>
      <c r="BF182" s="139">
        <f t="shared" si="127"/>
        <v>0</v>
      </c>
      <c r="BG182" s="139">
        <f t="shared" si="111"/>
        <v>0</v>
      </c>
      <c r="BH182" s="139">
        <f t="shared" si="112"/>
        <v>0</v>
      </c>
      <c r="BI182" s="139">
        <f>ROUND(BE182*'[1]数据-取费表'!$B$51/(1+'[1]数据-取费表'!$C$42),0)</f>
        <v>0</v>
      </c>
      <c r="BJ182" s="139">
        <f>ROUND(BG182*'[1]数据-取费表'!B$41/(1+'[1]数据-取费表'!C$42),0)</f>
        <v>0</v>
      </c>
      <c r="BK182" s="139">
        <f t="shared" si="113"/>
        <v>0</v>
      </c>
      <c r="BL182" s="139">
        <f t="shared" si="114"/>
        <v>0</v>
      </c>
      <c r="BM182" s="139">
        <f t="shared" si="128"/>
        <v>0</v>
      </c>
      <c r="BN182" s="165">
        <f t="shared" si="115"/>
        <v>0</v>
      </c>
      <c r="BO182" s="140">
        <f t="shared" si="143"/>
        <v>891.72164730796919</v>
      </c>
      <c r="BP182" s="194"/>
      <c r="BQ182" s="194"/>
      <c r="BR182" s="194"/>
    </row>
    <row r="183" spans="1:71" x14ac:dyDescent="0.2">
      <c r="A183" s="146">
        <v>166</v>
      </c>
      <c r="B183" s="125" t="s">
        <v>82</v>
      </c>
      <c r="C183" s="126" t="s">
        <v>85</v>
      </c>
      <c r="D183" s="127">
        <v>2312</v>
      </c>
      <c r="E183" s="127">
        <v>210.76</v>
      </c>
      <c r="F183" s="127" t="s">
        <v>83</v>
      </c>
      <c r="G183" s="127" t="s">
        <v>75</v>
      </c>
      <c r="H183" s="128">
        <v>56009</v>
      </c>
      <c r="I183" s="128">
        <v>44987</v>
      </c>
      <c r="J183" s="127">
        <f>IF(F183="商业",[1]项目基本情况!D$15,[1]项目基本情况!E$15)</f>
        <v>30.19</v>
      </c>
      <c r="K183" s="127"/>
      <c r="L183" s="127">
        <v>210.76</v>
      </c>
      <c r="M183" s="127">
        <v>20</v>
      </c>
      <c r="N183" s="127" t="s">
        <v>12</v>
      </c>
      <c r="O183" s="127">
        <v>2008</v>
      </c>
      <c r="P183" s="129">
        <f t="shared" si="98"/>
        <v>39.39</v>
      </c>
      <c r="Q183" s="129">
        <f>ROUND(P183*'[1]数据-取费表'!B$52,0)</f>
        <v>1182</v>
      </c>
      <c r="R183" s="129">
        <f t="shared" si="130"/>
        <v>2388242</v>
      </c>
      <c r="S183" s="130">
        <f t="shared" si="116"/>
        <v>35824</v>
      </c>
      <c r="T183" s="131">
        <v>0.8</v>
      </c>
      <c r="U183" s="129">
        <f t="shared" si="131"/>
        <v>1910594</v>
      </c>
      <c r="V183" s="130">
        <f t="shared" si="99"/>
        <v>1911</v>
      </c>
      <c r="W183" s="130">
        <f t="shared" si="117"/>
        <v>3047</v>
      </c>
      <c r="X183" s="129">
        <f>ROUND(AC183*'[1]数据-取费表'!$B$41/(1+'[1]数据-取费表'!$C$42),0)</f>
        <v>32383</v>
      </c>
      <c r="Y183" s="129">
        <f>ROUND(AC183*'[1]数据-取费表'!$B$51/(1+'[1]数据-取费表'!$C$42),0)</f>
        <v>69393</v>
      </c>
      <c r="Z183" s="129">
        <f t="shared" si="100"/>
        <v>102958</v>
      </c>
      <c r="AA183" s="130">
        <f t="shared" si="101"/>
        <v>143740</v>
      </c>
      <c r="AB183" s="132">
        <f t="shared" si="129"/>
        <v>8.77</v>
      </c>
      <c r="AC183" s="129">
        <f t="shared" si="144"/>
        <v>607188</v>
      </c>
      <c r="AD183" s="129">
        <f t="shared" si="118"/>
        <v>2277</v>
      </c>
      <c r="AE183" s="129">
        <f t="shared" si="119"/>
        <v>609465</v>
      </c>
      <c r="AF183" s="133">
        <f t="shared" si="145"/>
        <v>0.03</v>
      </c>
      <c r="AG183" s="134"/>
      <c r="AH183" s="128">
        <f t="shared" si="146"/>
        <v>56009</v>
      </c>
      <c r="AI183" s="127">
        <f t="shared" si="132"/>
        <v>30.19</v>
      </c>
      <c r="AJ183" s="130">
        <f t="shared" si="102"/>
        <v>465725</v>
      </c>
      <c r="AK183" s="135">
        <f t="shared" si="103"/>
        <v>9597631</v>
      </c>
      <c r="AL183" s="131">
        <f t="shared" si="104"/>
        <v>0.25</v>
      </c>
      <c r="AM183" s="129">
        <f t="shared" si="105"/>
        <v>0</v>
      </c>
      <c r="AN183" s="130">
        <f t="shared" si="106"/>
        <v>0</v>
      </c>
      <c r="AO183" s="130">
        <f t="shared" si="107"/>
        <v>0</v>
      </c>
      <c r="AP183" s="129">
        <f>ROUND(AV183*'[1]数据-取费表'!$B$41/(1+'[1]数据-取费表'!$B$42),0)</f>
        <v>0</v>
      </c>
      <c r="AQ183" s="129">
        <f>ROUND(AV183*'[1]数据-取费表'!B$51/(1+'[1]数据-取费表'!C$42),0)</f>
        <v>0</v>
      </c>
      <c r="AR183" s="136">
        <f t="shared" si="108"/>
        <v>0</v>
      </c>
      <c r="AS183" s="130">
        <f t="shared" si="120"/>
        <v>0</v>
      </c>
      <c r="AT183" s="137">
        <f t="shared" si="137"/>
        <v>8.77</v>
      </c>
      <c r="AU183" s="138">
        <f t="shared" si="121"/>
        <v>21.41</v>
      </c>
      <c r="AV183" s="129">
        <f t="shared" si="122"/>
        <v>0</v>
      </c>
      <c r="AW183" s="129">
        <f t="shared" si="123"/>
        <v>0</v>
      </c>
      <c r="AX183" s="129">
        <f t="shared" si="109"/>
        <v>0</v>
      </c>
      <c r="AY183" s="127">
        <f t="shared" si="133"/>
        <v>0</v>
      </c>
      <c r="AZ183" s="139">
        <f t="shared" si="134"/>
        <v>0</v>
      </c>
      <c r="BA183" s="139">
        <f t="shared" si="124"/>
        <v>0</v>
      </c>
      <c r="BB183" s="140">
        <f t="shared" si="110"/>
        <v>0</v>
      </c>
      <c r="BC183" s="140">
        <f t="shared" si="136"/>
        <v>142685</v>
      </c>
      <c r="BD183" s="140">
        <f t="shared" si="125"/>
        <v>974.03</v>
      </c>
      <c r="BE183" s="139">
        <f t="shared" si="126"/>
        <v>0</v>
      </c>
      <c r="BF183" s="139">
        <f t="shared" si="127"/>
        <v>0</v>
      </c>
      <c r="BG183" s="139">
        <f t="shared" si="111"/>
        <v>0</v>
      </c>
      <c r="BH183" s="139">
        <f t="shared" si="112"/>
        <v>0</v>
      </c>
      <c r="BI183" s="139">
        <f>ROUND(BE183*'[1]数据-取费表'!$B$51/(1+'[1]数据-取费表'!$C$42),0)</f>
        <v>0</v>
      </c>
      <c r="BJ183" s="139">
        <f>ROUND(BG183*'[1]数据-取费表'!B$41/(1+'[1]数据-取费表'!C$42),0)</f>
        <v>0</v>
      </c>
      <c r="BK183" s="139">
        <f t="shared" si="113"/>
        <v>0</v>
      </c>
      <c r="BL183" s="139">
        <f t="shared" si="114"/>
        <v>0</v>
      </c>
      <c r="BM183" s="139">
        <f t="shared" si="128"/>
        <v>0</v>
      </c>
      <c r="BN183" s="165">
        <f t="shared" si="115"/>
        <v>0</v>
      </c>
      <c r="BO183" s="140">
        <f t="shared" si="143"/>
        <v>1353.0503888700969</v>
      </c>
      <c r="BP183" s="194"/>
      <c r="BQ183" s="194"/>
      <c r="BR183" s="194"/>
    </row>
    <row r="184" spans="1:71" ht="14.25" customHeight="1" x14ac:dyDescent="0.2">
      <c r="A184" s="146">
        <v>167</v>
      </c>
      <c r="B184" s="141" t="s">
        <v>82</v>
      </c>
      <c r="C184" s="142" t="s">
        <v>85</v>
      </c>
      <c r="D184" s="143">
        <v>2510</v>
      </c>
      <c r="E184" s="143">
        <v>139.77000000000001</v>
      </c>
      <c r="F184" s="143" t="s">
        <v>83</v>
      </c>
      <c r="G184" s="143" t="s">
        <v>75</v>
      </c>
      <c r="H184" s="144">
        <v>56009</v>
      </c>
      <c r="I184" s="144">
        <v>44987</v>
      </c>
      <c r="J184" s="143">
        <f>IF(F184="商业",[1]项目基本情况!D$15,[1]项目基本情况!E$15)</f>
        <v>30.19</v>
      </c>
      <c r="K184" s="143" t="s">
        <v>84</v>
      </c>
      <c r="L184" s="230">
        <f>SUM(E184:E187)</f>
        <v>624.37</v>
      </c>
      <c r="M184" s="143">
        <v>21</v>
      </c>
      <c r="N184" s="143" t="s">
        <v>12</v>
      </c>
      <c r="O184" s="143">
        <v>2008</v>
      </c>
      <c r="P184" s="230">
        <f t="shared" si="98"/>
        <v>116.7</v>
      </c>
      <c r="Q184" s="230">
        <f>ROUND(P184*'[1]数据-取费表'!B$52,0)</f>
        <v>3501</v>
      </c>
      <c r="R184" s="230">
        <f t="shared" si="130"/>
        <v>7075092</v>
      </c>
      <c r="S184" s="230">
        <f t="shared" si="116"/>
        <v>106126</v>
      </c>
      <c r="T184" s="233">
        <v>0.8</v>
      </c>
      <c r="U184" s="230">
        <f t="shared" si="131"/>
        <v>5660074</v>
      </c>
      <c r="V184" s="230">
        <f t="shared" si="99"/>
        <v>5660</v>
      </c>
      <c r="W184" s="230">
        <f t="shared" si="117"/>
        <v>7312</v>
      </c>
      <c r="X184" s="230">
        <f>ROUND(AC184*'[1]数据-取费表'!$B$41/(1+'[1]数据-取费表'!$C$42),0)</f>
        <v>77706</v>
      </c>
      <c r="Y184" s="230">
        <f>ROUND(AC184*'[1]数据-取费表'!$B$51/(1+'[1]数据-取费表'!$C$42),0)</f>
        <v>166512</v>
      </c>
      <c r="Z184" s="230">
        <f t="shared" si="100"/>
        <v>247719</v>
      </c>
      <c r="AA184" s="230">
        <f t="shared" si="101"/>
        <v>366817</v>
      </c>
      <c r="AB184" s="231">
        <f>ROUND(AC184/365/L184,0)</f>
        <v>6</v>
      </c>
      <c r="AC184" s="230">
        <v>1456980</v>
      </c>
      <c r="AD184" s="230">
        <f t="shared" si="118"/>
        <v>5464</v>
      </c>
      <c r="AE184" s="230">
        <f t="shared" si="119"/>
        <v>1462444</v>
      </c>
      <c r="AF184" s="232">
        <v>2.0500000000000001E-2</v>
      </c>
      <c r="AG184" s="230"/>
      <c r="AH184" s="236">
        <v>45777</v>
      </c>
      <c r="AI184" s="230">
        <f t="shared" si="132"/>
        <v>2.16</v>
      </c>
      <c r="AJ184" s="230">
        <f t="shared" si="102"/>
        <v>1095627</v>
      </c>
      <c r="AK184" s="235">
        <f t="shared" si="103"/>
        <v>2200708</v>
      </c>
      <c r="AL184" s="233">
        <f t="shared" si="104"/>
        <v>0.72</v>
      </c>
      <c r="AM184" s="230">
        <f t="shared" si="105"/>
        <v>5094066</v>
      </c>
      <c r="AN184" s="230">
        <f t="shared" si="106"/>
        <v>5094</v>
      </c>
      <c r="AO184" s="230">
        <f t="shared" si="107"/>
        <v>9625</v>
      </c>
      <c r="AP184" s="230">
        <f>ROUND(AV184*'[1]数据-取费表'!$B$41/(1+'[1]数据-取费表'!$B$42),0)</f>
        <v>102279</v>
      </c>
      <c r="AQ184" s="230">
        <f>ROUND(AV184*'[1]数据-取费表'!B$51/(1+'[1]数据-取费表'!C$42),0)</f>
        <v>219170</v>
      </c>
      <c r="AR184" s="230">
        <f t="shared" si="108"/>
        <v>324950</v>
      </c>
      <c r="AS184" s="230">
        <f t="shared" si="120"/>
        <v>445795</v>
      </c>
      <c r="AT184" s="234">
        <f t="shared" si="137"/>
        <v>8.77</v>
      </c>
      <c r="AU184" s="235">
        <f t="shared" si="121"/>
        <v>9.35</v>
      </c>
      <c r="AV184" s="230">
        <f t="shared" si="122"/>
        <v>1917737</v>
      </c>
      <c r="AW184" s="230">
        <f t="shared" si="123"/>
        <v>7192</v>
      </c>
      <c r="AX184" s="230">
        <f t="shared" si="109"/>
        <v>1924929</v>
      </c>
      <c r="AY184" s="230">
        <f t="shared" si="133"/>
        <v>28.03</v>
      </c>
      <c r="AZ184" s="237">
        <f t="shared" si="134"/>
        <v>1479134</v>
      </c>
      <c r="BA184" s="237">
        <f t="shared" si="124"/>
        <v>28956908</v>
      </c>
      <c r="BB184" s="239">
        <f t="shared" si="110"/>
        <v>25794486</v>
      </c>
      <c r="BC184" s="239">
        <f t="shared" si="136"/>
        <v>422698</v>
      </c>
      <c r="BD184" s="239">
        <f t="shared" si="125"/>
        <v>2841.79</v>
      </c>
      <c r="BE184" s="237">
        <f t="shared" si="126"/>
        <v>1798776</v>
      </c>
      <c r="BF184" s="237">
        <f t="shared" si="127"/>
        <v>6745</v>
      </c>
      <c r="BG184" s="237">
        <f t="shared" si="111"/>
        <v>1805521</v>
      </c>
      <c r="BH184" s="237">
        <f t="shared" si="112"/>
        <v>9028</v>
      </c>
      <c r="BI184" s="237">
        <f>ROUND(BE184*'[1]数据-取费表'!$B$51/(1+'[1]数据-取费表'!$C$42),0)</f>
        <v>205574</v>
      </c>
      <c r="BJ184" s="237">
        <f>ROUND(BG184*'[1]数据-取费表'!B$41/(1+'[1]数据-取费表'!C$42),0)</f>
        <v>96294</v>
      </c>
      <c r="BK184" s="237">
        <f t="shared" si="113"/>
        <v>426183</v>
      </c>
      <c r="BL184" s="237">
        <f t="shared" si="114"/>
        <v>1379338</v>
      </c>
      <c r="BM184" s="237">
        <f t="shared" si="128"/>
        <v>2785283</v>
      </c>
      <c r="BN184" s="238">
        <f t="shared" si="115"/>
        <v>584575</v>
      </c>
      <c r="BO184" s="239">
        <f t="shared" si="143"/>
        <v>3947.6043495448325</v>
      </c>
      <c r="BP184" s="239">
        <f>SUM(BO184:BO193)</f>
        <v>10420.22301266232</v>
      </c>
      <c r="BQ184" s="239">
        <f>ROUND(BP184*10000/BS184,0)</f>
        <v>63805</v>
      </c>
      <c r="BR184" s="195"/>
      <c r="BS184" s="20">
        <f>SUM(E184:E193)</f>
        <v>1633.13</v>
      </c>
    </row>
    <row r="185" spans="1:71" x14ac:dyDescent="0.2">
      <c r="A185" s="146">
        <v>168</v>
      </c>
      <c r="B185" s="141" t="s">
        <v>82</v>
      </c>
      <c r="C185" s="142" t="s">
        <v>85</v>
      </c>
      <c r="D185" s="143">
        <v>2511</v>
      </c>
      <c r="E185" s="143">
        <v>138.9</v>
      </c>
      <c r="F185" s="143" t="s">
        <v>83</v>
      </c>
      <c r="G185" s="143" t="s">
        <v>75</v>
      </c>
      <c r="H185" s="144">
        <v>56009</v>
      </c>
      <c r="I185" s="144">
        <v>44987</v>
      </c>
      <c r="J185" s="143">
        <f>IF(F185="商业",[1]项目基本情况!D$15,[1]项目基本情况!E$15)</f>
        <v>30.19</v>
      </c>
      <c r="K185" s="143" t="s">
        <v>84</v>
      </c>
      <c r="L185" s="230"/>
      <c r="M185" s="143">
        <v>21</v>
      </c>
      <c r="N185" s="143" t="s">
        <v>12</v>
      </c>
      <c r="O185" s="143">
        <v>2008</v>
      </c>
      <c r="P185" s="230">
        <f t="shared" si="98"/>
        <v>0</v>
      </c>
      <c r="Q185" s="230">
        <f>ROUND(P185*'[1]数据-取费表'!B$52,0)</f>
        <v>0</v>
      </c>
      <c r="R185" s="230">
        <f t="shared" si="130"/>
        <v>0</v>
      </c>
      <c r="S185" s="230">
        <f t="shared" si="116"/>
        <v>0</v>
      </c>
      <c r="T185" s="233">
        <v>0.8</v>
      </c>
      <c r="U185" s="230">
        <f t="shared" si="131"/>
        <v>0</v>
      </c>
      <c r="V185" s="230">
        <f t="shared" si="99"/>
        <v>0</v>
      </c>
      <c r="W185" s="230">
        <f t="shared" si="117"/>
        <v>0</v>
      </c>
      <c r="X185" s="230">
        <f>ROUND(AC185*'[1]数据-取费表'!$B$41/(1+'[1]数据-取费表'!$C$42),0)</f>
        <v>0</v>
      </c>
      <c r="Y185" s="230">
        <f>ROUND(AC185*'[1]数据-取费表'!$B$51/(1+'[1]数据-取费表'!$C$42),0)</f>
        <v>0</v>
      </c>
      <c r="Z185" s="230">
        <f t="shared" si="100"/>
        <v>0</v>
      </c>
      <c r="AA185" s="230">
        <f t="shared" si="101"/>
        <v>0</v>
      </c>
      <c r="AB185" s="231">
        <f t="shared" si="129"/>
        <v>8.77</v>
      </c>
      <c r="AC185" s="230"/>
      <c r="AD185" s="230">
        <f t="shared" si="118"/>
        <v>0</v>
      </c>
      <c r="AE185" s="230">
        <f t="shared" si="119"/>
        <v>0</v>
      </c>
      <c r="AF185" s="232"/>
      <c r="AG185" s="230"/>
      <c r="AH185" s="236"/>
      <c r="AI185" s="230">
        <f t="shared" si="132"/>
        <v>-123.25</v>
      </c>
      <c r="AJ185" s="230">
        <f t="shared" si="102"/>
        <v>0</v>
      </c>
      <c r="AK185" s="235">
        <f t="shared" si="103"/>
        <v>0</v>
      </c>
      <c r="AL185" s="233">
        <f t="shared" si="104"/>
        <v>2.8</v>
      </c>
      <c r="AM185" s="230">
        <f t="shared" si="105"/>
        <v>0</v>
      </c>
      <c r="AN185" s="230">
        <f t="shared" si="106"/>
        <v>0</v>
      </c>
      <c r="AO185" s="230">
        <f t="shared" si="107"/>
        <v>0</v>
      </c>
      <c r="AP185" s="230">
        <f>ROUND(AV185*'[1]数据-取费表'!$B$41/(1+'[1]数据-取费表'!$B$42),0)</f>
        <v>0</v>
      </c>
      <c r="AQ185" s="230">
        <f>ROUND(AV185*'[1]数据-取费表'!B$51/(1+'[1]数据-取费表'!C$42),0)</f>
        <v>0</v>
      </c>
      <c r="AR185" s="230">
        <f t="shared" si="108"/>
        <v>0</v>
      </c>
      <c r="AS185" s="230">
        <f t="shared" si="120"/>
        <v>0</v>
      </c>
      <c r="AT185" s="234">
        <f t="shared" si="137"/>
        <v>8.77</v>
      </c>
      <c r="AU185" s="235">
        <f t="shared" si="121"/>
        <v>0.23</v>
      </c>
      <c r="AV185" s="230">
        <f t="shared" si="122"/>
        <v>0</v>
      </c>
      <c r="AW185" s="230">
        <f t="shared" si="123"/>
        <v>0</v>
      </c>
      <c r="AX185" s="230">
        <f t="shared" si="109"/>
        <v>0</v>
      </c>
      <c r="AY185" s="230">
        <f t="shared" si="133"/>
        <v>153.44</v>
      </c>
      <c r="AZ185" s="237">
        <f t="shared" si="134"/>
        <v>0</v>
      </c>
      <c r="BA185" s="237">
        <f t="shared" si="124"/>
        <v>0</v>
      </c>
      <c r="BB185" s="239">
        <f t="shared" si="110"/>
        <v>0</v>
      </c>
      <c r="BC185" s="239">
        <f t="shared" si="136"/>
        <v>0</v>
      </c>
      <c r="BD185" s="239">
        <f t="shared" si="125"/>
        <v>0</v>
      </c>
      <c r="BE185" s="237">
        <f t="shared" si="126"/>
        <v>0</v>
      </c>
      <c r="BF185" s="237">
        <f t="shared" si="127"/>
        <v>0</v>
      </c>
      <c r="BG185" s="237">
        <f t="shared" si="111"/>
        <v>0</v>
      </c>
      <c r="BH185" s="237">
        <f t="shared" si="112"/>
        <v>0</v>
      </c>
      <c r="BI185" s="237">
        <f>ROUND(BE185*'[1]数据-取费表'!$B$51/(1+'[1]数据-取费表'!$C$42),0)</f>
        <v>0</v>
      </c>
      <c r="BJ185" s="237">
        <f>ROUND(BG185*'[1]数据-取费表'!B$41/(1+'[1]数据-取费表'!C$42),0)</f>
        <v>0</v>
      </c>
      <c r="BK185" s="237">
        <f t="shared" si="113"/>
        <v>0</v>
      </c>
      <c r="BL185" s="237">
        <f t="shared" si="114"/>
        <v>0</v>
      </c>
      <c r="BM185" s="237">
        <f t="shared" si="128"/>
        <v>0</v>
      </c>
      <c r="BN185" s="238">
        <f t="shared" si="115"/>
        <v>0</v>
      </c>
      <c r="BO185" s="239"/>
      <c r="BP185" s="239"/>
      <c r="BQ185" s="239"/>
      <c r="BR185" s="195"/>
    </row>
    <row r="186" spans="1:71" x14ac:dyDescent="0.2">
      <c r="A186" s="146">
        <v>169</v>
      </c>
      <c r="B186" s="141" t="s">
        <v>82</v>
      </c>
      <c r="C186" s="142" t="s">
        <v>85</v>
      </c>
      <c r="D186" s="143">
        <v>2512</v>
      </c>
      <c r="E186" s="143">
        <v>210.76</v>
      </c>
      <c r="F186" s="143" t="s">
        <v>83</v>
      </c>
      <c r="G186" s="143" t="s">
        <v>75</v>
      </c>
      <c r="H186" s="144">
        <v>56009</v>
      </c>
      <c r="I186" s="144">
        <v>44987</v>
      </c>
      <c r="J186" s="143">
        <f>IF(F186="商业",[1]项目基本情况!D$15,[1]项目基本情况!E$15)</f>
        <v>30.19</v>
      </c>
      <c r="K186" s="143" t="s">
        <v>84</v>
      </c>
      <c r="L186" s="230"/>
      <c r="M186" s="143">
        <v>21</v>
      </c>
      <c r="N186" s="143" t="s">
        <v>12</v>
      </c>
      <c r="O186" s="143">
        <v>2008</v>
      </c>
      <c r="P186" s="230">
        <f t="shared" si="98"/>
        <v>0</v>
      </c>
      <c r="Q186" s="230">
        <f>ROUND(P186*'[1]数据-取费表'!B$52,0)</f>
        <v>0</v>
      </c>
      <c r="R186" s="230">
        <f t="shared" si="130"/>
        <v>0</v>
      </c>
      <c r="S186" s="230">
        <f t="shared" si="116"/>
        <v>0</v>
      </c>
      <c r="T186" s="233">
        <v>0.8</v>
      </c>
      <c r="U186" s="230">
        <f t="shared" si="131"/>
        <v>0</v>
      </c>
      <c r="V186" s="230">
        <f t="shared" si="99"/>
        <v>0</v>
      </c>
      <c r="W186" s="230">
        <f t="shared" si="117"/>
        <v>0</v>
      </c>
      <c r="X186" s="230">
        <f>ROUND(AC186*'[1]数据-取费表'!$B$41/(1+'[1]数据-取费表'!$C$42),0)</f>
        <v>0</v>
      </c>
      <c r="Y186" s="230">
        <f>ROUND(AC186*'[1]数据-取费表'!$B$51/(1+'[1]数据-取费表'!$C$42),0)</f>
        <v>0</v>
      </c>
      <c r="Z186" s="230">
        <f t="shared" si="100"/>
        <v>0</v>
      </c>
      <c r="AA186" s="230">
        <f t="shared" si="101"/>
        <v>0</v>
      </c>
      <c r="AB186" s="231">
        <f t="shared" si="129"/>
        <v>8.77</v>
      </c>
      <c r="AC186" s="230"/>
      <c r="AD186" s="230">
        <f t="shared" si="118"/>
        <v>0</v>
      </c>
      <c r="AE186" s="230">
        <f t="shared" si="119"/>
        <v>0</v>
      </c>
      <c r="AF186" s="232"/>
      <c r="AG186" s="230"/>
      <c r="AH186" s="236"/>
      <c r="AI186" s="230">
        <f t="shared" si="132"/>
        <v>-123.25</v>
      </c>
      <c r="AJ186" s="230">
        <f t="shared" si="102"/>
        <v>0</v>
      </c>
      <c r="AK186" s="235">
        <f t="shared" si="103"/>
        <v>0</v>
      </c>
      <c r="AL186" s="233">
        <f t="shared" si="104"/>
        <v>2.8</v>
      </c>
      <c r="AM186" s="230">
        <f t="shared" si="105"/>
        <v>0</v>
      </c>
      <c r="AN186" s="230">
        <f t="shared" si="106"/>
        <v>0</v>
      </c>
      <c r="AO186" s="230">
        <f t="shared" si="107"/>
        <v>0</v>
      </c>
      <c r="AP186" s="230">
        <f>ROUND(AV186*'[1]数据-取费表'!$B$41/(1+'[1]数据-取费表'!$B$42),0)</f>
        <v>0</v>
      </c>
      <c r="AQ186" s="230">
        <f>ROUND(AV186*'[1]数据-取费表'!B$51/(1+'[1]数据-取费表'!C$42),0)</f>
        <v>0</v>
      </c>
      <c r="AR186" s="230">
        <f t="shared" si="108"/>
        <v>0</v>
      </c>
      <c r="AS186" s="230">
        <f t="shared" si="120"/>
        <v>0</v>
      </c>
      <c r="AT186" s="234">
        <f t="shared" si="137"/>
        <v>8.77</v>
      </c>
      <c r="AU186" s="235">
        <f t="shared" si="121"/>
        <v>0.23</v>
      </c>
      <c r="AV186" s="230">
        <f t="shared" si="122"/>
        <v>0</v>
      </c>
      <c r="AW186" s="230">
        <f t="shared" si="123"/>
        <v>0</v>
      </c>
      <c r="AX186" s="230">
        <f t="shared" si="109"/>
        <v>0</v>
      </c>
      <c r="AY186" s="230">
        <f t="shared" si="133"/>
        <v>153.44</v>
      </c>
      <c r="AZ186" s="237">
        <f t="shared" si="134"/>
        <v>0</v>
      </c>
      <c r="BA186" s="237">
        <f t="shared" si="124"/>
        <v>0</v>
      </c>
      <c r="BB186" s="239">
        <f t="shared" si="110"/>
        <v>0</v>
      </c>
      <c r="BC186" s="239">
        <f t="shared" si="136"/>
        <v>0</v>
      </c>
      <c r="BD186" s="239">
        <f t="shared" si="125"/>
        <v>0</v>
      </c>
      <c r="BE186" s="237">
        <f t="shared" si="126"/>
        <v>0</v>
      </c>
      <c r="BF186" s="237">
        <f t="shared" si="127"/>
        <v>0</v>
      </c>
      <c r="BG186" s="237">
        <f t="shared" si="111"/>
        <v>0</v>
      </c>
      <c r="BH186" s="237">
        <f t="shared" si="112"/>
        <v>0</v>
      </c>
      <c r="BI186" s="237">
        <f>ROUND(BE186*'[1]数据-取费表'!$B$51/(1+'[1]数据-取费表'!$C$42),0)</f>
        <v>0</v>
      </c>
      <c r="BJ186" s="237">
        <f>ROUND(BG186*'[1]数据-取费表'!B$41/(1+'[1]数据-取费表'!C$42),0)</f>
        <v>0</v>
      </c>
      <c r="BK186" s="237">
        <f t="shared" si="113"/>
        <v>0</v>
      </c>
      <c r="BL186" s="237">
        <f t="shared" si="114"/>
        <v>0</v>
      </c>
      <c r="BM186" s="237">
        <f t="shared" si="128"/>
        <v>0</v>
      </c>
      <c r="BN186" s="238">
        <f t="shared" si="115"/>
        <v>0</v>
      </c>
      <c r="BO186" s="239"/>
      <c r="BP186" s="239"/>
      <c r="BQ186" s="239"/>
      <c r="BR186" s="195"/>
    </row>
    <row r="187" spans="1:71" x14ac:dyDescent="0.2">
      <c r="A187" s="146">
        <v>170</v>
      </c>
      <c r="B187" s="141" t="s">
        <v>82</v>
      </c>
      <c r="C187" s="142" t="s">
        <v>85</v>
      </c>
      <c r="D187" s="143">
        <v>2501</v>
      </c>
      <c r="E187" s="143">
        <v>134.94</v>
      </c>
      <c r="F187" s="143" t="s">
        <v>83</v>
      </c>
      <c r="G187" s="143" t="s">
        <v>75</v>
      </c>
      <c r="H187" s="144">
        <v>56009</v>
      </c>
      <c r="I187" s="144">
        <v>44987</v>
      </c>
      <c r="J187" s="143">
        <f>IF(F187="商业",[1]项目基本情况!D$15,[1]项目基本情况!E$15)</f>
        <v>30.19</v>
      </c>
      <c r="K187" s="143" t="s">
        <v>84</v>
      </c>
      <c r="L187" s="230"/>
      <c r="M187" s="143">
        <v>21</v>
      </c>
      <c r="N187" s="143" t="s">
        <v>12</v>
      </c>
      <c r="O187" s="143">
        <v>2008</v>
      </c>
      <c r="P187" s="230">
        <f t="shared" si="98"/>
        <v>0</v>
      </c>
      <c r="Q187" s="230">
        <f>ROUND(P187*'[1]数据-取费表'!B$52,0)</f>
        <v>0</v>
      </c>
      <c r="R187" s="230">
        <f t="shared" si="130"/>
        <v>0</v>
      </c>
      <c r="S187" s="230">
        <f t="shared" si="116"/>
        <v>0</v>
      </c>
      <c r="T187" s="233">
        <v>0.8</v>
      </c>
      <c r="U187" s="230">
        <f t="shared" si="131"/>
        <v>0</v>
      </c>
      <c r="V187" s="230">
        <f t="shared" si="99"/>
        <v>0</v>
      </c>
      <c r="W187" s="230">
        <f t="shared" si="117"/>
        <v>0</v>
      </c>
      <c r="X187" s="230">
        <f>ROUND(AC187*'[1]数据-取费表'!$B$41/(1+'[1]数据-取费表'!$C$42),0)</f>
        <v>0</v>
      </c>
      <c r="Y187" s="230">
        <f>ROUND(AC187*'[1]数据-取费表'!$B$51/(1+'[1]数据-取费表'!$C$42),0)</f>
        <v>0</v>
      </c>
      <c r="Z187" s="230">
        <f t="shared" si="100"/>
        <v>0</v>
      </c>
      <c r="AA187" s="230">
        <f t="shared" si="101"/>
        <v>0</v>
      </c>
      <c r="AB187" s="231">
        <f t="shared" si="129"/>
        <v>8.77</v>
      </c>
      <c r="AC187" s="230"/>
      <c r="AD187" s="230">
        <f t="shared" si="118"/>
        <v>0</v>
      </c>
      <c r="AE187" s="230">
        <f t="shared" si="119"/>
        <v>0</v>
      </c>
      <c r="AF187" s="232"/>
      <c r="AG187" s="230"/>
      <c r="AH187" s="236"/>
      <c r="AI187" s="230">
        <f t="shared" si="132"/>
        <v>-123.25</v>
      </c>
      <c r="AJ187" s="230">
        <f t="shared" si="102"/>
        <v>0</v>
      </c>
      <c r="AK187" s="235">
        <f t="shared" si="103"/>
        <v>0</v>
      </c>
      <c r="AL187" s="233">
        <f t="shared" si="104"/>
        <v>2.8</v>
      </c>
      <c r="AM187" s="230">
        <f t="shared" si="105"/>
        <v>0</v>
      </c>
      <c r="AN187" s="230">
        <f t="shared" si="106"/>
        <v>0</v>
      </c>
      <c r="AO187" s="230">
        <f t="shared" si="107"/>
        <v>0</v>
      </c>
      <c r="AP187" s="230">
        <f>ROUND(AV187*'[1]数据-取费表'!$B$41/(1+'[1]数据-取费表'!$B$42),0)</f>
        <v>0</v>
      </c>
      <c r="AQ187" s="230">
        <f>ROUND(AV187*'[1]数据-取费表'!B$51/(1+'[1]数据-取费表'!C$42),0)</f>
        <v>0</v>
      </c>
      <c r="AR187" s="230">
        <f t="shared" si="108"/>
        <v>0</v>
      </c>
      <c r="AS187" s="230">
        <f t="shared" si="120"/>
        <v>0</v>
      </c>
      <c r="AT187" s="234">
        <f t="shared" si="137"/>
        <v>8.77</v>
      </c>
      <c r="AU187" s="235">
        <f t="shared" si="121"/>
        <v>0.23</v>
      </c>
      <c r="AV187" s="230">
        <f t="shared" si="122"/>
        <v>0</v>
      </c>
      <c r="AW187" s="230">
        <f t="shared" si="123"/>
        <v>0</v>
      </c>
      <c r="AX187" s="230">
        <f t="shared" si="109"/>
        <v>0</v>
      </c>
      <c r="AY187" s="230">
        <f t="shared" si="133"/>
        <v>153.44</v>
      </c>
      <c r="AZ187" s="237">
        <f t="shared" si="134"/>
        <v>0</v>
      </c>
      <c r="BA187" s="237">
        <f t="shared" si="124"/>
        <v>0</v>
      </c>
      <c r="BB187" s="239">
        <f t="shared" si="110"/>
        <v>0</v>
      </c>
      <c r="BC187" s="239">
        <f t="shared" si="136"/>
        <v>0</v>
      </c>
      <c r="BD187" s="239">
        <f t="shared" si="125"/>
        <v>0</v>
      </c>
      <c r="BE187" s="237">
        <f t="shared" si="126"/>
        <v>0</v>
      </c>
      <c r="BF187" s="237">
        <f t="shared" si="127"/>
        <v>0</v>
      </c>
      <c r="BG187" s="237">
        <f t="shared" si="111"/>
        <v>0</v>
      </c>
      <c r="BH187" s="237">
        <f t="shared" si="112"/>
        <v>0</v>
      </c>
      <c r="BI187" s="237">
        <f>ROUND(BE187*'[1]数据-取费表'!$B$51/(1+'[1]数据-取费表'!$C$42),0)</f>
        <v>0</v>
      </c>
      <c r="BJ187" s="237">
        <f>ROUND(BG187*'[1]数据-取费表'!B$41/(1+'[1]数据-取费表'!C$42),0)</f>
        <v>0</v>
      </c>
      <c r="BK187" s="237">
        <f t="shared" si="113"/>
        <v>0</v>
      </c>
      <c r="BL187" s="237">
        <f t="shared" si="114"/>
        <v>0</v>
      </c>
      <c r="BM187" s="237">
        <f t="shared" si="128"/>
        <v>0</v>
      </c>
      <c r="BN187" s="238">
        <f t="shared" si="115"/>
        <v>0</v>
      </c>
      <c r="BO187" s="239"/>
      <c r="BP187" s="239"/>
      <c r="BQ187" s="239"/>
      <c r="BR187" s="195"/>
    </row>
    <row r="188" spans="1:71" x14ac:dyDescent="0.2">
      <c r="A188" s="146">
        <v>171</v>
      </c>
      <c r="B188" s="141" t="s">
        <v>82</v>
      </c>
      <c r="C188" s="142" t="s">
        <v>85</v>
      </c>
      <c r="D188" s="143">
        <v>2502</v>
      </c>
      <c r="E188" s="143">
        <v>209.77</v>
      </c>
      <c r="F188" s="143" t="s">
        <v>83</v>
      </c>
      <c r="G188" s="143" t="s">
        <v>75</v>
      </c>
      <c r="H188" s="144">
        <v>56009</v>
      </c>
      <c r="I188" s="144">
        <v>44987</v>
      </c>
      <c r="J188" s="143">
        <f>IF(F188="商业",[1]项目基本情况!D$15,[1]项目基本情况!E$15)</f>
        <v>30.19</v>
      </c>
      <c r="K188" s="143" t="s">
        <v>84</v>
      </c>
      <c r="L188" s="143">
        <f>E188</f>
        <v>209.77</v>
      </c>
      <c r="M188" s="143">
        <v>21</v>
      </c>
      <c r="N188" s="143" t="s">
        <v>12</v>
      </c>
      <c r="O188" s="143">
        <v>2008</v>
      </c>
      <c r="P188" s="172">
        <f t="shared" si="98"/>
        <v>39.21</v>
      </c>
      <c r="Q188" s="172">
        <f>ROUND(P188*'[1]数据-取费表'!B$52,0)</f>
        <v>1176</v>
      </c>
      <c r="R188" s="172">
        <f t="shared" si="130"/>
        <v>2377023</v>
      </c>
      <c r="S188" s="173">
        <f t="shared" si="116"/>
        <v>35655</v>
      </c>
      <c r="T188" s="174">
        <v>0.8</v>
      </c>
      <c r="U188" s="172">
        <f t="shared" si="131"/>
        <v>1901618</v>
      </c>
      <c r="V188" s="173">
        <f t="shared" si="99"/>
        <v>1902</v>
      </c>
      <c r="W188" s="173">
        <f t="shared" si="117"/>
        <v>204</v>
      </c>
      <c r="X188" s="172">
        <f>ROUND(AC188*'[1]数据-取费表'!$B$41/(1+'[1]数据-取费表'!$C$42),0)</f>
        <v>2172</v>
      </c>
      <c r="Y188" s="172">
        <f>ROUND(AC188*'[1]数据-取费表'!$B$51/(1+'[1]数据-取费表'!$C$42),0)</f>
        <v>4653</v>
      </c>
      <c r="Z188" s="172">
        <f t="shared" si="100"/>
        <v>8001</v>
      </c>
      <c r="AA188" s="173">
        <f t="shared" si="101"/>
        <v>45762</v>
      </c>
      <c r="AB188" s="175">
        <f>ROUND(AC188/365/L188,2)</f>
        <v>0.53</v>
      </c>
      <c r="AC188" s="143">
        <v>40718</v>
      </c>
      <c r="AD188" s="172">
        <f t="shared" si="118"/>
        <v>153</v>
      </c>
      <c r="AE188" s="172">
        <f t="shared" si="119"/>
        <v>40871</v>
      </c>
      <c r="AF188" s="177">
        <v>0</v>
      </c>
      <c r="AG188" s="177"/>
      <c r="AH188" s="185">
        <v>45016</v>
      </c>
      <c r="AI188" s="143">
        <f t="shared" si="132"/>
        <v>7.0000000000000007E-2</v>
      </c>
      <c r="AJ188" s="173">
        <f t="shared" si="102"/>
        <v>-4891</v>
      </c>
      <c r="AK188" s="178">
        <f t="shared" si="103"/>
        <v>-333</v>
      </c>
      <c r="AL188" s="174">
        <f t="shared" si="104"/>
        <v>0.75</v>
      </c>
      <c r="AM188" s="172">
        <f t="shared" si="105"/>
        <v>1782767</v>
      </c>
      <c r="AN188" s="173">
        <f t="shared" si="106"/>
        <v>1783</v>
      </c>
      <c r="AO188" s="173">
        <f t="shared" si="107"/>
        <v>3040</v>
      </c>
      <c r="AP188" s="172">
        <f>ROUND(AV188*'[1]数据-取费表'!$B$41/(1+'[1]数据-取费表'!$B$42),0)</f>
        <v>32305</v>
      </c>
      <c r="AQ188" s="172">
        <f>ROUND(AV188*'[1]数据-取费表'!B$51/(1+'[1]数据-取费表'!C$42),0)</f>
        <v>69224</v>
      </c>
      <c r="AR188" s="179">
        <f t="shared" si="108"/>
        <v>102705</v>
      </c>
      <c r="AS188" s="173">
        <f t="shared" si="120"/>
        <v>143183</v>
      </c>
      <c r="AT188" s="180">
        <f t="shared" si="137"/>
        <v>8.77</v>
      </c>
      <c r="AU188" s="181">
        <f t="shared" si="121"/>
        <v>8.7899999999999991</v>
      </c>
      <c r="AV188" s="172">
        <f t="shared" si="122"/>
        <v>605714</v>
      </c>
      <c r="AW188" s="172">
        <f t="shared" si="123"/>
        <v>2271</v>
      </c>
      <c r="AX188" s="172">
        <f t="shared" si="109"/>
        <v>607985</v>
      </c>
      <c r="AY188" s="143">
        <f t="shared" si="133"/>
        <v>30.12</v>
      </c>
      <c r="AZ188" s="182">
        <f t="shared" si="134"/>
        <v>464802</v>
      </c>
      <c r="BA188" s="182">
        <f t="shared" si="124"/>
        <v>9563466</v>
      </c>
      <c r="BB188" s="183">
        <f t="shared" si="110"/>
        <v>9527691</v>
      </c>
      <c r="BC188" s="183">
        <f t="shared" si="136"/>
        <v>142014</v>
      </c>
      <c r="BD188" s="183">
        <f t="shared" si="125"/>
        <v>966.94</v>
      </c>
      <c r="BE188" s="182">
        <f t="shared" si="126"/>
        <v>604336</v>
      </c>
      <c r="BF188" s="182">
        <f t="shared" si="127"/>
        <v>2266</v>
      </c>
      <c r="BG188" s="182">
        <f t="shared" si="111"/>
        <v>606602</v>
      </c>
      <c r="BH188" s="182">
        <f t="shared" si="112"/>
        <v>3033</v>
      </c>
      <c r="BI188" s="182">
        <f>ROUND(BE188*'[1]数据-取费表'!$B$51/(1+'[1]数据-取费表'!$C$42),0)</f>
        <v>69067</v>
      </c>
      <c r="BJ188" s="182">
        <f>ROUND(BG188*'[1]数据-取费表'!B$41/(1+'[1]数据-取费表'!C$42),0)</f>
        <v>32352</v>
      </c>
      <c r="BK188" s="182">
        <f t="shared" si="113"/>
        <v>143185</v>
      </c>
      <c r="BL188" s="182">
        <f t="shared" si="114"/>
        <v>463417</v>
      </c>
      <c r="BM188" s="182">
        <f t="shared" si="128"/>
        <v>31092</v>
      </c>
      <c r="BN188" s="184">
        <f t="shared" si="115"/>
        <v>31425</v>
      </c>
      <c r="BO188" s="183">
        <f t="shared" ref="BO188:BO194" si="147">BD188/$BD$234*$BS$3</f>
        <v>1343.2014855949524</v>
      </c>
      <c r="BP188" s="239"/>
      <c r="BQ188" s="239"/>
      <c r="BR188" s="195"/>
    </row>
    <row r="189" spans="1:71" x14ac:dyDescent="0.2">
      <c r="A189" s="146">
        <v>172</v>
      </c>
      <c r="B189" s="141" t="s">
        <v>82</v>
      </c>
      <c r="C189" s="142" t="s">
        <v>85</v>
      </c>
      <c r="D189" s="143">
        <v>2505</v>
      </c>
      <c r="E189" s="143">
        <v>243.41</v>
      </c>
      <c r="F189" s="143" t="s">
        <v>83</v>
      </c>
      <c r="G189" s="143" t="s">
        <v>75</v>
      </c>
      <c r="H189" s="144">
        <v>56009</v>
      </c>
      <c r="I189" s="144">
        <v>44987</v>
      </c>
      <c r="J189" s="143">
        <f>IF(F189="商业",[1]项目基本情况!D$15,[1]项目基本情况!E$15)</f>
        <v>30.19</v>
      </c>
      <c r="K189" s="143"/>
      <c r="L189" s="143">
        <v>243.41</v>
      </c>
      <c r="M189" s="143">
        <v>21</v>
      </c>
      <c r="N189" s="143" t="s">
        <v>12</v>
      </c>
      <c r="O189" s="143">
        <v>2008</v>
      </c>
      <c r="P189" s="172">
        <f t="shared" si="98"/>
        <v>45.5</v>
      </c>
      <c r="Q189" s="172">
        <f>ROUND(P189*'[1]数据-取费表'!B$52,0)</f>
        <v>1365</v>
      </c>
      <c r="R189" s="172">
        <f t="shared" si="130"/>
        <v>2758217</v>
      </c>
      <c r="S189" s="173">
        <f t="shared" si="116"/>
        <v>41373</v>
      </c>
      <c r="T189" s="174">
        <v>0.8</v>
      </c>
      <c r="U189" s="172">
        <f t="shared" si="131"/>
        <v>2206574</v>
      </c>
      <c r="V189" s="173">
        <f t="shared" si="99"/>
        <v>2207</v>
      </c>
      <c r="W189" s="173">
        <f t="shared" si="117"/>
        <v>3519</v>
      </c>
      <c r="X189" s="172">
        <f>ROUND(AC189*'[1]数据-取费表'!$B$41/(1+'[1]数据-取费表'!$C$42),0)</f>
        <v>37400</v>
      </c>
      <c r="Y189" s="172">
        <f>ROUND(AC189*'[1]数据-取费表'!$B$51/(1+'[1]数据-取费表'!$C$42),0)</f>
        <v>80143</v>
      </c>
      <c r="Z189" s="172">
        <f t="shared" si="100"/>
        <v>118908</v>
      </c>
      <c r="AA189" s="173">
        <f t="shared" si="101"/>
        <v>166007</v>
      </c>
      <c r="AB189" s="175">
        <f t="shared" si="129"/>
        <v>8.77</v>
      </c>
      <c r="AC189" s="172">
        <f>ROUND(AB189*365*L189*(1-I$2),0)</f>
        <v>701251</v>
      </c>
      <c r="AD189" s="172">
        <f t="shared" si="118"/>
        <v>2630</v>
      </c>
      <c r="AE189" s="172">
        <f t="shared" si="119"/>
        <v>703881</v>
      </c>
      <c r="AF189" s="176">
        <f>H$2</f>
        <v>0.03</v>
      </c>
      <c r="AG189" s="177"/>
      <c r="AH189" s="144">
        <f>H189</f>
        <v>56009</v>
      </c>
      <c r="AI189" s="143">
        <f t="shared" si="132"/>
        <v>30.19</v>
      </c>
      <c r="AJ189" s="173">
        <f t="shared" si="102"/>
        <v>537874</v>
      </c>
      <c r="AK189" s="178">
        <f t="shared" si="103"/>
        <v>11084473</v>
      </c>
      <c r="AL189" s="174">
        <f t="shared" si="104"/>
        <v>0.25</v>
      </c>
      <c r="AM189" s="172">
        <f t="shared" si="105"/>
        <v>0</v>
      </c>
      <c r="AN189" s="173">
        <f t="shared" si="106"/>
        <v>0</v>
      </c>
      <c r="AO189" s="173">
        <f t="shared" si="107"/>
        <v>0</v>
      </c>
      <c r="AP189" s="172">
        <f>ROUND(AV189*'[1]数据-取费表'!$B$41/(1+'[1]数据-取费表'!$B$42),0)</f>
        <v>0</v>
      </c>
      <c r="AQ189" s="172">
        <f>ROUND(AV189*'[1]数据-取费表'!B$51/(1+'[1]数据-取费表'!C$42),0)</f>
        <v>0</v>
      </c>
      <c r="AR189" s="179">
        <f t="shared" si="108"/>
        <v>0</v>
      </c>
      <c r="AS189" s="173">
        <f t="shared" si="120"/>
        <v>0</v>
      </c>
      <c r="AT189" s="180">
        <f t="shared" si="137"/>
        <v>8.77</v>
      </c>
      <c r="AU189" s="181">
        <f t="shared" si="121"/>
        <v>21.41</v>
      </c>
      <c r="AV189" s="172">
        <f t="shared" si="122"/>
        <v>0</v>
      </c>
      <c r="AW189" s="172">
        <f t="shared" si="123"/>
        <v>0</v>
      </c>
      <c r="AX189" s="172">
        <f t="shared" si="109"/>
        <v>0</v>
      </c>
      <c r="AY189" s="143">
        <f t="shared" si="133"/>
        <v>0</v>
      </c>
      <c r="AZ189" s="182">
        <f t="shared" si="134"/>
        <v>0</v>
      </c>
      <c r="BA189" s="182">
        <f t="shared" si="124"/>
        <v>0</v>
      </c>
      <c r="BB189" s="183">
        <f t="shared" si="110"/>
        <v>0</v>
      </c>
      <c r="BC189" s="183">
        <f t="shared" si="136"/>
        <v>164789</v>
      </c>
      <c r="BD189" s="183">
        <f t="shared" si="125"/>
        <v>1124.93</v>
      </c>
      <c r="BE189" s="182">
        <f t="shared" si="126"/>
        <v>0</v>
      </c>
      <c r="BF189" s="182">
        <f t="shared" si="127"/>
        <v>0</v>
      </c>
      <c r="BG189" s="182">
        <f t="shared" si="111"/>
        <v>0</v>
      </c>
      <c r="BH189" s="182">
        <f t="shared" si="112"/>
        <v>0</v>
      </c>
      <c r="BI189" s="182">
        <f>ROUND(BE189*'[1]数据-取费表'!$B$51/(1+'[1]数据-取费表'!$C$42),0)</f>
        <v>0</v>
      </c>
      <c r="BJ189" s="182">
        <f>ROUND(BG189*'[1]数据-取费表'!B$41/(1+'[1]数据-取费表'!C$42),0)</f>
        <v>0</v>
      </c>
      <c r="BK189" s="182">
        <f t="shared" si="113"/>
        <v>0</v>
      </c>
      <c r="BL189" s="182">
        <f t="shared" si="114"/>
        <v>0</v>
      </c>
      <c r="BM189" s="182">
        <f t="shared" si="128"/>
        <v>0</v>
      </c>
      <c r="BN189" s="184">
        <f t="shared" si="115"/>
        <v>0</v>
      </c>
      <c r="BO189" s="183">
        <f t="shared" si="147"/>
        <v>1562.669500889745</v>
      </c>
      <c r="BP189" s="239"/>
      <c r="BQ189" s="239"/>
      <c r="BR189" s="195"/>
    </row>
    <row r="190" spans="1:71" x14ac:dyDescent="0.2">
      <c r="A190" s="146">
        <v>173</v>
      </c>
      <c r="B190" s="141" t="s">
        <v>82</v>
      </c>
      <c r="C190" s="142" t="s">
        <v>85</v>
      </c>
      <c r="D190" s="143">
        <v>2506</v>
      </c>
      <c r="E190" s="143">
        <v>145.26</v>
      </c>
      <c r="F190" s="143" t="s">
        <v>83</v>
      </c>
      <c r="G190" s="143" t="s">
        <v>75</v>
      </c>
      <c r="H190" s="144">
        <v>56009</v>
      </c>
      <c r="I190" s="144">
        <v>44987</v>
      </c>
      <c r="J190" s="143">
        <f>IF(F190="商业",[1]项目基本情况!D$15,[1]项目基本情况!E$15)</f>
        <v>30.19</v>
      </c>
      <c r="K190" s="143"/>
      <c r="L190" s="143">
        <v>145.26</v>
      </c>
      <c r="M190" s="143">
        <v>21</v>
      </c>
      <c r="N190" s="143" t="s">
        <v>12</v>
      </c>
      <c r="O190" s="143">
        <v>2008</v>
      </c>
      <c r="P190" s="172">
        <f t="shared" si="98"/>
        <v>27.15</v>
      </c>
      <c r="Q190" s="172">
        <f>ROUND(P190*'[1]数据-取费表'!B$52,0)</f>
        <v>815</v>
      </c>
      <c r="R190" s="172">
        <f t="shared" si="130"/>
        <v>1646024</v>
      </c>
      <c r="S190" s="173">
        <f t="shared" si="116"/>
        <v>24690</v>
      </c>
      <c r="T190" s="174">
        <v>0.8</v>
      </c>
      <c r="U190" s="172">
        <f t="shared" si="131"/>
        <v>1316819</v>
      </c>
      <c r="V190" s="173">
        <f t="shared" si="99"/>
        <v>1317</v>
      </c>
      <c r="W190" s="173">
        <f t="shared" si="117"/>
        <v>2100</v>
      </c>
      <c r="X190" s="172">
        <f>ROUND(AC190*'[1]数据-取费表'!$B$41/(1+'[1]数据-取费表'!$C$42),0)</f>
        <v>22319</v>
      </c>
      <c r="Y190" s="172">
        <f>ROUND(AC190*'[1]数据-取费表'!$B$51/(1+'[1]数据-取费表'!$C$42),0)</f>
        <v>47827</v>
      </c>
      <c r="Z190" s="172">
        <f t="shared" si="100"/>
        <v>70961</v>
      </c>
      <c r="AA190" s="173">
        <f t="shared" si="101"/>
        <v>99068</v>
      </c>
      <c r="AB190" s="175">
        <f t="shared" si="129"/>
        <v>8.77</v>
      </c>
      <c r="AC190" s="172">
        <f>ROUND(AB190*365*L190*(1-I$2),0)</f>
        <v>418486</v>
      </c>
      <c r="AD190" s="172">
        <f t="shared" si="118"/>
        <v>1569</v>
      </c>
      <c r="AE190" s="172">
        <f t="shared" si="119"/>
        <v>420055</v>
      </c>
      <c r="AF190" s="176">
        <f>H$2</f>
        <v>0.03</v>
      </c>
      <c r="AG190" s="177"/>
      <c r="AH190" s="144">
        <f>H190</f>
        <v>56009</v>
      </c>
      <c r="AI190" s="143">
        <f t="shared" si="132"/>
        <v>30.19</v>
      </c>
      <c r="AJ190" s="173">
        <f t="shared" si="102"/>
        <v>320987</v>
      </c>
      <c r="AK190" s="178">
        <f t="shared" si="103"/>
        <v>6614879</v>
      </c>
      <c r="AL190" s="174">
        <f t="shared" si="104"/>
        <v>0.25</v>
      </c>
      <c r="AM190" s="172">
        <f t="shared" si="105"/>
        <v>0</v>
      </c>
      <c r="AN190" s="173">
        <f t="shared" si="106"/>
        <v>0</v>
      </c>
      <c r="AO190" s="173">
        <f t="shared" si="107"/>
        <v>0</v>
      </c>
      <c r="AP190" s="172">
        <f>ROUND(AV190*'[1]数据-取费表'!$B$41/(1+'[1]数据-取费表'!$B$42),0)</f>
        <v>0</v>
      </c>
      <c r="AQ190" s="172">
        <f>ROUND(AV190*'[1]数据-取费表'!B$51/(1+'[1]数据-取费表'!C$42),0)</f>
        <v>0</v>
      </c>
      <c r="AR190" s="179">
        <f t="shared" si="108"/>
        <v>0</v>
      </c>
      <c r="AS190" s="173">
        <f t="shared" si="120"/>
        <v>0</v>
      </c>
      <c r="AT190" s="180">
        <f t="shared" si="137"/>
        <v>8.77</v>
      </c>
      <c r="AU190" s="181">
        <f t="shared" si="121"/>
        <v>21.41</v>
      </c>
      <c r="AV190" s="172">
        <f t="shared" si="122"/>
        <v>0</v>
      </c>
      <c r="AW190" s="172">
        <f t="shared" si="123"/>
        <v>0</v>
      </c>
      <c r="AX190" s="172">
        <f t="shared" si="109"/>
        <v>0</v>
      </c>
      <c r="AY190" s="143">
        <f t="shared" si="133"/>
        <v>0</v>
      </c>
      <c r="AZ190" s="182">
        <f t="shared" si="134"/>
        <v>0</v>
      </c>
      <c r="BA190" s="182">
        <f t="shared" si="124"/>
        <v>0</v>
      </c>
      <c r="BB190" s="183">
        <f t="shared" si="110"/>
        <v>0</v>
      </c>
      <c r="BC190" s="183">
        <f t="shared" si="136"/>
        <v>98341</v>
      </c>
      <c r="BD190" s="183">
        <f t="shared" si="125"/>
        <v>671.32</v>
      </c>
      <c r="BE190" s="182">
        <f t="shared" si="126"/>
        <v>0</v>
      </c>
      <c r="BF190" s="182">
        <f t="shared" si="127"/>
        <v>0</v>
      </c>
      <c r="BG190" s="182">
        <f t="shared" si="111"/>
        <v>0</v>
      </c>
      <c r="BH190" s="182">
        <f t="shared" si="112"/>
        <v>0</v>
      </c>
      <c r="BI190" s="182">
        <f>ROUND(BE190*'[1]数据-取费表'!$B$51/(1+'[1]数据-取费表'!$C$42),0)</f>
        <v>0</v>
      </c>
      <c r="BJ190" s="182">
        <f>ROUND(BG190*'[1]数据-取费表'!B$41/(1+'[1]数据-取费表'!C$42),0)</f>
        <v>0</v>
      </c>
      <c r="BK190" s="182">
        <f t="shared" si="113"/>
        <v>0</v>
      </c>
      <c r="BL190" s="182">
        <f t="shared" si="114"/>
        <v>0</v>
      </c>
      <c r="BM190" s="182">
        <f t="shared" si="128"/>
        <v>0</v>
      </c>
      <c r="BN190" s="184">
        <f t="shared" si="115"/>
        <v>0</v>
      </c>
      <c r="BO190" s="183">
        <f t="shared" si="147"/>
        <v>932.5480601791254</v>
      </c>
      <c r="BP190" s="239"/>
      <c r="BQ190" s="239"/>
      <c r="BR190" s="195"/>
    </row>
    <row r="191" spans="1:71" x14ac:dyDescent="0.2">
      <c r="A191" s="146">
        <v>174</v>
      </c>
      <c r="B191" s="141" t="s">
        <v>82</v>
      </c>
      <c r="C191" s="142" t="s">
        <v>85</v>
      </c>
      <c r="D191" s="143">
        <v>2507</v>
      </c>
      <c r="E191" s="143">
        <v>139.97999999999999</v>
      </c>
      <c r="F191" s="143" t="s">
        <v>83</v>
      </c>
      <c r="G191" s="143" t="s">
        <v>75</v>
      </c>
      <c r="H191" s="144">
        <v>56009</v>
      </c>
      <c r="I191" s="144">
        <v>44987</v>
      </c>
      <c r="J191" s="143">
        <f>IF(F191="商业",[1]项目基本情况!D$15,[1]项目基本情况!E$15)</f>
        <v>30.19</v>
      </c>
      <c r="K191" s="143"/>
      <c r="L191" s="143">
        <v>139.97999999999999</v>
      </c>
      <c r="M191" s="143">
        <v>21</v>
      </c>
      <c r="N191" s="143" t="s">
        <v>12</v>
      </c>
      <c r="O191" s="143">
        <v>2008</v>
      </c>
      <c r="P191" s="172">
        <f t="shared" si="98"/>
        <v>26.16</v>
      </c>
      <c r="Q191" s="172">
        <f>ROUND(P191*'[1]数据-取费表'!B$52,0)</f>
        <v>785</v>
      </c>
      <c r="R191" s="172">
        <f t="shared" si="130"/>
        <v>1586193</v>
      </c>
      <c r="S191" s="173">
        <f t="shared" si="116"/>
        <v>23793</v>
      </c>
      <c r="T191" s="174">
        <v>0.8</v>
      </c>
      <c r="U191" s="172">
        <f t="shared" si="131"/>
        <v>1268954</v>
      </c>
      <c r="V191" s="173">
        <f t="shared" si="99"/>
        <v>1269</v>
      </c>
      <c r="W191" s="173">
        <f t="shared" si="117"/>
        <v>2024</v>
      </c>
      <c r="X191" s="172">
        <f>ROUND(AC191*'[1]数据-取费表'!$B$41/(1+'[1]数据-取费表'!$C$42),0)</f>
        <v>21508</v>
      </c>
      <c r="Y191" s="172">
        <f>ROUND(AC191*'[1]数据-取费表'!$B$51/(1+'[1]数据-取费表'!$C$42),0)</f>
        <v>46089</v>
      </c>
      <c r="Z191" s="172">
        <f t="shared" si="100"/>
        <v>68382</v>
      </c>
      <c r="AA191" s="173">
        <f t="shared" si="101"/>
        <v>95468</v>
      </c>
      <c r="AB191" s="175">
        <f t="shared" si="129"/>
        <v>8.77</v>
      </c>
      <c r="AC191" s="172">
        <f>ROUND(AB191*365*L191*(1-I$2),0)</f>
        <v>403275</v>
      </c>
      <c r="AD191" s="172">
        <f t="shared" si="118"/>
        <v>1512</v>
      </c>
      <c r="AE191" s="172">
        <f t="shared" si="119"/>
        <v>404787</v>
      </c>
      <c r="AF191" s="176">
        <f>H$2</f>
        <v>0.03</v>
      </c>
      <c r="AG191" s="177"/>
      <c r="AH191" s="144">
        <f>H191</f>
        <v>56009</v>
      </c>
      <c r="AI191" s="143">
        <f t="shared" si="132"/>
        <v>30.19</v>
      </c>
      <c r="AJ191" s="173">
        <f t="shared" si="102"/>
        <v>309319</v>
      </c>
      <c r="AK191" s="178">
        <f t="shared" si="103"/>
        <v>6374426</v>
      </c>
      <c r="AL191" s="174">
        <f t="shared" si="104"/>
        <v>0.25</v>
      </c>
      <c r="AM191" s="172">
        <f t="shared" si="105"/>
        <v>0</v>
      </c>
      <c r="AN191" s="173">
        <f t="shared" si="106"/>
        <v>0</v>
      </c>
      <c r="AO191" s="173">
        <f t="shared" si="107"/>
        <v>0</v>
      </c>
      <c r="AP191" s="172">
        <f>ROUND(AV191*'[1]数据-取费表'!$B$41/(1+'[1]数据-取费表'!$B$42),0)</f>
        <v>0</v>
      </c>
      <c r="AQ191" s="172">
        <f>ROUND(AV191*'[1]数据-取费表'!B$51/(1+'[1]数据-取费表'!C$42),0)</f>
        <v>0</v>
      </c>
      <c r="AR191" s="179">
        <f t="shared" si="108"/>
        <v>0</v>
      </c>
      <c r="AS191" s="173">
        <f t="shared" si="120"/>
        <v>0</v>
      </c>
      <c r="AT191" s="180">
        <f t="shared" si="137"/>
        <v>8.77</v>
      </c>
      <c r="AU191" s="181">
        <f t="shared" si="121"/>
        <v>21.41</v>
      </c>
      <c r="AV191" s="172">
        <f t="shared" si="122"/>
        <v>0</v>
      </c>
      <c r="AW191" s="172">
        <f t="shared" si="123"/>
        <v>0</v>
      </c>
      <c r="AX191" s="172">
        <f t="shared" si="109"/>
        <v>0</v>
      </c>
      <c r="AY191" s="143">
        <f t="shared" si="133"/>
        <v>0</v>
      </c>
      <c r="AZ191" s="182">
        <f t="shared" si="134"/>
        <v>0</v>
      </c>
      <c r="BA191" s="182">
        <f t="shared" si="124"/>
        <v>0</v>
      </c>
      <c r="BB191" s="183">
        <f t="shared" si="110"/>
        <v>0</v>
      </c>
      <c r="BC191" s="183">
        <f t="shared" si="136"/>
        <v>94766</v>
      </c>
      <c r="BD191" s="183">
        <f t="shared" si="125"/>
        <v>646.91999999999996</v>
      </c>
      <c r="BE191" s="182">
        <f t="shared" si="126"/>
        <v>0</v>
      </c>
      <c r="BF191" s="182">
        <f t="shared" si="127"/>
        <v>0</v>
      </c>
      <c r="BG191" s="182">
        <f t="shared" si="111"/>
        <v>0</v>
      </c>
      <c r="BH191" s="182">
        <f t="shared" si="112"/>
        <v>0</v>
      </c>
      <c r="BI191" s="182">
        <f>ROUND(BE191*'[1]数据-取费表'!$B$51/(1+'[1]数据-取费表'!$C$42),0)</f>
        <v>0</v>
      </c>
      <c r="BJ191" s="182">
        <f>ROUND(BG191*'[1]数据-取费表'!B$41/(1+'[1]数据-取费表'!C$42),0)</f>
        <v>0</v>
      </c>
      <c r="BK191" s="182">
        <f t="shared" si="113"/>
        <v>0</v>
      </c>
      <c r="BL191" s="182">
        <f t="shared" si="114"/>
        <v>0</v>
      </c>
      <c r="BM191" s="182">
        <f t="shared" si="128"/>
        <v>0</v>
      </c>
      <c r="BN191" s="184">
        <f t="shared" si="115"/>
        <v>0</v>
      </c>
      <c r="BO191" s="183">
        <f t="shared" si="147"/>
        <v>898.65338600232349</v>
      </c>
      <c r="BP191" s="239"/>
      <c r="BQ191" s="239"/>
      <c r="BR191" s="195"/>
    </row>
    <row r="192" spans="1:71" x14ac:dyDescent="0.2">
      <c r="A192" s="146">
        <v>175</v>
      </c>
      <c r="B192" s="141" t="s">
        <v>82</v>
      </c>
      <c r="C192" s="142" t="s">
        <v>85</v>
      </c>
      <c r="D192" s="143">
        <v>2508</v>
      </c>
      <c r="E192" s="143">
        <v>135.16999999999999</v>
      </c>
      <c r="F192" s="143" t="s">
        <v>83</v>
      </c>
      <c r="G192" s="143" t="s">
        <v>75</v>
      </c>
      <c r="H192" s="144">
        <v>56009</v>
      </c>
      <c r="I192" s="144">
        <v>44987</v>
      </c>
      <c r="J192" s="143">
        <f>IF(F192="商业",[1]项目基本情况!D$15,[1]项目基本情况!E$15)</f>
        <v>30.19</v>
      </c>
      <c r="K192" s="143"/>
      <c r="L192" s="143">
        <v>135.16999999999999</v>
      </c>
      <c r="M192" s="143">
        <v>21</v>
      </c>
      <c r="N192" s="143" t="s">
        <v>12</v>
      </c>
      <c r="O192" s="143">
        <v>2008</v>
      </c>
      <c r="P192" s="172">
        <f t="shared" si="98"/>
        <v>25.27</v>
      </c>
      <c r="Q192" s="172">
        <f>ROUND(P192*'[1]数据-取费表'!B$52,0)</f>
        <v>758</v>
      </c>
      <c r="R192" s="172">
        <f t="shared" si="130"/>
        <v>1531688</v>
      </c>
      <c r="S192" s="173">
        <f t="shared" si="116"/>
        <v>22975</v>
      </c>
      <c r="T192" s="174">
        <v>0.8</v>
      </c>
      <c r="U192" s="172">
        <f t="shared" si="131"/>
        <v>1225350</v>
      </c>
      <c r="V192" s="173">
        <f t="shared" si="99"/>
        <v>1225</v>
      </c>
      <c r="W192" s="173">
        <f t="shared" si="117"/>
        <v>1954</v>
      </c>
      <c r="X192" s="172">
        <f>ROUND(AC192*'[1]数据-取费表'!$B$41/(1+'[1]数据-取费表'!$C$42),0)</f>
        <v>20769</v>
      </c>
      <c r="Y192" s="172">
        <f>ROUND(AC192*'[1]数据-取费表'!$B$51/(1+'[1]数据-取费表'!$C$42),0)</f>
        <v>44505</v>
      </c>
      <c r="Z192" s="172">
        <f t="shared" si="100"/>
        <v>66032</v>
      </c>
      <c r="AA192" s="173">
        <f t="shared" si="101"/>
        <v>92186</v>
      </c>
      <c r="AB192" s="175">
        <f t="shared" si="129"/>
        <v>8.77</v>
      </c>
      <c r="AC192" s="172">
        <f>ROUND(AB192*365*L192*(1-I$2),0)</f>
        <v>389417</v>
      </c>
      <c r="AD192" s="172">
        <f t="shared" si="118"/>
        <v>1460</v>
      </c>
      <c r="AE192" s="172">
        <f t="shared" si="119"/>
        <v>390877</v>
      </c>
      <c r="AF192" s="176">
        <f>H$2</f>
        <v>0.03</v>
      </c>
      <c r="AG192" s="177"/>
      <c r="AH192" s="144">
        <f>H192</f>
        <v>56009</v>
      </c>
      <c r="AI192" s="143">
        <f t="shared" si="132"/>
        <v>30.19</v>
      </c>
      <c r="AJ192" s="173">
        <f t="shared" si="102"/>
        <v>298691</v>
      </c>
      <c r="AK192" s="178">
        <f t="shared" si="103"/>
        <v>6155405</v>
      </c>
      <c r="AL192" s="174">
        <f t="shared" si="104"/>
        <v>0.25</v>
      </c>
      <c r="AM192" s="172">
        <f t="shared" si="105"/>
        <v>0</v>
      </c>
      <c r="AN192" s="173">
        <f t="shared" si="106"/>
        <v>0</v>
      </c>
      <c r="AO192" s="173">
        <f t="shared" si="107"/>
        <v>0</v>
      </c>
      <c r="AP192" s="172">
        <f>ROUND(AV192*'[1]数据-取费表'!$B$41/(1+'[1]数据-取费表'!$B$42),0)</f>
        <v>0</v>
      </c>
      <c r="AQ192" s="172">
        <f>ROUND(AV192*'[1]数据-取费表'!B$51/(1+'[1]数据-取费表'!C$42),0)</f>
        <v>0</v>
      </c>
      <c r="AR192" s="179">
        <f t="shared" si="108"/>
        <v>0</v>
      </c>
      <c r="AS192" s="173">
        <f t="shared" si="120"/>
        <v>0</v>
      </c>
      <c r="AT192" s="180">
        <f t="shared" si="137"/>
        <v>8.77</v>
      </c>
      <c r="AU192" s="181">
        <f t="shared" si="121"/>
        <v>21.41</v>
      </c>
      <c r="AV192" s="172">
        <f t="shared" si="122"/>
        <v>0</v>
      </c>
      <c r="AW192" s="172">
        <f t="shared" si="123"/>
        <v>0</v>
      </c>
      <c r="AX192" s="172">
        <f t="shared" si="109"/>
        <v>0</v>
      </c>
      <c r="AY192" s="143">
        <f t="shared" si="133"/>
        <v>0</v>
      </c>
      <c r="AZ192" s="182">
        <f t="shared" si="134"/>
        <v>0</v>
      </c>
      <c r="BA192" s="182">
        <f t="shared" si="124"/>
        <v>0</v>
      </c>
      <c r="BB192" s="183">
        <f t="shared" si="110"/>
        <v>0</v>
      </c>
      <c r="BC192" s="183">
        <f t="shared" si="136"/>
        <v>91510</v>
      </c>
      <c r="BD192" s="183">
        <f t="shared" si="125"/>
        <v>624.69000000000005</v>
      </c>
      <c r="BE192" s="182">
        <f t="shared" si="126"/>
        <v>0</v>
      </c>
      <c r="BF192" s="182">
        <f t="shared" si="127"/>
        <v>0</v>
      </c>
      <c r="BG192" s="182">
        <f t="shared" si="111"/>
        <v>0</v>
      </c>
      <c r="BH192" s="182">
        <f t="shared" si="112"/>
        <v>0</v>
      </c>
      <c r="BI192" s="182">
        <f>ROUND(BE192*'[1]数据-取费表'!$B$51/(1+'[1]数据-取费表'!$C$42),0)</f>
        <v>0</v>
      </c>
      <c r="BJ192" s="182">
        <f>ROUND(BG192*'[1]数据-取费表'!B$41/(1+'[1]数据-取费表'!C$42),0)</f>
        <v>0</v>
      </c>
      <c r="BK192" s="182">
        <f t="shared" si="113"/>
        <v>0</v>
      </c>
      <c r="BL192" s="182">
        <f t="shared" si="114"/>
        <v>0</v>
      </c>
      <c r="BM192" s="182">
        <f t="shared" si="128"/>
        <v>0</v>
      </c>
      <c r="BN192" s="184">
        <f t="shared" si="115"/>
        <v>0</v>
      </c>
      <c r="BO192" s="183">
        <f t="shared" si="147"/>
        <v>867.77311522567163</v>
      </c>
      <c r="BP192" s="239"/>
      <c r="BQ192" s="239"/>
      <c r="BR192" s="195"/>
    </row>
    <row r="193" spans="1:71" x14ac:dyDescent="0.2">
      <c r="A193" s="146">
        <v>176</v>
      </c>
      <c r="B193" s="141" t="s">
        <v>82</v>
      </c>
      <c r="C193" s="142" t="s">
        <v>85</v>
      </c>
      <c r="D193" s="143">
        <v>2509</v>
      </c>
      <c r="E193" s="143">
        <v>135.16999999999999</v>
      </c>
      <c r="F193" s="143" t="s">
        <v>83</v>
      </c>
      <c r="G193" s="143" t="s">
        <v>75</v>
      </c>
      <c r="H193" s="144">
        <v>56009</v>
      </c>
      <c r="I193" s="144">
        <v>44987</v>
      </c>
      <c r="J193" s="143">
        <f>IF(F193="商业",[1]项目基本情况!D$15,[1]项目基本情况!E$15)</f>
        <v>30.19</v>
      </c>
      <c r="K193" s="143"/>
      <c r="L193" s="143">
        <v>135.16999999999999</v>
      </c>
      <c r="M193" s="143">
        <v>21</v>
      </c>
      <c r="N193" s="143" t="s">
        <v>12</v>
      </c>
      <c r="O193" s="143">
        <v>2008</v>
      </c>
      <c r="P193" s="172">
        <f t="shared" si="98"/>
        <v>25.27</v>
      </c>
      <c r="Q193" s="172">
        <f>ROUND(P193*'[1]数据-取费表'!B$52,0)</f>
        <v>758</v>
      </c>
      <c r="R193" s="172">
        <f t="shared" si="130"/>
        <v>1531688</v>
      </c>
      <c r="S193" s="173">
        <f t="shared" si="116"/>
        <v>22975</v>
      </c>
      <c r="T193" s="174">
        <v>0.8</v>
      </c>
      <c r="U193" s="172">
        <f t="shared" si="131"/>
        <v>1225350</v>
      </c>
      <c r="V193" s="173">
        <f t="shared" si="99"/>
        <v>1225</v>
      </c>
      <c r="W193" s="173">
        <f t="shared" si="117"/>
        <v>1954</v>
      </c>
      <c r="X193" s="172">
        <f>ROUND(AC193*'[1]数据-取费表'!$B$41/(1+'[1]数据-取费表'!$C$42),0)</f>
        <v>20769</v>
      </c>
      <c r="Y193" s="172">
        <f>ROUND(AC193*'[1]数据-取费表'!$B$51/(1+'[1]数据-取费表'!$C$42),0)</f>
        <v>44505</v>
      </c>
      <c r="Z193" s="172">
        <f t="shared" si="100"/>
        <v>66032</v>
      </c>
      <c r="AA193" s="173">
        <f t="shared" si="101"/>
        <v>92186</v>
      </c>
      <c r="AB193" s="175">
        <f t="shared" si="129"/>
        <v>8.77</v>
      </c>
      <c r="AC193" s="172">
        <f>ROUND(AB193*365*L193*(1-I$2),0)</f>
        <v>389417</v>
      </c>
      <c r="AD193" s="172">
        <f t="shared" si="118"/>
        <v>1460</v>
      </c>
      <c r="AE193" s="172">
        <f t="shared" si="119"/>
        <v>390877</v>
      </c>
      <c r="AF193" s="176">
        <f>H$2</f>
        <v>0.03</v>
      </c>
      <c r="AG193" s="177"/>
      <c r="AH193" s="144">
        <f>H193</f>
        <v>56009</v>
      </c>
      <c r="AI193" s="143">
        <f t="shared" si="132"/>
        <v>30.19</v>
      </c>
      <c r="AJ193" s="173">
        <f t="shared" si="102"/>
        <v>298691</v>
      </c>
      <c r="AK193" s="178">
        <f t="shared" si="103"/>
        <v>6155405</v>
      </c>
      <c r="AL193" s="174">
        <f t="shared" si="104"/>
        <v>0.25</v>
      </c>
      <c r="AM193" s="172">
        <f t="shared" si="105"/>
        <v>0</v>
      </c>
      <c r="AN193" s="173">
        <f t="shared" si="106"/>
        <v>0</v>
      </c>
      <c r="AO193" s="173">
        <f t="shared" si="107"/>
        <v>0</v>
      </c>
      <c r="AP193" s="172">
        <f>ROUND(AV193*'[1]数据-取费表'!$B$41/(1+'[1]数据-取费表'!$B$42),0)</f>
        <v>0</v>
      </c>
      <c r="AQ193" s="172">
        <f>ROUND(AV193*'[1]数据-取费表'!B$51/(1+'[1]数据-取费表'!C$42),0)</f>
        <v>0</v>
      </c>
      <c r="AR193" s="179">
        <f t="shared" si="108"/>
        <v>0</v>
      </c>
      <c r="AS193" s="173">
        <f t="shared" si="120"/>
        <v>0</v>
      </c>
      <c r="AT193" s="180">
        <f t="shared" si="137"/>
        <v>8.77</v>
      </c>
      <c r="AU193" s="181">
        <f t="shared" si="121"/>
        <v>21.41</v>
      </c>
      <c r="AV193" s="172">
        <f t="shared" si="122"/>
        <v>0</v>
      </c>
      <c r="AW193" s="172">
        <f t="shared" si="123"/>
        <v>0</v>
      </c>
      <c r="AX193" s="172">
        <f t="shared" si="109"/>
        <v>0</v>
      </c>
      <c r="AY193" s="143">
        <f t="shared" si="133"/>
        <v>0</v>
      </c>
      <c r="AZ193" s="182">
        <f t="shared" si="134"/>
        <v>0</v>
      </c>
      <c r="BA193" s="182">
        <f t="shared" si="124"/>
        <v>0</v>
      </c>
      <c r="BB193" s="183">
        <f t="shared" si="110"/>
        <v>0</v>
      </c>
      <c r="BC193" s="183">
        <f t="shared" si="136"/>
        <v>91510</v>
      </c>
      <c r="BD193" s="183">
        <f t="shared" si="125"/>
        <v>624.69000000000005</v>
      </c>
      <c r="BE193" s="182">
        <f t="shared" si="126"/>
        <v>0</v>
      </c>
      <c r="BF193" s="182">
        <f t="shared" si="127"/>
        <v>0</v>
      </c>
      <c r="BG193" s="182">
        <f t="shared" si="111"/>
        <v>0</v>
      </c>
      <c r="BH193" s="182">
        <f t="shared" si="112"/>
        <v>0</v>
      </c>
      <c r="BI193" s="182">
        <f>ROUND(BE193*'[1]数据-取费表'!$B$51/(1+'[1]数据-取费表'!$C$42),0)</f>
        <v>0</v>
      </c>
      <c r="BJ193" s="182">
        <f>ROUND(BG193*'[1]数据-取费表'!B$41/(1+'[1]数据-取费表'!C$42),0)</f>
        <v>0</v>
      </c>
      <c r="BK193" s="182">
        <f t="shared" si="113"/>
        <v>0</v>
      </c>
      <c r="BL193" s="182">
        <f t="shared" si="114"/>
        <v>0</v>
      </c>
      <c r="BM193" s="182">
        <f t="shared" si="128"/>
        <v>0</v>
      </c>
      <c r="BN193" s="184">
        <f t="shared" si="115"/>
        <v>0</v>
      </c>
      <c r="BO193" s="183">
        <f t="shared" si="147"/>
        <v>867.77311522567163</v>
      </c>
      <c r="BP193" s="239"/>
      <c r="BQ193" s="239"/>
      <c r="BR193" s="195"/>
    </row>
    <row r="194" spans="1:71" x14ac:dyDescent="0.2">
      <c r="A194" s="146">
        <v>177</v>
      </c>
      <c r="B194" s="125" t="s">
        <v>82</v>
      </c>
      <c r="C194" s="126" t="s">
        <v>85</v>
      </c>
      <c r="D194" s="127">
        <v>2601</v>
      </c>
      <c r="E194" s="127">
        <v>134.94</v>
      </c>
      <c r="F194" s="127" t="s">
        <v>83</v>
      </c>
      <c r="G194" s="127" t="s">
        <v>75</v>
      </c>
      <c r="H194" s="128">
        <v>56009</v>
      </c>
      <c r="I194" s="128">
        <v>44987</v>
      </c>
      <c r="J194" s="127">
        <f>IF(F194="商业",[1]项目基本情况!D$15,[1]项目基本情况!E$15)</f>
        <v>30.19</v>
      </c>
      <c r="K194" s="127" t="s">
        <v>84</v>
      </c>
      <c r="L194" s="218">
        <f>SUM(E194:E196)</f>
        <v>477.28000000000003</v>
      </c>
      <c r="M194" s="127">
        <v>22</v>
      </c>
      <c r="N194" s="127" t="s">
        <v>12</v>
      </c>
      <c r="O194" s="127">
        <v>2008</v>
      </c>
      <c r="P194" s="218">
        <f t="shared" si="98"/>
        <v>89.21</v>
      </c>
      <c r="Q194" s="218">
        <f>ROUND(P194*'[1]数据-取费表'!B$52,0)</f>
        <v>2676</v>
      </c>
      <c r="R194" s="218">
        <f t="shared" si="130"/>
        <v>5408332</v>
      </c>
      <c r="S194" s="218">
        <f t="shared" si="116"/>
        <v>81125</v>
      </c>
      <c r="T194" s="220">
        <v>0.8</v>
      </c>
      <c r="U194" s="218">
        <f t="shared" si="131"/>
        <v>4326666</v>
      </c>
      <c r="V194" s="218">
        <f t="shared" si="99"/>
        <v>4327</v>
      </c>
      <c r="W194" s="218">
        <f t="shared" si="117"/>
        <v>4585</v>
      </c>
      <c r="X194" s="218">
        <f>ROUND(AC194*'[1]数据-取费表'!$B$41/(1+'[1]数据-取费表'!$C$42),0)</f>
        <v>48726</v>
      </c>
      <c r="Y194" s="218">
        <f>ROUND(AC194*'[1]数据-取费表'!$B$51/(1+'[1]数据-取费表'!$C$42),0)</f>
        <v>104413</v>
      </c>
      <c r="Z194" s="218">
        <f t="shared" si="100"/>
        <v>155815</v>
      </c>
      <c r="AA194" s="218">
        <f t="shared" si="101"/>
        <v>245852</v>
      </c>
      <c r="AB194" s="240">
        <f>ROUND(AC194/365/L194,2)</f>
        <v>5.24</v>
      </c>
      <c r="AC194" s="218">
        <v>913610</v>
      </c>
      <c r="AD194" s="218">
        <f t="shared" si="118"/>
        <v>3426</v>
      </c>
      <c r="AE194" s="218">
        <f t="shared" si="119"/>
        <v>917036</v>
      </c>
      <c r="AF194" s="225">
        <v>4.9000000000000002E-2</v>
      </c>
      <c r="AG194" s="218"/>
      <c r="AH194" s="226">
        <v>45487</v>
      </c>
      <c r="AI194" s="218">
        <f t="shared" si="132"/>
        <v>1.36</v>
      </c>
      <c r="AJ194" s="218">
        <f t="shared" si="102"/>
        <v>671184</v>
      </c>
      <c r="AK194" s="224">
        <f t="shared" si="103"/>
        <v>864336</v>
      </c>
      <c r="AL194" s="220">
        <f t="shared" si="104"/>
        <v>0.73</v>
      </c>
      <c r="AM194" s="218">
        <f t="shared" si="105"/>
        <v>3948082</v>
      </c>
      <c r="AN194" s="218">
        <f t="shared" si="106"/>
        <v>3948</v>
      </c>
      <c r="AO194" s="218">
        <f t="shared" si="107"/>
        <v>7184</v>
      </c>
      <c r="AP194" s="218">
        <f>ROUND(AV194*'[1]数据-取费表'!$B$41/(1+'[1]数据-取费表'!$B$42),0)</f>
        <v>76345</v>
      </c>
      <c r="AQ194" s="218">
        <f>ROUND(AV194*'[1]数据-取费表'!B$51/(1+'[1]数据-取费表'!C$42),0)</f>
        <v>163596</v>
      </c>
      <c r="AR194" s="218">
        <f t="shared" si="108"/>
        <v>242617</v>
      </c>
      <c r="AS194" s="218">
        <f t="shared" si="120"/>
        <v>334874</v>
      </c>
      <c r="AT194" s="223">
        <f t="shared" si="137"/>
        <v>8.77</v>
      </c>
      <c r="AU194" s="224">
        <f t="shared" si="121"/>
        <v>9.1300000000000008</v>
      </c>
      <c r="AV194" s="218">
        <f t="shared" si="122"/>
        <v>1431461</v>
      </c>
      <c r="AW194" s="218">
        <f t="shared" si="123"/>
        <v>5368</v>
      </c>
      <c r="AX194" s="218">
        <f t="shared" si="109"/>
        <v>1436829</v>
      </c>
      <c r="AY194" s="218">
        <f t="shared" si="133"/>
        <v>28.830000000000002</v>
      </c>
      <c r="AZ194" s="227">
        <f t="shared" si="134"/>
        <v>1101955</v>
      </c>
      <c r="BA194" s="227">
        <f t="shared" si="124"/>
        <v>22000561</v>
      </c>
      <c r="BB194" s="229">
        <f t="shared" si="110"/>
        <v>20455515</v>
      </c>
      <c r="BC194" s="229">
        <f t="shared" si="136"/>
        <v>323119</v>
      </c>
      <c r="BD194" s="229">
        <f t="shared" si="125"/>
        <v>2164.3000000000002</v>
      </c>
      <c r="BE194" s="227">
        <f t="shared" si="126"/>
        <v>1375017</v>
      </c>
      <c r="BF194" s="227">
        <f t="shared" si="127"/>
        <v>5156</v>
      </c>
      <c r="BG194" s="227">
        <f t="shared" si="111"/>
        <v>1380173</v>
      </c>
      <c r="BH194" s="227">
        <f t="shared" si="112"/>
        <v>6901</v>
      </c>
      <c r="BI194" s="227">
        <f>ROUND(BE194*'[1]数据-取费表'!$B$51/(1+'[1]数据-取费表'!$C$42),0)</f>
        <v>157145</v>
      </c>
      <c r="BJ194" s="227">
        <f>ROUND(BG194*'[1]数据-取费表'!B$41/(1+'[1]数据-取费表'!C$42),0)</f>
        <v>73609</v>
      </c>
      <c r="BK194" s="227">
        <f t="shared" si="113"/>
        <v>325783</v>
      </c>
      <c r="BL194" s="227">
        <f t="shared" si="114"/>
        <v>1054390</v>
      </c>
      <c r="BM194" s="227">
        <f t="shared" si="128"/>
        <v>1353386</v>
      </c>
      <c r="BN194" s="228">
        <f t="shared" si="115"/>
        <v>489050</v>
      </c>
      <c r="BO194" s="229">
        <f t="shared" si="147"/>
        <v>3006.4853820021472</v>
      </c>
      <c r="BP194" s="229">
        <f>SUM(BO194:BO204)</f>
        <v>10896.276489727486</v>
      </c>
      <c r="BQ194" s="229">
        <f>ROUND(BP194*10000/BS194,0)</f>
        <v>63515</v>
      </c>
      <c r="BR194" s="194"/>
      <c r="BS194" s="20">
        <f>SUM(E194:E204)</f>
        <v>1715.5500000000002</v>
      </c>
    </row>
    <row r="195" spans="1:71" x14ac:dyDescent="0.2">
      <c r="A195" s="146">
        <v>178</v>
      </c>
      <c r="B195" s="125" t="s">
        <v>82</v>
      </c>
      <c r="C195" s="126" t="s">
        <v>85</v>
      </c>
      <c r="D195" s="127">
        <v>2602</v>
      </c>
      <c r="E195" s="127">
        <v>208.66</v>
      </c>
      <c r="F195" s="127" t="s">
        <v>83</v>
      </c>
      <c r="G195" s="127" t="s">
        <v>75</v>
      </c>
      <c r="H195" s="128">
        <v>56009</v>
      </c>
      <c r="I195" s="128">
        <v>44987</v>
      </c>
      <c r="J195" s="127">
        <f>IF(F195="商业",[1]项目基本情况!D$15,[1]项目基本情况!E$15)</f>
        <v>30.19</v>
      </c>
      <c r="K195" s="127" t="s">
        <v>84</v>
      </c>
      <c r="L195" s="218"/>
      <c r="M195" s="127">
        <v>22</v>
      </c>
      <c r="N195" s="127" t="s">
        <v>12</v>
      </c>
      <c r="O195" s="127">
        <v>2008</v>
      </c>
      <c r="P195" s="218">
        <f t="shared" si="98"/>
        <v>0</v>
      </c>
      <c r="Q195" s="218">
        <f>ROUND(P195*'[1]数据-取费表'!B$52,0)</f>
        <v>0</v>
      </c>
      <c r="R195" s="218">
        <f t="shared" si="130"/>
        <v>0</v>
      </c>
      <c r="S195" s="218">
        <f t="shared" si="116"/>
        <v>0</v>
      </c>
      <c r="T195" s="220">
        <v>0.8</v>
      </c>
      <c r="U195" s="218">
        <f t="shared" si="131"/>
        <v>0</v>
      </c>
      <c r="V195" s="218">
        <f t="shared" si="99"/>
        <v>0</v>
      </c>
      <c r="W195" s="218">
        <f t="shared" si="117"/>
        <v>0</v>
      </c>
      <c r="X195" s="218">
        <f>ROUND(AC195*'[1]数据-取费表'!$B$41/(1+'[1]数据-取费表'!$C$42),0)</f>
        <v>0</v>
      </c>
      <c r="Y195" s="218">
        <f>ROUND(AC195*'[1]数据-取费表'!$B$51/(1+'[1]数据-取费表'!$C$42),0)</f>
        <v>0</v>
      </c>
      <c r="Z195" s="218">
        <f t="shared" si="100"/>
        <v>0</v>
      </c>
      <c r="AA195" s="218">
        <f t="shared" si="101"/>
        <v>0</v>
      </c>
      <c r="AB195" s="240">
        <f t="shared" si="129"/>
        <v>8.77</v>
      </c>
      <c r="AC195" s="218"/>
      <c r="AD195" s="218">
        <f t="shared" si="118"/>
        <v>0</v>
      </c>
      <c r="AE195" s="218">
        <f t="shared" si="119"/>
        <v>0</v>
      </c>
      <c r="AF195" s="225"/>
      <c r="AG195" s="218"/>
      <c r="AH195" s="226"/>
      <c r="AI195" s="218">
        <f t="shared" si="132"/>
        <v>-123.25</v>
      </c>
      <c r="AJ195" s="218">
        <f t="shared" si="102"/>
        <v>0</v>
      </c>
      <c r="AK195" s="224">
        <f t="shared" si="103"/>
        <v>0</v>
      </c>
      <c r="AL195" s="220">
        <f t="shared" si="104"/>
        <v>2.8</v>
      </c>
      <c r="AM195" s="218">
        <f t="shared" si="105"/>
        <v>0</v>
      </c>
      <c r="AN195" s="218">
        <f t="shared" si="106"/>
        <v>0</v>
      </c>
      <c r="AO195" s="218">
        <f t="shared" si="107"/>
        <v>0</v>
      </c>
      <c r="AP195" s="218">
        <f>ROUND(AV195*'[1]数据-取费表'!$B$41/(1+'[1]数据-取费表'!$B$42),0)</f>
        <v>0</v>
      </c>
      <c r="AQ195" s="218">
        <f>ROUND(AV195*'[1]数据-取费表'!B$51/(1+'[1]数据-取费表'!C$42),0)</f>
        <v>0</v>
      </c>
      <c r="AR195" s="218">
        <f t="shared" si="108"/>
        <v>0</v>
      </c>
      <c r="AS195" s="218">
        <f t="shared" si="120"/>
        <v>0</v>
      </c>
      <c r="AT195" s="223">
        <f t="shared" si="137"/>
        <v>8.77</v>
      </c>
      <c r="AU195" s="224">
        <f t="shared" si="121"/>
        <v>0.23</v>
      </c>
      <c r="AV195" s="218">
        <f t="shared" si="122"/>
        <v>0</v>
      </c>
      <c r="AW195" s="218">
        <f t="shared" si="123"/>
        <v>0</v>
      </c>
      <c r="AX195" s="218">
        <f t="shared" si="109"/>
        <v>0</v>
      </c>
      <c r="AY195" s="218">
        <f t="shared" si="133"/>
        <v>153.44</v>
      </c>
      <c r="AZ195" s="227">
        <f t="shared" si="134"/>
        <v>0</v>
      </c>
      <c r="BA195" s="227">
        <f t="shared" si="124"/>
        <v>0</v>
      </c>
      <c r="BB195" s="229">
        <f t="shared" si="110"/>
        <v>0</v>
      </c>
      <c r="BC195" s="229">
        <f t="shared" si="136"/>
        <v>0</v>
      </c>
      <c r="BD195" s="229">
        <f t="shared" si="125"/>
        <v>0</v>
      </c>
      <c r="BE195" s="227">
        <f t="shared" si="126"/>
        <v>0</v>
      </c>
      <c r="BF195" s="227">
        <f t="shared" si="127"/>
        <v>0</v>
      </c>
      <c r="BG195" s="227">
        <f t="shared" si="111"/>
        <v>0</v>
      </c>
      <c r="BH195" s="227">
        <f t="shared" si="112"/>
        <v>0</v>
      </c>
      <c r="BI195" s="227">
        <f>ROUND(BE195*'[1]数据-取费表'!$B$51/(1+'[1]数据-取费表'!$C$42),0)</f>
        <v>0</v>
      </c>
      <c r="BJ195" s="227">
        <f>ROUND(BG195*'[1]数据-取费表'!B$41/(1+'[1]数据-取费表'!C$42),0)</f>
        <v>0</v>
      </c>
      <c r="BK195" s="227">
        <f t="shared" si="113"/>
        <v>0</v>
      </c>
      <c r="BL195" s="227">
        <f t="shared" si="114"/>
        <v>0</v>
      </c>
      <c r="BM195" s="227">
        <f t="shared" si="128"/>
        <v>0</v>
      </c>
      <c r="BN195" s="228">
        <f t="shared" si="115"/>
        <v>0</v>
      </c>
      <c r="BO195" s="229"/>
      <c r="BP195" s="229"/>
      <c r="BQ195" s="229"/>
      <c r="BR195" s="194"/>
    </row>
    <row r="196" spans="1:71" x14ac:dyDescent="0.2">
      <c r="A196" s="146">
        <v>179</v>
      </c>
      <c r="B196" s="125" t="s">
        <v>82</v>
      </c>
      <c r="C196" s="126" t="s">
        <v>85</v>
      </c>
      <c r="D196" s="127">
        <v>2603</v>
      </c>
      <c r="E196" s="127">
        <v>133.68</v>
      </c>
      <c r="F196" s="127" t="s">
        <v>83</v>
      </c>
      <c r="G196" s="127" t="s">
        <v>75</v>
      </c>
      <c r="H196" s="128">
        <v>56009</v>
      </c>
      <c r="I196" s="128">
        <v>44987</v>
      </c>
      <c r="J196" s="127">
        <f>IF(F196="商业",[1]项目基本情况!D$15,[1]项目基本情况!E$15)</f>
        <v>30.19</v>
      </c>
      <c r="K196" s="127" t="s">
        <v>84</v>
      </c>
      <c r="L196" s="218"/>
      <c r="M196" s="127">
        <v>22</v>
      </c>
      <c r="N196" s="127" t="s">
        <v>12</v>
      </c>
      <c r="O196" s="127">
        <v>2008</v>
      </c>
      <c r="P196" s="218">
        <f t="shared" si="98"/>
        <v>0</v>
      </c>
      <c r="Q196" s="218">
        <f>ROUND(P196*'[1]数据-取费表'!B$52,0)</f>
        <v>0</v>
      </c>
      <c r="R196" s="218">
        <f t="shared" si="130"/>
        <v>0</v>
      </c>
      <c r="S196" s="218">
        <f t="shared" si="116"/>
        <v>0</v>
      </c>
      <c r="T196" s="220">
        <v>0.8</v>
      </c>
      <c r="U196" s="218">
        <f t="shared" si="131"/>
        <v>0</v>
      </c>
      <c r="V196" s="218">
        <f t="shared" si="99"/>
        <v>0</v>
      </c>
      <c r="W196" s="218">
        <f t="shared" si="117"/>
        <v>0</v>
      </c>
      <c r="X196" s="218">
        <f>ROUND(AC196*'[1]数据-取费表'!$B$41/(1+'[1]数据-取费表'!$C$42),0)</f>
        <v>0</v>
      </c>
      <c r="Y196" s="218">
        <f>ROUND(AC196*'[1]数据-取费表'!$B$51/(1+'[1]数据-取费表'!$C$42),0)</f>
        <v>0</v>
      </c>
      <c r="Z196" s="218">
        <f t="shared" si="100"/>
        <v>0</v>
      </c>
      <c r="AA196" s="218">
        <f t="shared" si="101"/>
        <v>0</v>
      </c>
      <c r="AB196" s="240">
        <f t="shared" si="129"/>
        <v>8.77</v>
      </c>
      <c r="AC196" s="218"/>
      <c r="AD196" s="218">
        <f t="shared" si="118"/>
        <v>0</v>
      </c>
      <c r="AE196" s="218">
        <f t="shared" si="119"/>
        <v>0</v>
      </c>
      <c r="AF196" s="225"/>
      <c r="AG196" s="218"/>
      <c r="AH196" s="226"/>
      <c r="AI196" s="218">
        <f t="shared" si="132"/>
        <v>-123.25</v>
      </c>
      <c r="AJ196" s="218">
        <f t="shared" si="102"/>
        <v>0</v>
      </c>
      <c r="AK196" s="224">
        <f t="shared" si="103"/>
        <v>0</v>
      </c>
      <c r="AL196" s="220">
        <f t="shared" si="104"/>
        <v>2.8</v>
      </c>
      <c r="AM196" s="218">
        <f t="shared" si="105"/>
        <v>0</v>
      </c>
      <c r="AN196" s="218">
        <f t="shared" si="106"/>
        <v>0</v>
      </c>
      <c r="AO196" s="218">
        <f t="shared" si="107"/>
        <v>0</v>
      </c>
      <c r="AP196" s="218">
        <f>ROUND(AV196*'[1]数据-取费表'!$B$41/(1+'[1]数据-取费表'!$B$42),0)</f>
        <v>0</v>
      </c>
      <c r="AQ196" s="218">
        <f>ROUND(AV196*'[1]数据-取费表'!B$51/(1+'[1]数据-取费表'!C$42),0)</f>
        <v>0</v>
      </c>
      <c r="AR196" s="218">
        <f t="shared" si="108"/>
        <v>0</v>
      </c>
      <c r="AS196" s="218">
        <f t="shared" si="120"/>
        <v>0</v>
      </c>
      <c r="AT196" s="223">
        <f t="shared" si="137"/>
        <v>8.77</v>
      </c>
      <c r="AU196" s="224">
        <f t="shared" si="121"/>
        <v>0.23</v>
      </c>
      <c r="AV196" s="218">
        <f t="shared" si="122"/>
        <v>0</v>
      </c>
      <c r="AW196" s="218">
        <f t="shared" si="123"/>
        <v>0</v>
      </c>
      <c r="AX196" s="218">
        <f t="shared" si="109"/>
        <v>0</v>
      </c>
      <c r="AY196" s="218">
        <f t="shared" si="133"/>
        <v>153.44</v>
      </c>
      <c r="AZ196" s="227">
        <f t="shared" si="134"/>
        <v>0</v>
      </c>
      <c r="BA196" s="227">
        <f t="shared" si="124"/>
        <v>0</v>
      </c>
      <c r="BB196" s="229">
        <f t="shared" si="110"/>
        <v>0</v>
      </c>
      <c r="BC196" s="229">
        <f t="shared" si="136"/>
        <v>0</v>
      </c>
      <c r="BD196" s="229">
        <f t="shared" si="125"/>
        <v>0</v>
      </c>
      <c r="BE196" s="227">
        <f t="shared" si="126"/>
        <v>0</v>
      </c>
      <c r="BF196" s="227">
        <f t="shared" si="127"/>
        <v>0</v>
      </c>
      <c r="BG196" s="227">
        <f t="shared" si="111"/>
        <v>0</v>
      </c>
      <c r="BH196" s="227">
        <f t="shared" si="112"/>
        <v>0</v>
      </c>
      <c r="BI196" s="227">
        <f>ROUND(BE196*'[1]数据-取费表'!$B$51/(1+'[1]数据-取费表'!$C$42),0)</f>
        <v>0</v>
      </c>
      <c r="BJ196" s="227">
        <f>ROUND(BG196*'[1]数据-取费表'!B$41/(1+'[1]数据-取费表'!C$42),0)</f>
        <v>0</v>
      </c>
      <c r="BK196" s="227">
        <f t="shared" si="113"/>
        <v>0</v>
      </c>
      <c r="BL196" s="227">
        <f t="shared" si="114"/>
        <v>0</v>
      </c>
      <c r="BM196" s="227">
        <f t="shared" si="128"/>
        <v>0</v>
      </c>
      <c r="BN196" s="228">
        <f t="shared" si="115"/>
        <v>0</v>
      </c>
      <c r="BO196" s="229"/>
      <c r="BP196" s="229"/>
      <c r="BQ196" s="229"/>
      <c r="BR196" s="194"/>
    </row>
    <row r="197" spans="1:71" x14ac:dyDescent="0.2">
      <c r="A197" s="146">
        <v>180</v>
      </c>
      <c r="B197" s="125" t="s">
        <v>82</v>
      </c>
      <c r="C197" s="126" t="s">
        <v>85</v>
      </c>
      <c r="D197" s="127">
        <v>2606</v>
      </c>
      <c r="E197" s="127">
        <v>145.26</v>
      </c>
      <c r="F197" s="127" t="s">
        <v>83</v>
      </c>
      <c r="G197" s="127" t="s">
        <v>75</v>
      </c>
      <c r="H197" s="128">
        <v>56009</v>
      </c>
      <c r="I197" s="128">
        <v>44987</v>
      </c>
      <c r="J197" s="127">
        <f>IF(F197="商业",[1]项目基本情况!D$15,[1]项目基本情况!E$15)</f>
        <v>30.19</v>
      </c>
      <c r="K197" s="127"/>
      <c r="L197" s="127">
        <v>145.26</v>
      </c>
      <c r="M197" s="127">
        <v>22</v>
      </c>
      <c r="N197" s="127" t="s">
        <v>12</v>
      </c>
      <c r="O197" s="127">
        <v>2008</v>
      </c>
      <c r="P197" s="129">
        <f t="shared" si="98"/>
        <v>27.15</v>
      </c>
      <c r="Q197" s="129">
        <f>ROUND(P197*'[1]数据-取费表'!B$52,0)</f>
        <v>815</v>
      </c>
      <c r="R197" s="129">
        <f t="shared" si="130"/>
        <v>1646024</v>
      </c>
      <c r="S197" s="130">
        <f t="shared" si="116"/>
        <v>24690</v>
      </c>
      <c r="T197" s="131">
        <v>0.8</v>
      </c>
      <c r="U197" s="129">
        <f t="shared" si="131"/>
        <v>1316819</v>
      </c>
      <c r="V197" s="130">
        <f t="shared" si="99"/>
        <v>1317</v>
      </c>
      <c r="W197" s="130">
        <f t="shared" si="117"/>
        <v>2100</v>
      </c>
      <c r="X197" s="129">
        <f>ROUND(AC197*'[1]数据-取费表'!$B$41/(1+'[1]数据-取费表'!$C$42),0)</f>
        <v>22319</v>
      </c>
      <c r="Y197" s="129">
        <f>ROUND(AC197*'[1]数据-取费表'!$B$51/(1+'[1]数据-取费表'!$C$42),0)</f>
        <v>47827</v>
      </c>
      <c r="Z197" s="129">
        <f t="shared" si="100"/>
        <v>70961</v>
      </c>
      <c r="AA197" s="130">
        <f t="shared" si="101"/>
        <v>99068</v>
      </c>
      <c r="AB197" s="132">
        <f t="shared" si="129"/>
        <v>8.77</v>
      </c>
      <c r="AC197" s="129">
        <f>ROUND(AB197*365*L197*(1-I$2),0)</f>
        <v>418486</v>
      </c>
      <c r="AD197" s="129">
        <f t="shared" si="118"/>
        <v>1569</v>
      </c>
      <c r="AE197" s="129">
        <f t="shared" si="119"/>
        <v>420055</v>
      </c>
      <c r="AF197" s="133">
        <f>H$2</f>
        <v>0.03</v>
      </c>
      <c r="AG197" s="134"/>
      <c r="AH197" s="128">
        <f>H197</f>
        <v>56009</v>
      </c>
      <c r="AI197" s="127">
        <f t="shared" si="132"/>
        <v>30.19</v>
      </c>
      <c r="AJ197" s="130">
        <f t="shared" si="102"/>
        <v>320987</v>
      </c>
      <c r="AK197" s="135">
        <f t="shared" si="103"/>
        <v>6614879</v>
      </c>
      <c r="AL197" s="131">
        <f t="shared" si="104"/>
        <v>0.25</v>
      </c>
      <c r="AM197" s="129">
        <f t="shared" si="105"/>
        <v>0</v>
      </c>
      <c r="AN197" s="130">
        <f t="shared" si="106"/>
        <v>0</v>
      </c>
      <c r="AO197" s="130">
        <f t="shared" si="107"/>
        <v>0</v>
      </c>
      <c r="AP197" s="129">
        <f>ROUND(AV197*'[1]数据-取费表'!$B$41/(1+'[1]数据-取费表'!$B$42),0)</f>
        <v>0</v>
      </c>
      <c r="AQ197" s="129">
        <f>ROUND(AV197*'[1]数据-取费表'!B$51/(1+'[1]数据-取费表'!C$42),0)</f>
        <v>0</v>
      </c>
      <c r="AR197" s="136">
        <f t="shared" si="108"/>
        <v>0</v>
      </c>
      <c r="AS197" s="130">
        <f t="shared" si="120"/>
        <v>0</v>
      </c>
      <c r="AT197" s="137">
        <f t="shared" si="137"/>
        <v>8.77</v>
      </c>
      <c r="AU197" s="138">
        <f t="shared" si="121"/>
        <v>21.41</v>
      </c>
      <c r="AV197" s="129">
        <f t="shared" si="122"/>
        <v>0</v>
      </c>
      <c r="AW197" s="129">
        <f t="shared" si="123"/>
        <v>0</v>
      </c>
      <c r="AX197" s="129">
        <f t="shared" si="109"/>
        <v>0</v>
      </c>
      <c r="AY197" s="127">
        <f t="shared" si="133"/>
        <v>0</v>
      </c>
      <c r="AZ197" s="139">
        <f t="shared" si="134"/>
        <v>0</v>
      </c>
      <c r="BA197" s="139">
        <f t="shared" si="124"/>
        <v>0</v>
      </c>
      <c r="BB197" s="140">
        <f t="shared" si="110"/>
        <v>0</v>
      </c>
      <c r="BC197" s="140">
        <f t="shared" si="136"/>
        <v>98341</v>
      </c>
      <c r="BD197" s="140">
        <f t="shared" si="125"/>
        <v>671.32</v>
      </c>
      <c r="BE197" s="139">
        <f t="shared" si="126"/>
        <v>0</v>
      </c>
      <c r="BF197" s="139">
        <f t="shared" si="127"/>
        <v>0</v>
      </c>
      <c r="BG197" s="139">
        <f t="shared" si="111"/>
        <v>0</v>
      </c>
      <c r="BH197" s="139">
        <f t="shared" si="112"/>
        <v>0</v>
      </c>
      <c r="BI197" s="139">
        <f>ROUND(BE197*'[1]数据-取费表'!$B$51/(1+'[1]数据-取费表'!$C$42),0)</f>
        <v>0</v>
      </c>
      <c r="BJ197" s="139">
        <f>ROUND(BG197*'[1]数据-取费表'!B$41/(1+'[1]数据-取费表'!C$42),0)</f>
        <v>0</v>
      </c>
      <c r="BK197" s="139">
        <f t="shared" si="113"/>
        <v>0</v>
      </c>
      <c r="BL197" s="139">
        <f t="shared" si="114"/>
        <v>0</v>
      </c>
      <c r="BM197" s="139">
        <f t="shared" si="128"/>
        <v>0</v>
      </c>
      <c r="BN197" s="165">
        <f t="shared" si="115"/>
        <v>0</v>
      </c>
      <c r="BO197" s="140">
        <f>BD197/$BD$234*$BS$3</f>
        <v>932.5480601791254</v>
      </c>
      <c r="BP197" s="229"/>
      <c r="BQ197" s="229"/>
      <c r="BR197" s="194"/>
    </row>
    <row r="198" spans="1:71" x14ac:dyDescent="0.2">
      <c r="A198" s="146">
        <v>181</v>
      </c>
      <c r="B198" s="125" t="s">
        <v>82</v>
      </c>
      <c r="C198" s="126" t="s">
        <v>85</v>
      </c>
      <c r="D198" s="127">
        <v>2607</v>
      </c>
      <c r="E198" s="127">
        <v>139.97999999999999</v>
      </c>
      <c r="F198" s="127" t="s">
        <v>83</v>
      </c>
      <c r="G198" s="127" t="s">
        <v>75</v>
      </c>
      <c r="H198" s="128">
        <v>56009</v>
      </c>
      <c r="I198" s="128">
        <v>44987</v>
      </c>
      <c r="J198" s="127">
        <f>IF(F198="商业",[1]项目基本情况!D$15,[1]项目基本情况!E$15)</f>
        <v>30.19</v>
      </c>
      <c r="K198" s="127" t="s">
        <v>84</v>
      </c>
      <c r="L198" s="218">
        <f>SUM(E198:E199)</f>
        <v>275.14999999999998</v>
      </c>
      <c r="M198" s="127">
        <v>22</v>
      </c>
      <c r="N198" s="127" t="s">
        <v>12</v>
      </c>
      <c r="O198" s="127">
        <v>2008</v>
      </c>
      <c r="P198" s="218">
        <f t="shared" ref="P198:P233" si="148">ROUND(L198/A$2,2)</f>
        <v>51.43</v>
      </c>
      <c r="Q198" s="218">
        <f>ROUND(P198*'[1]数据-取费表'!B$52,0)</f>
        <v>1543</v>
      </c>
      <c r="R198" s="218">
        <f t="shared" si="130"/>
        <v>3117881</v>
      </c>
      <c r="S198" s="218">
        <f t="shared" si="116"/>
        <v>46768</v>
      </c>
      <c r="T198" s="220">
        <v>0.8</v>
      </c>
      <c r="U198" s="218">
        <f t="shared" si="131"/>
        <v>2494305</v>
      </c>
      <c r="V198" s="218">
        <f t="shared" ref="V198:V233" si="149">ROUND(U198*D$2,0)</f>
        <v>2494</v>
      </c>
      <c r="W198" s="218">
        <f t="shared" si="117"/>
        <v>3139</v>
      </c>
      <c r="X198" s="218">
        <f>ROUND(AC198*'[1]数据-取费表'!$B$41/(1+'[1]数据-取费表'!$C$42),0)</f>
        <v>33354</v>
      </c>
      <c r="Y198" s="218">
        <f>ROUND(AC198*'[1]数据-取费表'!$B$51/(1+'[1]数据-取费表'!$C$42),0)</f>
        <v>71474</v>
      </c>
      <c r="Z198" s="218">
        <f t="shared" ref="Z198:Z233" si="150">ROUND(X198+Y198+Q198,0)</f>
        <v>106371</v>
      </c>
      <c r="AA198" s="218">
        <f t="shared" ref="AA198:AA233" si="151">ROUND(Z198+S198+V198+W198,0)</f>
        <v>158772</v>
      </c>
      <c r="AB198" s="240">
        <f>ROUND(AC198/365/L198,2)</f>
        <v>6.23</v>
      </c>
      <c r="AC198" s="218">
        <v>625394</v>
      </c>
      <c r="AD198" s="218">
        <f t="shared" si="118"/>
        <v>2345</v>
      </c>
      <c r="AE198" s="218">
        <f t="shared" si="119"/>
        <v>627739</v>
      </c>
      <c r="AF198" s="225">
        <v>0</v>
      </c>
      <c r="AG198" s="218"/>
      <c r="AH198" s="226">
        <v>45322</v>
      </c>
      <c r="AI198" s="218">
        <f t="shared" si="132"/>
        <v>0.91</v>
      </c>
      <c r="AJ198" s="218">
        <f t="shared" ref="AJ198:AJ233" si="152">ROUND(AE198-AA198,0)</f>
        <v>468967</v>
      </c>
      <c r="AK198" s="224">
        <f t="shared" ref="AK198:AK233" si="153">ROUND(AJ198*(1-((1+AF198)/(1+J$2))^AI198)/(J$2-AF198),0)</f>
        <v>405479</v>
      </c>
      <c r="AL198" s="220">
        <f t="shared" ref="AL198:AL233" si="154">ROUND(1-(YEAR(AH198)-O198)/60,2)</f>
        <v>0.73</v>
      </c>
      <c r="AM198" s="218">
        <f t="shared" ref="AM198:AM233" si="155">ROUND(IF(AY198=0,0,R198*AL198),0)</f>
        <v>2276053</v>
      </c>
      <c r="AN198" s="218">
        <f t="shared" ref="AN198:AN233" si="156">ROUND(AM198*D$2,0)</f>
        <v>2276</v>
      </c>
      <c r="AO198" s="218">
        <f t="shared" ref="AO198:AO233" si="157">ROUND(AX198*E$2,0)</f>
        <v>4087</v>
      </c>
      <c r="AP198" s="218">
        <f>ROUND(AV198*'[1]数据-取费表'!$B$41/(1+'[1]数据-取费表'!$B$42),0)</f>
        <v>43434</v>
      </c>
      <c r="AQ198" s="218">
        <f>ROUND(AV198*'[1]数据-取费表'!B$51/(1+'[1]数据-取费表'!C$42),0)</f>
        <v>93073</v>
      </c>
      <c r="AR198" s="218">
        <f t="shared" ref="AR198:AR233" si="158">IF(AY198=0,0,ROUND(AP198+AQ198+Q198,0))</f>
        <v>138050</v>
      </c>
      <c r="AS198" s="218">
        <f t="shared" si="120"/>
        <v>191181</v>
      </c>
      <c r="AT198" s="223">
        <f t="shared" si="137"/>
        <v>8.77</v>
      </c>
      <c r="AU198" s="224">
        <f t="shared" si="121"/>
        <v>9.01</v>
      </c>
      <c r="AV198" s="218">
        <f t="shared" si="122"/>
        <v>814385</v>
      </c>
      <c r="AW198" s="218">
        <f t="shared" si="123"/>
        <v>3054</v>
      </c>
      <c r="AX198" s="218">
        <f t="shared" ref="AX198:AX233" si="159">AV198+AW198</f>
        <v>817439</v>
      </c>
      <c r="AY198" s="218">
        <f t="shared" si="133"/>
        <v>29.28</v>
      </c>
      <c r="AZ198" s="227">
        <f t="shared" si="134"/>
        <v>626258</v>
      </c>
      <c r="BA198" s="227">
        <f t="shared" si="124"/>
        <v>12637936</v>
      </c>
      <c r="BB198" s="229">
        <f t="shared" ref="BB198:BB233" si="160">ROUND(BA198/(1+J$2)^AI198,0)</f>
        <v>12036949</v>
      </c>
      <c r="BC198" s="229">
        <f t="shared" si="136"/>
        <v>186277</v>
      </c>
      <c r="BD198" s="229">
        <f t="shared" si="125"/>
        <v>1262.8699999999999</v>
      </c>
      <c r="BE198" s="227">
        <f t="shared" si="126"/>
        <v>792692</v>
      </c>
      <c r="BF198" s="227">
        <f t="shared" si="127"/>
        <v>2973</v>
      </c>
      <c r="BG198" s="227">
        <f t="shared" ref="BG198:BG233" si="161">ROUND(BE198+BF198,0)</f>
        <v>795665</v>
      </c>
      <c r="BH198" s="227">
        <f t="shared" ref="BH198:BH233" si="162">ROUND(BG198*E$2,0)</f>
        <v>3978</v>
      </c>
      <c r="BI198" s="227">
        <f>ROUND(BE198*'[1]数据-取费表'!$B$51/(1+'[1]数据-取费表'!$C$42),0)</f>
        <v>90593</v>
      </c>
      <c r="BJ198" s="227">
        <f>ROUND(BG198*'[1]数据-取费表'!B$41/(1+'[1]数据-取费表'!C$42),0)</f>
        <v>42435</v>
      </c>
      <c r="BK198" s="227">
        <f t="shared" ref="BK198:BK233" si="163">IF(AY198=0,0,ROUND(BJ198+BI198+BH198+Q198+S198+V198,0))</f>
        <v>187811</v>
      </c>
      <c r="BL198" s="227">
        <f t="shared" ref="BL198:BL233" si="164">BG198-BK198</f>
        <v>607854</v>
      </c>
      <c r="BM198" s="227">
        <f t="shared" si="128"/>
        <v>524874</v>
      </c>
      <c r="BN198" s="228">
        <f t="shared" ref="BN198:BN233" si="165">IF(AY198=0,0,ROUND(BM198-AK198,0))</f>
        <v>119395</v>
      </c>
      <c r="BO198" s="229">
        <f>BD198/$BD$234*$BS$3</f>
        <v>1754.2855400679439</v>
      </c>
      <c r="BP198" s="229"/>
      <c r="BQ198" s="229"/>
      <c r="BR198" s="194"/>
    </row>
    <row r="199" spans="1:71" x14ac:dyDescent="0.2">
      <c r="A199" s="146">
        <v>182</v>
      </c>
      <c r="B199" s="125" t="s">
        <v>82</v>
      </c>
      <c r="C199" s="126" t="s">
        <v>85</v>
      </c>
      <c r="D199" s="127">
        <v>2608</v>
      </c>
      <c r="E199" s="127">
        <v>135.16999999999999</v>
      </c>
      <c r="F199" s="127" t="s">
        <v>83</v>
      </c>
      <c r="G199" s="127" t="s">
        <v>75</v>
      </c>
      <c r="H199" s="128">
        <v>56009</v>
      </c>
      <c r="I199" s="128">
        <v>44987</v>
      </c>
      <c r="J199" s="127">
        <f>IF(F199="商业",[1]项目基本情况!D$15,[1]项目基本情况!E$15)</f>
        <v>30.19</v>
      </c>
      <c r="K199" s="127" t="s">
        <v>84</v>
      </c>
      <c r="L199" s="218"/>
      <c r="M199" s="127">
        <v>22</v>
      </c>
      <c r="N199" s="127" t="s">
        <v>12</v>
      </c>
      <c r="O199" s="127">
        <v>2008</v>
      </c>
      <c r="P199" s="218">
        <f t="shared" si="148"/>
        <v>0</v>
      </c>
      <c r="Q199" s="218">
        <f>ROUND(P199*'[1]数据-取费表'!B$52,0)</f>
        <v>0</v>
      </c>
      <c r="R199" s="218">
        <f t="shared" si="130"/>
        <v>0</v>
      </c>
      <c r="S199" s="218">
        <f t="shared" ref="S199:S233" si="166">ROUND(R199*C$2,0)</f>
        <v>0</v>
      </c>
      <c r="T199" s="220">
        <v>0.8</v>
      </c>
      <c r="U199" s="218">
        <f t="shared" si="131"/>
        <v>0</v>
      </c>
      <c r="V199" s="218">
        <f t="shared" si="149"/>
        <v>0</v>
      </c>
      <c r="W199" s="218">
        <f t="shared" ref="W199:W233" si="167">ROUND(AE199*E$2,0)</f>
        <v>0</v>
      </c>
      <c r="X199" s="218">
        <f>ROUND(AC199*'[1]数据-取费表'!$B$41/(1+'[1]数据-取费表'!$C$42),0)</f>
        <v>0</v>
      </c>
      <c r="Y199" s="218">
        <f>ROUND(AC199*'[1]数据-取费表'!$B$51/(1+'[1]数据-取费表'!$C$42),0)</f>
        <v>0</v>
      </c>
      <c r="Z199" s="218">
        <f t="shared" si="150"/>
        <v>0</v>
      </c>
      <c r="AA199" s="218">
        <f t="shared" si="151"/>
        <v>0</v>
      </c>
      <c r="AB199" s="240">
        <f t="shared" ref="AB199:AB233" si="168">IF(N199="低区",K$2,IF(N199="中区",L$2,M$2))</f>
        <v>8.77</v>
      </c>
      <c r="AC199" s="218"/>
      <c r="AD199" s="218">
        <f t="shared" ref="AD199:AD233" si="169">ROUND(IF(F$2="押一",AC199/12*G$2,IF(F$2="押二",AC199/12*2*G$2,IF(F$2="押三",AC199/12*3*G$2,0*G$2))),0)</f>
        <v>0</v>
      </c>
      <c r="AE199" s="218">
        <f t="shared" ref="AE199:AE233" si="170">ROUND(AC199+AD199,0)</f>
        <v>0</v>
      </c>
      <c r="AF199" s="225"/>
      <c r="AG199" s="218"/>
      <c r="AH199" s="226"/>
      <c r="AI199" s="218">
        <f t="shared" si="132"/>
        <v>-123.25</v>
      </c>
      <c r="AJ199" s="218">
        <f t="shared" si="152"/>
        <v>0</v>
      </c>
      <c r="AK199" s="224">
        <f t="shared" si="153"/>
        <v>0</v>
      </c>
      <c r="AL199" s="220">
        <f t="shared" si="154"/>
        <v>2.8</v>
      </c>
      <c r="AM199" s="218">
        <f t="shared" si="155"/>
        <v>0</v>
      </c>
      <c r="AN199" s="218">
        <f t="shared" si="156"/>
        <v>0</v>
      </c>
      <c r="AO199" s="218">
        <f t="shared" si="157"/>
        <v>0</v>
      </c>
      <c r="AP199" s="218">
        <f>ROUND(AV199*'[1]数据-取费表'!$B$41/(1+'[1]数据-取费表'!$B$42),0)</f>
        <v>0</v>
      </c>
      <c r="AQ199" s="218">
        <f>ROUND(AV199*'[1]数据-取费表'!B$51/(1+'[1]数据-取费表'!C$42),0)</f>
        <v>0</v>
      </c>
      <c r="AR199" s="218">
        <f t="shared" si="158"/>
        <v>0</v>
      </c>
      <c r="AS199" s="218">
        <f t="shared" ref="AS199:AS233" si="171">IF(AY199=0,0,ROUND(AR199+S199+AN199+AO199,0))</f>
        <v>0</v>
      </c>
      <c r="AT199" s="223">
        <f t="shared" si="137"/>
        <v>8.77</v>
      </c>
      <c r="AU199" s="224">
        <f t="shared" ref="AU199:AU233" si="172">ROUND(AT199*(1+H$2)^AI199,2)</f>
        <v>0.23</v>
      </c>
      <c r="AV199" s="218">
        <f t="shared" ref="AV199:AV233" si="173">ROUND(IF(AY199=0,0,AU199*365*L199*(1-I$2)),0)</f>
        <v>0</v>
      </c>
      <c r="AW199" s="218">
        <f t="shared" ref="AW199:AW233" si="174">ROUND(IF(F$2="押一",AV199/12*G$2,IF(F$2="押二",AV199/12*2*G$2,IF(F$2="押三",AV199/12*3*G$2,0*G$2))),0)</f>
        <v>0</v>
      </c>
      <c r="AX199" s="218">
        <f t="shared" si="159"/>
        <v>0</v>
      </c>
      <c r="AY199" s="218">
        <f t="shared" si="133"/>
        <v>153.44</v>
      </c>
      <c r="AZ199" s="227">
        <f t="shared" si="134"/>
        <v>0</v>
      </c>
      <c r="BA199" s="227">
        <f t="shared" ref="BA199:BA233" si="175">ROUND(AZ199*(1-((1+H$2)/(1+J$2))^AY199)/(J$2-H$2),0)</f>
        <v>0</v>
      </c>
      <c r="BB199" s="229">
        <f t="shared" si="160"/>
        <v>0</v>
      </c>
      <c r="BC199" s="229">
        <f t="shared" si="136"/>
        <v>0</v>
      </c>
      <c r="BD199" s="229">
        <f t="shared" ref="BD199:BD233" si="176">ROUND((AK199+BB199+BC199)/10000,2)</f>
        <v>0</v>
      </c>
      <c r="BE199" s="227">
        <f t="shared" ref="BE199:BE233" si="177">IF(AY199=0,0,ROUND(AT199*365*L199*(1-I$2),0))</f>
        <v>0</v>
      </c>
      <c r="BF199" s="227">
        <f t="shared" ref="BF199:BF233" si="178">ROUND(IF(F$2="押一",BE199/12*G$2,IF(F$2="押二",BE199/12*2*G$2,IF(F$2="押三",BE199/12*3*G$2,0*G$2))),0)</f>
        <v>0</v>
      </c>
      <c r="BG199" s="227">
        <f t="shared" si="161"/>
        <v>0</v>
      </c>
      <c r="BH199" s="227">
        <f t="shared" si="162"/>
        <v>0</v>
      </c>
      <c r="BI199" s="227">
        <f>ROUND(BE199*'[1]数据-取费表'!$B$51/(1+'[1]数据-取费表'!$C$42),0)</f>
        <v>0</v>
      </c>
      <c r="BJ199" s="227">
        <f>ROUND(BG199*'[1]数据-取费表'!B$41/(1+'[1]数据-取费表'!C$42),0)</f>
        <v>0</v>
      </c>
      <c r="BK199" s="227">
        <f t="shared" si="163"/>
        <v>0</v>
      </c>
      <c r="BL199" s="227">
        <f t="shared" si="164"/>
        <v>0</v>
      </c>
      <c r="BM199" s="227">
        <f t="shared" ref="BM199:BM233" si="179">ROUND(BL199*(1-((1+H$2)/(1+J$2))^AI199)/(J$2-H$2),0)</f>
        <v>0</v>
      </c>
      <c r="BN199" s="228">
        <f t="shared" si="165"/>
        <v>0</v>
      </c>
      <c r="BO199" s="229"/>
      <c r="BP199" s="229"/>
      <c r="BQ199" s="229"/>
      <c r="BR199" s="194"/>
    </row>
    <row r="200" spans="1:71" x14ac:dyDescent="0.2">
      <c r="A200" s="146">
        <v>183</v>
      </c>
      <c r="B200" s="125" t="s">
        <v>82</v>
      </c>
      <c r="C200" s="126" t="s">
        <v>85</v>
      </c>
      <c r="D200" s="127">
        <v>2605</v>
      </c>
      <c r="E200" s="127">
        <v>193.75</v>
      </c>
      <c r="F200" s="127" t="s">
        <v>83</v>
      </c>
      <c r="G200" s="127" t="s">
        <v>75</v>
      </c>
      <c r="H200" s="128">
        <v>56009</v>
      </c>
      <c r="I200" s="128">
        <v>44987</v>
      </c>
      <c r="J200" s="127">
        <f>IF(F200="商业",[1]项目基本情况!D$15,[1]项目基本情况!E$15)</f>
        <v>30.19</v>
      </c>
      <c r="K200" s="127" t="s">
        <v>84</v>
      </c>
      <c r="L200" s="127">
        <f>E200</f>
        <v>193.75</v>
      </c>
      <c r="M200" s="127">
        <v>22</v>
      </c>
      <c r="N200" s="127" t="s">
        <v>12</v>
      </c>
      <c r="O200" s="127">
        <v>2008</v>
      </c>
      <c r="P200" s="129">
        <f t="shared" si="148"/>
        <v>36.21</v>
      </c>
      <c r="Q200" s="129">
        <f>ROUND(P200*'[1]数据-取费表'!B$52,0)</f>
        <v>1086</v>
      </c>
      <c r="R200" s="129">
        <f t="shared" si="130"/>
        <v>2195492</v>
      </c>
      <c r="S200" s="130">
        <f t="shared" si="166"/>
        <v>32932</v>
      </c>
      <c r="T200" s="131">
        <v>0.8</v>
      </c>
      <c r="U200" s="129">
        <f t="shared" si="131"/>
        <v>1756394</v>
      </c>
      <c r="V200" s="130">
        <f t="shared" si="149"/>
        <v>1756</v>
      </c>
      <c r="W200" s="130">
        <f t="shared" si="167"/>
        <v>1861</v>
      </c>
      <c r="X200" s="129">
        <f>ROUND(AC200*'[1]数据-取费表'!$B$41/(1+'[1]数据-取费表'!$C$42),0)</f>
        <v>19780</v>
      </c>
      <c r="Y200" s="129">
        <f>ROUND(AC200*'[1]数据-取费表'!$B$51/(1+'[1]数据-取费表'!$C$42),0)</f>
        <v>42386</v>
      </c>
      <c r="Z200" s="129">
        <f t="shared" si="150"/>
        <v>63252</v>
      </c>
      <c r="AA200" s="130">
        <f t="shared" si="151"/>
        <v>99801</v>
      </c>
      <c r="AB200" s="132">
        <f>ROUND(AC200/365/L200,2)</f>
        <v>5.24</v>
      </c>
      <c r="AC200" s="127">
        <v>370880</v>
      </c>
      <c r="AD200" s="129">
        <f t="shared" si="169"/>
        <v>1391</v>
      </c>
      <c r="AE200" s="129">
        <f t="shared" si="170"/>
        <v>372271</v>
      </c>
      <c r="AF200" s="134">
        <v>4.9000000000000002E-2</v>
      </c>
      <c r="AG200" s="134"/>
      <c r="AH200" s="145">
        <v>45487</v>
      </c>
      <c r="AI200" s="127">
        <f t="shared" si="132"/>
        <v>1.36</v>
      </c>
      <c r="AJ200" s="130">
        <f t="shared" si="152"/>
        <v>272470</v>
      </c>
      <c r="AK200" s="135">
        <f t="shared" si="153"/>
        <v>350881</v>
      </c>
      <c r="AL200" s="131">
        <f t="shared" si="154"/>
        <v>0.73</v>
      </c>
      <c r="AM200" s="129">
        <f t="shared" si="155"/>
        <v>1602709</v>
      </c>
      <c r="AN200" s="130">
        <f t="shared" si="156"/>
        <v>1603</v>
      </c>
      <c r="AO200" s="130">
        <f t="shared" si="157"/>
        <v>2916</v>
      </c>
      <c r="AP200" s="129">
        <f>ROUND(AV200*'[1]数据-取费表'!$B$41/(1+'[1]数据-取费表'!$B$42),0)</f>
        <v>30992</v>
      </c>
      <c r="AQ200" s="129">
        <f>ROUND(AV200*'[1]数据-取费表'!B$51/(1+'[1]数据-取费表'!C$42),0)</f>
        <v>66411</v>
      </c>
      <c r="AR200" s="136">
        <f t="shared" si="158"/>
        <v>98489</v>
      </c>
      <c r="AS200" s="130">
        <f t="shared" si="171"/>
        <v>135940</v>
      </c>
      <c r="AT200" s="137">
        <f t="shared" si="137"/>
        <v>8.77</v>
      </c>
      <c r="AU200" s="138">
        <f t="shared" si="172"/>
        <v>9.1300000000000008</v>
      </c>
      <c r="AV200" s="129">
        <f t="shared" si="173"/>
        <v>581096</v>
      </c>
      <c r="AW200" s="129">
        <f t="shared" si="174"/>
        <v>2179</v>
      </c>
      <c r="AX200" s="129">
        <f t="shared" si="159"/>
        <v>583275</v>
      </c>
      <c r="AY200" s="127">
        <f t="shared" si="133"/>
        <v>28.830000000000002</v>
      </c>
      <c r="AZ200" s="139">
        <f t="shared" si="134"/>
        <v>447335</v>
      </c>
      <c r="BA200" s="139">
        <f t="shared" si="175"/>
        <v>8931055</v>
      </c>
      <c r="BB200" s="140">
        <f t="shared" si="160"/>
        <v>8303849</v>
      </c>
      <c r="BC200" s="140">
        <f t="shared" si="136"/>
        <v>131169</v>
      </c>
      <c r="BD200" s="140">
        <f t="shared" si="176"/>
        <v>878.59</v>
      </c>
      <c r="BE200" s="139">
        <f t="shared" si="177"/>
        <v>558183</v>
      </c>
      <c r="BF200" s="139">
        <f t="shared" si="178"/>
        <v>2093</v>
      </c>
      <c r="BG200" s="139">
        <f t="shared" si="161"/>
        <v>560276</v>
      </c>
      <c r="BH200" s="139">
        <f t="shared" si="162"/>
        <v>2801</v>
      </c>
      <c r="BI200" s="139">
        <f>ROUND(BE200*'[1]数据-取费表'!$B$51/(1+'[1]数据-取费表'!$C$42),0)</f>
        <v>63792</v>
      </c>
      <c r="BJ200" s="139">
        <f>ROUND(BG200*'[1]数据-取费表'!B$41/(1+'[1]数据-取费表'!C$42),0)</f>
        <v>29881</v>
      </c>
      <c r="BK200" s="139">
        <f t="shared" si="163"/>
        <v>132248</v>
      </c>
      <c r="BL200" s="139">
        <f t="shared" si="164"/>
        <v>428028</v>
      </c>
      <c r="BM200" s="139">
        <f t="shared" si="179"/>
        <v>549405</v>
      </c>
      <c r="BN200" s="165">
        <f t="shared" si="165"/>
        <v>198524</v>
      </c>
      <c r="BO200" s="140">
        <f>BD200/$BD$234*$BS$3</f>
        <v>1220.4722043031309</v>
      </c>
      <c r="BP200" s="229"/>
      <c r="BQ200" s="229"/>
      <c r="BR200" s="194"/>
    </row>
    <row r="201" spans="1:71" x14ac:dyDescent="0.2">
      <c r="A201" s="146">
        <v>184</v>
      </c>
      <c r="B201" s="125" t="s">
        <v>82</v>
      </c>
      <c r="C201" s="126" t="s">
        <v>85</v>
      </c>
      <c r="D201" s="127">
        <v>2609</v>
      </c>
      <c r="E201" s="127">
        <v>135.16999999999999</v>
      </c>
      <c r="F201" s="127" t="s">
        <v>83</v>
      </c>
      <c r="G201" s="127" t="s">
        <v>75</v>
      </c>
      <c r="H201" s="128">
        <v>56009</v>
      </c>
      <c r="I201" s="128">
        <v>44987</v>
      </c>
      <c r="J201" s="127">
        <f>IF(F201="商业",[1]项目基本情况!D$15,[1]项目基本情况!E$15)</f>
        <v>30.19</v>
      </c>
      <c r="K201" s="127" t="s">
        <v>84</v>
      </c>
      <c r="L201" s="218">
        <f>SUM(E201:E202)</f>
        <v>274.45</v>
      </c>
      <c r="M201" s="127">
        <v>22</v>
      </c>
      <c r="N201" s="127" t="s">
        <v>12</v>
      </c>
      <c r="O201" s="127">
        <v>2008</v>
      </c>
      <c r="P201" s="218">
        <f t="shared" si="148"/>
        <v>51.3</v>
      </c>
      <c r="Q201" s="218">
        <f>ROUND(P201*'[1]数据-取费表'!B$52,0)</f>
        <v>1539</v>
      </c>
      <c r="R201" s="218">
        <f t="shared" ref="R201:R233" si="180">ROUND(L201*B$2,0)</f>
        <v>3109949</v>
      </c>
      <c r="S201" s="218">
        <f t="shared" si="166"/>
        <v>46649</v>
      </c>
      <c r="T201" s="220">
        <v>0.8</v>
      </c>
      <c r="U201" s="218">
        <f t="shared" ref="U201:U233" si="181">ROUND(R201*T201,0)</f>
        <v>2487959</v>
      </c>
      <c r="V201" s="218">
        <f t="shared" si="149"/>
        <v>2488</v>
      </c>
      <c r="W201" s="218">
        <f t="shared" si="167"/>
        <v>3269</v>
      </c>
      <c r="X201" s="218">
        <f>ROUND(AC201*'[1]数据-取费表'!$B$41/(1+'[1]数据-取费表'!$C$42),0)</f>
        <v>34738</v>
      </c>
      <c r="Y201" s="218">
        <f>ROUND(AC201*'[1]数据-取费表'!$B$51/(1+'[1]数据-取费表'!$C$42),0)</f>
        <v>74439</v>
      </c>
      <c r="Z201" s="218">
        <f t="shared" si="150"/>
        <v>110716</v>
      </c>
      <c r="AA201" s="218">
        <f t="shared" si="151"/>
        <v>163122</v>
      </c>
      <c r="AB201" s="240">
        <f>ROUND(AC201/365/L201,2)</f>
        <v>6.5</v>
      </c>
      <c r="AC201" s="218">
        <v>651343</v>
      </c>
      <c r="AD201" s="218">
        <f t="shared" si="169"/>
        <v>2443</v>
      </c>
      <c r="AE201" s="218">
        <f t="shared" si="170"/>
        <v>653786</v>
      </c>
      <c r="AF201" s="225">
        <v>0</v>
      </c>
      <c r="AG201" s="218"/>
      <c r="AH201" s="226">
        <v>45747</v>
      </c>
      <c r="AI201" s="218">
        <f t="shared" ref="AI201:AI233" si="182">ROUNDDOWN((AH201-I201)/365,2)</f>
        <v>2.08</v>
      </c>
      <c r="AJ201" s="218">
        <f t="shared" si="152"/>
        <v>490664</v>
      </c>
      <c r="AK201" s="224">
        <f t="shared" si="153"/>
        <v>940181</v>
      </c>
      <c r="AL201" s="220">
        <f t="shared" si="154"/>
        <v>0.72</v>
      </c>
      <c r="AM201" s="218">
        <f t="shared" si="155"/>
        <v>2239163</v>
      </c>
      <c r="AN201" s="218">
        <f t="shared" si="156"/>
        <v>2239</v>
      </c>
      <c r="AO201" s="218">
        <f t="shared" si="157"/>
        <v>4222</v>
      </c>
      <c r="AP201" s="218">
        <f>ROUND(AV201*'[1]数据-取费表'!$B$41/(1+'[1]数据-取费表'!$B$42),0)</f>
        <v>44862</v>
      </c>
      <c r="AQ201" s="218">
        <f>ROUND(AV201*'[1]数据-取费表'!B$51/(1+'[1]数据-取费表'!C$42),0)</f>
        <v>96133</v>
      </c>
      <c r="AR201" s="218">
        <f t="shared" si="158"/>
        <v>142534</v>
      </c>
      <c r="AS201" s="218">
        <f t="shared" si="171"/>
        <v>195644</v>
      </c>
      <c r="AT201" s="223">
        <f t="shared" si="137"/>
        <v>8.77</v>
      </c>
      <c r="AU201" s="224">
        <f t="shared" si="172"/>
        <v>9.33</v>
      </c>
      <c r="AV201" s="218">
        <f t="shared" si="173"/>
        <v>841163</v>
      </c>
      <c r="AW201" s="218">
        <f t="shared" si="174"/>
        <v>3154</v>
      </c>
      <c r="AX201" s="218">
        <f t="shared" si="159"/>
        <v>844317</v>
      </c>
      <c r="AY201" s="218">
        <f t="shared" ref="AY201:AY233" si="183">J201-AI201</f>
        <v>28.11</v>
      </c>
      <c r="AZ201" s="227">
        <f t="shared" ref="AZ201:AZ233" si="184">AX201-AS201</f>
        <v>648673</v>
      </c>
      <c r="BA201" s="227">
        <f t="shared" si="175"/>
        <v>12724421</v>
      </c>
      <c r="BB201" s="229">
        <f t="shared" si="160"/>
        <v>11383424</v>
      </c>
      <c r="BC201" s="229">
        <f t="shared" si="136"/>
        <v>185803</v>
      </c>
      <c r="BD201" s="229">
        <f t="shared" si="176"/>
        <v>1250.94</v>
      </c>
      <c r="BE201" s="227">
        <f t="shared" si="177"/>
        <v>790675</v>
      </c>
      <c r="BF201" s="227">
        <f t="shared" si="178"/>
        <v>2965</v>
      </c>
      <c r="BG201" s="227">
        <f t="shared" si="161"/>
        <v>793640</v>
      </c>
      <c r="BH201" s="227">
        <f t="shared" si="162"/>
        <v>3968</v>
      </c>
      <c r="BI201" s="227">
        <f>ROUND(BE201*'[1]数据-取费表'!$B$51/(1+'[1]数据-取费表'!$C$42),0)</f>
        <v>90363</v>
      </c>
      <c r="BJ201" s="227">
        <f>ROUND(BG201*'[1]数据-取费表'!B$41/(1+'[1]数据-取费表'!C$42),0)</f>
        <v>42327</v>
      </c>
      <c r="BK201" s="227">
        <f t="shared" si="163"/>
        <v>187334</v>
      </c>
      <c r="BL201" s="227">
        <f t="shared" si="164"/>
        <v>606306</v>
      </c>
      <c r="BM201" s="227">
        <f t="shared" si="179"/>
        <v>1180085</v>
      </c>
      <c r="BN201" s="228">
        <f t="shared" si="165"/>
        <v>239904</v>
      </c>
      <c r="BO201" s="229">
        <f>BD201/$BD$234*$BS$3</f>
        <v>1737.7132669970731</v>
      </c>
      <c r="BP201" s="229"/>
      <c r="BQ201" s="229"/>
      <c r="BR201" s="194"/>
    </row>
    <row r="202" spans="1:71" x14ac:dyDescent="0.2">
      <c r="A202" s="146">
        <v>185</v>
      </c>
      <c r="B202" s="125" t="s">
        <v>82</v>
      </c>
      <c r="C202" s="126" t="s">
        <v>85</v>
      </c>
      <c r="D202" s="127">
        <v>2610</v>
      </c>
      <c r="E202" s="127">
        <v>139.28</v>
      </c>
      <c r="F202" s="127" t="s">
        <v>83</v>
      </c>
      <c r="G202" s="127" t="s">
        <v>75</v>
      </c>
      <c r="H202" s="128">
        <v>56009</v>
      </c>
      <c r="I202" s="128">
        <v>44987</v>
      </c>
      <c r="J202" s="127">
        <f>IF(F202="商业",[1]项目基本情况!D$15,[1]项目基本情况!E$15)</f>
        <v>30.19</v>
      </c>
      <c r="K202" s="127" t="s">
        <v>84</v>
      </c>
      <c r="L202" s="218"/>
      <c r="M202" s="127">
        <v>22</v>
      </c>
      <c r="N202" s="127" t="s">
        <v>12</v>
      </c>
      <c r="O202" s="127">
        <v>2008</v>
      </c>
      <c r="P202" s="218">
        <f t="shared" si="148"/>
        <v>0</v>
      </c>
      <c r="Q202" s="218">
        <f>ROUND(P202*'[1]数据-取费表'!B$52,0)</f>
        <v>0</v>
      </c>
      <c r="R202" s="218">
        <f t="shared" si="180"/>
        <v>0</v>
      </c>
      <c r="S202" s="218">
        <f t="shared" si="166"/>
        <v>0</v>
      </c>
      <c r="T202" s="220">
        <v>0.8</v>
      </c>
      <c r="U202" s="218">
        <f t="shared" si="181"/>
        <v>0</v>
      </c>
      <c r="V202" s="218">
        <f t="shared" si="149"/>
        <v>0</v>
      </c>
      <c r="W202" s="218">
        <f t="shared" si="167"/>
        <v>0</v>
      </c>
      <c r="X202" s="218">
        <f>ROUND(AC202*'[1]数据-取费表'!$B$41/(1+'[1]数据-取费表'!$C$42),0)</f>
        <v>0</v>
      </c>
      <c r="Y202" s="218">
        <f>ROUND(AC202*'[1]数据-取费表'!$B$51/(1+'[1]数据-取费表'!$C$42),0)</f>
        <v>0</v>
      </c>
      <c r="Z202" s="218">
        <f t="shared" si="150"/>
        <v>0</v>
      </c>
      <c r="AA202" s="218">
        <f t="shared" si="151"/>
        <v>0</v>
      </c>
      <c r="AB202" s="240">
        <f t="shared" si="168"/>
        <v>8.77</v>
      </c>
      <c r="AC202" s="218"/>
      <c r="AD202" s="218">
        <f t="shared" si="169"/>
        <v>0</v>
      </c>
      <c r="AE202" s="218">
        <f t="shared" si="170"/>
        <v>0</v>
      </c>
      <c r="AF202" s="225"/>
      <c r="AG202" s="218"/>
      <c r="AH202" s="226"/>
      <c r="AI202" s="218">
        <f t="shared" si="182"/>
        <v>-123.25</v>
      </c>
      <c r="AJ202" s="218">
        <f t="shared" si="152"/>
        <v>0</v>
      </c>
      <c r="AK202" s="224">
        <f t="shared" si="153"/>
        <v>0</v>
      </c>
      <c r="AL202" s="220">
        <f t="shared" si="154"/>
        <v>2.8</v>
      </c>
      <c r="AM202" s="218">
        <f t="shared" si="155"/>
        <v>0</v>
      </c>
      <c r="AN202" s="218">
        <f t="shared" si="156"/>
        <v>0</v>
      </c>
      <c r="AO202" s="218">
        <f t="shared" si="157"/>
        <v>0</v>
      </c>
      <c r="AP202" s="218">
        <f>ROUND(AV202*'[1]数据-取费表'!$B$41/(1+'[1]数据-取费表'!$B$42),0)</f>
        <v>0</v>
      </c>
      <c r="AQ202" s="218">
        <f>ROUND(AV202*'[1]数据-取费表'!B$51/(1+'[1]数据-取费表'!C$42),0)</f>
        <v>0</v>
      </c>
      <c r="AR202" s="218">
        <f t="shared" si="158"/>
        <v>0</v>
      </c>
      <c r="AS202" s="218">
        <f t="shared" si="171"/>
        <v>0</v>
      </c>
      <c r="AT202" s="223">
        <f t="shared" si="137"/>
        <v>8.77</v>
      </c>
      <c r="AU202" s="224">
        <f t="shared" si="172"/>
        <v>0.23</v>
      </c>
      <c r="AV202" s="218">
        <f t="shared" si="173"/>
        <v>0</v>
      </c>
      <c r="AW202" s="218">
        <f t="shared" si="174"/>
        <v>0</v>
      </c>
      <c r="AX202" s="218">
        <f t="shared" si="159"/>
        <v>0</v>
      </c>
      <c r="AY202" s="218">
        <f t="shared" si="183"/>
        <v>153.44</v>
      </c>
      <c r="AZ202" s="227">
        <f t="shared" si="184"/>
        <v>0</v>
      </c>
      <c r="BA202" s="227">
        <f t="shared" si="175"/>
        <v>0</v>
      </c>
      <c r="BB202" s="229">
        <f t="shared" si="160"/>
        <v>0</v>
      </c>
      <c r="BC202" s="229">
        <f t="shared" ref="BC202:BC233" si="185">ROUND(Q$2*L202,0)</f>
        <v>0</v>
      </c>
      <c r="BD202" s="229">
        <f t="shared" si="176"/>
        <v>0</v>
      </c>
      <c r="BE202" s="227">
        <f t="shared" si="177"/>
        <v>0</v>
      </c>
      <c r="BF202" s="227">
        <f t="shared" si="178"/>
        <v>0</v>
      </c>
      <c r="BG202" s="227">
        <f t="shared" si="161"/>
        <v>0</v>
      </c>
      <c r="BH202" s="227">
        <f t="shared" si="162"/>
        <v>0</v>
      </c>
      <c r="BI202" s="227">
        <f>ROUND(BE202*'[1]数据-取费表'!$B$51/(1+'[1]数据-取费表'!$C$42),0)</f>
        <v>0</v>
      </c>
      <c r="BJ202" s="227">
        <f>ROUND(BG202*'[1]数据-取费表'!B$41/(1+'[1]数据-取费表'!C$42),0)</f>
        <v>0</v>
      </c>
      <c r="BK202" s="227">
        <f t="shared" si="163"/>
        <v>0</v>
      </c>
      <c r="BL202" s="227">
        <f t="shared" si="164"/>
        <v>0</v>
      </c>
      <c r="BM202" s="227">
        <f t="shared" si="179"/>
        <v>0</v>
      </c>
      <c r="BN202" s="228">
        <f t="shared" si="165"/>
        <v>0</v>
      </c>
      <c r="BO202" s="229"/>
      <c r="BP202" s="229"/>
      <c r="BQ202" s="229"/>
      <c r="BR202" s="194"/>
    </row>
    <row r="203" spans="1:71" x14ac:dyDescent="0.2">
      <c r="A203" s="146">
        <v>186</v>
      </c>
      <c r="B203" s="125" t="s">
        <v>82</v>
      </c>
      <c r="C203" s="126" t="s">
        <v>85</v>
      </c>
      <c r="D203" s="127">
        <v>2611</v>
      </c>
      <c r="E203" s="127">
        <v>138.9</v>
      </c>
      <c r="F203" s="127" t="s">
        <v>83</v>
      </c>
      <c r="G203" s="127" t="s">
        <v>75</v>
      </c>
      <c r="H203" s="128">
        <v>56009</v>
      </c>
      <c r="I203" s="128">
        <v>44987</v>
      </c>
      <c r="J203" s="127">
        <f>IF(F203="商业",[1]项目基本情况!D$15,[1]项目基本情况!E$15)</f>
        <v>30.19</v>
      </c>
      <c r="K203" s="127"/>
      <c r="L203" s="127">
        <v>138.9</v>
      </c>
      <c r="M203" s="127">
        <v>22</v>
      </c>
      <c r="N203" s="127" t="s">
        <v>12</v>
      </c>
      <c r="O203" s="127">
        <v>2008</v>
      </c>
      <c r="P203" s="127">
        <f t="shared" si="148"/>
        <v>25.96</v>
      </c>
      <c r="Q203" s="127">
        <f>ROUND(P203*'[1]数据-取费表'!B$52,0)</f>
        <v>779</v>
      </c>
      <c r="R203" s="127">
        <f t="shared" si="180"/>
        <v>1573955</v>
      </c>
      <c r="S203" s="127">
        <f t="shared" si="166"/>
        <v>23609</v>
      </c>
      <c r="T203" s="147">
        <v>0.8</v>
      </c>
      <c r="U203" s="127">
        <f t="shared" si="181"/>
        <v>1259164</v>
      </c>
      <c r="V203" s="127">
        <f t="shared" si="149"/>
        <v>1259</v>
      </c>
      <c r="W203" s="127">
        <f t="shared" si="167"/>
        <v>2008</v>
      </c>
      <c r="X203" s="127">
        <f>ROUND(AC203*'[1]数据-取费表'!$B$41/(1+'[1]数据-取费表'!$C$42),0)</f>
        <v>21342</v>
      </c>
      <c r="Y203" s="127">
        <f>ROUND(AC203*'[1]数据-取费表'!$B$51/(1+'[1]数据-取费表'!$C$42),0)</f>
        <v>45733</v>
      </c>
      <c r="Z203" s="127">
        <f t="shared" si="150"/>
        <v>67854</v>
      </c>
      <c r="AA203" s="127">
        <f t="shared" si="151"/>
        <v>94730</v>
      </c>
      <c r="AB203" s="148">
        <f t="shared" si="168"/>
        <v>8.77</v>
      </c>
      <c r="AC203" s="127">
        <f>ROUND(AB203*365*L203*(1-I$2),0)</f>
        <v>400163</v>
      </c>
      <c r="AD203" s="127">
        <f t="shared" si="169"/>
        <v>1501</v>
      </c>
      <c r="AE203" s="127">
        <f t="shared" si="170"/>
        <v>401664</v>
      </c>
      <c r="AF203" s="133">
        <f>H$2</f>
        <v>0.03</v>
      </c>
      <c r="AG203" s="127"/>
      <c r="AH203" s="128">
        <f>H203</f>
        <v>56009</v>
      </c>
      <c r="AI203" s="127">
        <f t="shared" si="182"/>
        <v>30.19</v>
      </c>
      <c r="AJ203" s="127">
        <f t="shared" si="152"/>
        <v>306934</v>
      </c>
      <c r="AK203" s="149">
        <f t="shared" si="153"/>
        <v>6325276</v>
      </c>
      <c r="AL203" s="147">
        <f t="shared" si="154"/>
        <v>0.25</v>
      </c>
      <c r="AM203" s="127">
        <f t="shared" si="155"/>
        <v>0</v>
      </c>
      <c r="AN203" s="127">
        <f t="shared" si="156"/>
        <v>0</v>
      </c>
      <c r="AO203" s="127">
        <f t="shared" si="157"/>
        <v>0</v>
      </c>
      <c r="AP203" s="127">
        <f>ROUND(AV203*'[1]数据-取费表'!$B$41/(1+'[1]数据-取费表'!$B$42),0)</f>
        <v>0</v>
      </c>
      <c r="AQ203" s="127">
        <f>ROUND(AV203*'[1]数据-取费表'!B$51/(1+'[1]数据-取费表'!C$42),0)</f>
        <v>0</v>
      </c>
      <c r="AR203" s="127">
        <f t="shared" si="158"/>
        <v>0</v>
      </c>
      <c r="AS203" s="127">
        <f t="shared" si="171"/>
        <v>0</v>
      </c>
      <c r="AT203" s="150">
        <f t="shared" ref="AT203:AT233" si="186">IF(N203="低区",K$2,IF(N203="中区",L$2,M$2))</f>
        <v>8.77</v>
      </c>
      <c r="AU203" s="149">
        <f t="shared" si="172"/>
        <v>21.41</v>
      </c>
      <c r="AV203" s="127">
        <f t="shared" si="173"/>
        <v>0</v>
      </c>
      <c r="AW203" s="127">
        <f t="shared" si="174"/>
        <v>0</v>
      </c>
      <c r="AX203" s="127">
        <f t="shared" si="159"/>
        <v>0</v>
      </c>
      <c r="AY203" s="127">
        <f t="shared" si="183"/>
        <v>0</v>
      </c>
      <c r="AZ203" s="151">
        <f t="shared" si="184"/>
        <v>0</v>
      </c>
      <c r="BA203" s="151">
        <f t="shared" si="175"/>
        <v>0</v>
      </c>
      <c r="BB203" s="152">
        <f t="shared" si="160"/>
        <v>0</v>
      </c>
      <c r="BC203" s="152">
        <f t="shared" si="185"/>
        <v>94035</v>
      </c>
      <c r="BD203" s="152">
        <f t="shared" si="176"/>
        <v>641.92999999999995</v>
      </c>
      <c r="BE203" s="151">
        <f t="shared" si="177"/>
        <v>0</v>
      </c>
      <c r="BF203" s="151">
        <f t="shared" si="178"/>
        <v>0</v>
      </c>
      <c r="BG203" s="151">
        <f t="shared" si="161"/>
        <v>0</v>
      </c>
      <c r="BH203" s="151">
        <f t="shared" si="162"/>
        <v>0</v>
      </c>
      <c r="BI203" s="151">
        <f>ROUND(BE203*'[1]数据-取费表'!$B$51/(1+'[1]数据-取费表'!$C$42),0)</f>
        <v>0</v>
      </c>
      <c r="BJ203" s="151">
        <f>ROUND(BG203*'[1]数据-取费表'!B$41/(1+'[1]数据-取费表'!C$42),0)</f>
        <v>0</v>
      </c>
      <c r="BK203" s="151">
        <f t="shared" si="163"/>
        <v>0</v>
      </c>
      <c r="BL203" s="151">
        <f t="shared" si="164"/>
        <v>0</v>
      </c>
      <c r="BM203" s="151">
        <f t="shared" si="179"/>
        <v>0</v>
      </c>
      <c r="BN203" s="166">
        <f t="shared" si="165"/>
        <v>0</v>
      </c>
      <c r="BO203" s="140">
        <f t="shared" ref="BO203:BO208" si="187">BD203/$BD$234*$BS$3</f>
        <v>891.72164730796919</v>
      </c>
      <c r="BP203" s="229"/>
      <c r="BQ203" s="229"/>
      <c r="BR203" s="194"/>
    </row>
    <row r="204" spans="1:71" x14ac:dyDescent="0.2">
      <c r="A204" s="146">
        <v>187</v>
      </c>
      <c r="B204" s="125" t="s">
        <v>82</v>
      </c>
      <c r="C204" s="126" t="s">
        <v>85</v>
      </c>
      <c r="D204" s="127">
        <v>2612</v>
      </c>
      <c r="E204" s="127">
        <v>210.76</v>
      </c>
      <c r="F204" s="127" t="s">
        <v>83</v>
      </c>
      <c r="G204" s="127" t="s">
        <v>75</v>
      </c>
      <c r="H204" s="128">
        <v>56009</v>
      </c>
      <c r="I204" s="128">
        <v>44987</v>
      </c>
      <c r="J204" s="127">
        <f>IF(F204="商业",[1]项目基本情况!D$15,[1]项目基本情况!E$15)</f>
        <v>30.19</v>
      </c>
      <c r="K204" s="127"/>
      <c r="L204" s="127">
        <v>210.76</v>
      </c>
      <c r="M204" s="127">
        <v>22</v>
      </c>
      <c r="N204" s="127" t="s">
        <v>12</v>
      </c>
      <c r="O204" s="127">
        <v>2008</v>
      </c>
      <c r="P204" s="127">
        <f t="shared" si="148"/>
        <v>39.39</v>
      </c>
      <c r="Q204" s="127">
        <f>ROUND(P204*'[1]数据-取费表'!B$52,0)</f>
        <v>1182</v>
      </c>
      <c r="R204" s="127">
        <f t="shared" si="180"/>
        <v>2388242</v>
      </c>
      <c r="S204" s="127">
        <f t="shared" si="166"/>
        <v>35824</v>
      </c>
      <c r="T204" s="147">
        <v>0.8</v>
      </c>
      <c r="U204" s="127">
        <f t="shared" si="181"/>
        <v>1910594</v>
      </c>
      <c r="V204" s="127">
        <f t="shared" si="149"/>
        <v>1911</v>
      </c>
      <c r="W204" s="127">
        <f t="shared" si="167"/>
        <v>3047</v>
      </c>
      <c r="X204" s="127">
        <f>ROUND(AC204*'[1]数据-取费表'!$B$41/(1+'[1]数据-取费表'!$C$42),0)</f>
        <v>32383</v>
      </c>
      <c r="Y204" s="127">
        <f>ROUND(AC204*'[1]数据-取费表'!$B$51/(1+'[1]数据-取费表'!$C$42),0)</f>
        <v>69393</v>
      </c>
      <c r="Z204" s="127">
        <f t="shared" si="150"/>
        <v>102958</v>
      </c>
      <c r="AA204" s="127">
        <f t="shared" si="151"/>
        <v>143740</v>
      </c>
      <c r="AB204" s="148">
        <f t="shared" si="168"/>
        <v>8.77</v>
      </c>
      <c r="AC204" s="127">
        <f>ROUND(AB204*365*L204*(1-I$2),0)</f>
        <v>607188</v>
      </c>
      <c r="AD204" s="127">
        <f t="shared" si="169"/>
        <v>2277</v>
      </c>
      <c r="AE204" s="127">
        <f t="shared" si="170"/>
        <v>609465</v>
      </c>
      <c r="AF204" s="133">
        <f>H$2</f>
        <v>0.03</v>
      </c>
      <c r="AG204" s="127"/>
      <c r="AH204" s="128">
        <f>H204</f>
        <v>56009</v>
      </c>
      <c r="AI204" s="127">
        <f t="shared" si="182"/>
        <v>30.19</v>
      </c>
      <c r="AJ204" s="127">
        <f t="shared" si="152"/>
        <v>465725</v>
      </c>
      <c r="AK204" s="149">
        <f t="shared" si="153"/>
        <v>9597631</v>
      </c>
      <c r="AL204" s="147">
        <f t="shared" si="154"/>
        <v>0.25</v>
      </c>
      <c r="AM204" s="127">
        <f t="shared" si="155"/>
        <v>0</v>
      </c>
      <c r="AN204" s="127">
        <f t="shared" si="156"/>
        <v>0</v>
      </c>
      <c r="AO204" s="127">
        <f t="shared" si="157"/>
        <v>0</v>
      </c>
      <c r="AP204" s="127">
        <f>ROUND(AV204*'[1]数据-取费表'!$B$41/(1+'[1]数据-取费表'!$B$42),0)</f>
        <v>0</v>
      </c>
      <c r="AQ204" s="127">
        <f>ROUND(AV204*'[1]数据-取费表'!B$51/(1+'[1]数据-取费表'!C$42),0)</f>
        <v>0</v>
      </c>
      <c r="AR204" s="127">
        <f t="shared" si="158"/>
        <v>0</v>
      </c>
      <c r="AS204" s="127">
        <f t="shared" si="171"/>
        <v>0</v>
      </c>
      <c r="AT204" s="150">
        <f t="shared" si="186"/>
        <v>8.77</v>
      </c>
      <c r="AU204" s="149">
        <f t="shared" si="172"/>
        <v>21.41</v>
      </c>
      <c r="AV204" s="127">
        <f t="shared" si="173"/>
        <v>0</v>
      </c>
      <c r="AW204" s="127">
        <f t="shared" si="174"/>
        <v>0</v>
      </c>
      <c r="AX204" s="127">
        <f t="shared" si="159"/>
        <v>0</v>
      </c>
      <c r="AY204" s="127">
        <f t="shared" si="183"/>
        <v>0</v>
      </c>
      <c r="AZ204" s="151">
        <f t="shared" si="184"/>
        <v>0</v>
      </c>
      <c r="BA204" s="151">
        <f t="shared" si="175"/>
        <v>0</v>
      </c>
      <c r="BB204" s="152">
        <f t="shared" si="160"/>
        <v>0</v>
      </c>
      <c r="BC204" s="152">
        <f t="shared" si="185"/>
        <v>142685</v>
      </c>
      <c r="BD204" s="152">
        <f t="shared" si="176"/>
        <v>974.03</v>
      </c>
      <c r="BE204" s="151">
        <f t="shared" si="177"/>
        <v>0</v>
      </c>
      <c r="BF204" s="151">
        <f t="shared" si="178"/>
        <v>0</v>
      </c>
      <c r="BG204" s="151">
        <f t="shared" si="161"/>
        <v>0</v>
      </c>
      <c r="BH204" s="151">
        <f t="shared" si="162"/>
        <v>0</v>
      </c>
      <c r="BI204" s="151">
        <f>ROUND(BE204*'[1]数据-取费表'!$B$51/(1+'[1]数据-取费表'!$C$42),0)</f>
        <v>0</v>
      </c>
      <c r="BJ204" s="151">
        <f>ROUND(BG204*'[1]数据-取费表'!B$41/(1+'[1]数据-取费表'!C$42),0)</f>
        <v>0</v>
      </c>
      <c r="BK204" s="151">
        <f t="shared" si="163"/>
        <v>0</v>
      </c>
      <c r="BL204" s="151">
        <f t="shared" si="164"/>
        <v>0</v>
      </c>
      <c r="BM204" s="151">
        <f t="shared" si="179"/>
        <v>0</v>
      </c>
      <c r="BN204" s="166">
        <f t="shared" si="165"/>
        <v>0</v>
      </c>
      <c r="BO204" s="140">
        <f t="shared" si="187"/>
        <v>1353.0503888700969</v>
      </c>
      <c r="BP204" s="229"/>
      <c r="BQ204" s="229"/>
      <c r="BR204" s="194"/>
    </row>
    <row r="205" spans="1:71" x14ac:dyDescent="0.2">
      <c r="A205" s="146">
        <v>188</v>
      </c>
      <c r="B205" s="141" t="s">
        <v>82</v>
      </c>
      <c r="C205" s="142" t="s">
        <v>85</v>
      </c>
      <c r="D205" s="143">
        <v>2701</v>
      </c>
      <c r="E205" s="143">
        <v>134.94</v>
      </c>
      <c r="F205" s="143" t="s">
        <v>83</v>
      </c>
      <c r="G205" s="143" t="s">
        <v>75</v>
      </c>
      <c r="H205" s="144">
        <v>56009</v>
      </c>
      <c r="I205" s="144">
        <v>44987</v>
      </c>
      <c r="J205" s="143">
        <f>IF(F205="商业",[1]项目基本情况!D$15,[1]项目基本情况!E$15)</f>
        <v>30.19</v>
      </c>
      <c r="K205" s="143"/>
      <c r="L205" s="143">
        <v>134.94</v>
      </c>
      <c r="M205" s="143">
        <v>23</v>
      </c>
      <c r="N205" s="143" t="s">
        <v>12</v>
      </c>
      <c r="O205" s="143">
        <v>2008</v>
      </c>
      <c r="P205" s="143">
        <f t="shared" si="148"/>
        <v>25.22</v>
      </c>
      <c r="Q205" s="143">
        <f>ROUND(P205*'[1]数据-取费表'!B$52,0)</f>
        <v>757</v>
      </c>
      <c r="R205" s="143">
        <f t="shared" si="180"/>
        <v>1529082</v>
      </c>
      <c r="S205" s="143">
        <f t="shared" si="166"/>
        <v>22936</v>
      </c>
      <c r="T205" s="186">
        <v>0.8</v>
      </c>
      <c r="U205" s="143">
        <f t="shared" si="181"/>
        <v>1223266</v>
      </c>
      <c r="V205" s="143">
        <f t="shared" si="149"/>
        <v>1223</v>
      </c>
      <c r="W205" s="143">
        <f t="shared" si="167"/>
        <v>1951</v>
      </c>
      <c r="X205" s="143">
        <f>ROUND(AC205*'[1]数据-取费表'!$B$41/(1+'[1]数据-取费表'!$C$42),0)</f>
        <v>20734</v>
      </c>
      <c r="Y205" s="143">
        <f>ROUND(AC205*'[1]数据-取费表'!$B$51/(1+'[1]数据-取费表'!$C$42),0)</f>
        <v>44429</v>
      </c>
      <c r="Z205" s="143">
        <f t="shared" si="150"/>
        <v>65920</v>
      </c>
      <c r="AA205" s="143">
        <f t="shared" si="151"/>
        <v>92030</v>
      </c>
      <c r="AB205" s="187">
        <f t="shared" si="168"/>
        <v>8.77</v>
      </c>
      <c r="AC205" s="143">
        <f>ROUND(AB205*365*L205*(1-I$2),0)</f>
        <v>388755</v>
      </c>
      <c r="AD205" s="143">
        <f t="shared" si="169"/>
        <v>1458</v>
      </c>
      <c r="AE205" s="143">
        <f t="shared" si="170"/>
        <v>390213</v>
      </c>
      <c r="AF205" s="176">
        <f>H$2</f>
        <v>0.03</v>
      </c>
      <c r="AG205" s="143"/>
      <c r="AH205" s="144">
        <f>H205</f>
        <v>56009</v>
      </c>
      <c r="AI205" s="143">
        <f t="shared" si="182"/>
        <v>30.19</v>
      </c>
      <c r="AJ205" s="143">
        <f t="shared" si="152"/>
        <v>298183</v>
      </c>
      <c r="AK205" s="188">
        <f t="shared" si="153"/>
        <v>6144936</v>
      </c>
      <c r="AL205" s="186">
        <f t="shared" si="154"/>
        <v>0.25</v>
      </c>
      <c r="AM205" s="143">
        <f t="shared" si="155"/>
        <v>0</v>
      </c>
      <c r="AN205" s="143">
        <f t="shared" si="156"/>
        <v>0</v>
      </c>
      <c r="AO205" s="143">
        <f t="shared" si="157"/>
        <v>0</v>
      </c>
      <c r="AP205" s="143">
        <f>ROUND(AV205*'[1]数据-取费表'!$B$41/(1+'[1]数据-取费表'!$B$42),0)</f>
        <v>0</v>
      </c>
      <c r="AQ205" s="143">
        <f>ROUND(AV205*'[1]数据-取费表'!B$51/(1+'[1]数据-取费表'!C$42),0)</f>
        <v>0</v>
      </c>
      <c r="AR205" s="143">
        <f t="shared" si="158"/>
        <v>0</v>
      </c>
      <c r="AS205" s="143">
        <f t="shared" si="171"/>
        <v>0</v>
      </c>
      <c r="AT205" s="189">
        <f t="shared" si="186"/>
        <v>8.77</v>
      </c>
      <c r="AU205" s="188">
        <f t="shared" si="172"/>
        <v>21.41</v>
      </c>
      <c r="AV205" s="143">
        <f t="shared" si="173"/>
        <v>0</v>
      </c>
      <c r="AW205" s="143">
        <f t="shared" si="174"/>
        <v>0</v>
      </c>
      <c r="AX205" s="143">
        <f t="shared" si="159"/>
        <v>0</v>
      </c>
      <c r="AY205" s="143">
        <f t="shared" si="183"/>
        <v>0</v>
      </c>
      <c r="AZ205" s="190">
        <f t="shared" si="184"/>
        <v>0</v>
      </c>
      <c r="BA205" s="190">
        <f t="shared" si="175"/>
        <v>0</v>
      </c>
      <c r="BB205" s="191">
        <f t="shared" si="160"/>
        <v>0</v>
      </c>
      <c r="BC205" s="191">
        <f t="shared" si="185"/>
        <v>91354</v>
      </c>
      <c r="BD205" s="191">
        <f t="shared" si="176"/>
        <v>623.63</v>
      </c>
      <c r="BE205" s="190">
        <f t="shared" si="177"/>
        <v>0</v>
      </c>
      <c r="BF205" s="190">
        <f t="shared" si="178"/>
        <v>0</v>
      </c>
      <c r="BG205" s="190">
        <f t="shared" si="161"/>
        <v>0</v>
      </c>
      <c r="BH205" s="190">
        <f t="shared" si="162"/>
        <v>0</v>
      </c>
      <c r="BI205" s="190">
        <f>ROUND(BE205*'[1]数据-取费表'!$B$51/(1+'[1]数据-取费表'!$C$42),0)</f>
        <v>0</v>
      </c>
      <c r="BJ205" s="190">
        <f>ROUND(BG205*'[1]数据-取费表'!B$41/(1+'[1]数据-取费表'!C$42),0)</f>
        <v>0</v>
      </c>
      <c r="BK205" s="190">
        <f t="shared" si="163"/>
        <v>0</v>
      </c>
      <c r="BL205" s="190">
        <f t="shared" si="164"/>
        <v>0</v>
      </c>
      <c r="BM205" s="190">
        <f t="shared" si="179"/>
        <v>0</v>
      </c>
      <c r="BN205" s="192">
        <f t="shared" si="165"/>
        <v>0</v>
      </c>
      <c r="BO205" s="183">
        <f t="shared" si="187"/>
        <v>866.30064167536796</v>
      </c>
      <c r="BP205" s="239">
        <f>SUM(BO205:BO214)</f>
        <v>10399.872316896332</v>
      </c>
      <c r="BQ205" s="239">
        <f>ROUND(BP205*10000/BS205,0)</f>
        <v>63880</v>
      </c>
      <c r="BR205" s="195"/>
      <c r="BS205" s="20">
        <f>SUM(E205:E214)</f>
        <v>1628.04</v>
      </c>
    </row>
    <row r="206" spans="1:71" x14ac:dyDescent="0.2">
      <c r="A206" s="146">
        <v>189</v>
      </c>
      <c r="B206" s="141" t="s">
        <v>82</v>
      </c>
      <c r="C206" s="142" t="s">
        <v>85</v>
      </c>
      <c r="D206" s="143">
        <v>2702</v>
      </c>
      <c r="E206" s="143">
        <v>216.1</v>
      </c>
      <c r="F206" s="143" t="s">
        <v>83</v>
      </c>
      <c r="G206" s="143" t="s">
        <v>75</v>
      </c>
      <c r="H206" s="144">
        <v>56009</v>
      </c>
      <c r="I206" s="144">
        <v>44987</v>
      </c>
      <c r="J206" s="143">
        <f>IF(F206="商业",[1]项目基本情况!D$15,[1]项目基本情况!E$15)</f>
        <v>30.19</v>
      </c>
      <c r="K206" s="143"/>
      <c r="L206" s="143">
        <v>216.1</v>
      </c>
      <c r="M206" s="143">
        <v>23</v>
      </c>
      <c r="N206" s="143" t="s">
        <v>12</v>
      </c>
      <c r="O206" s="143">
        <v>2008</v>
      </c>
      <c r="P206" s="143">
        <f t="shared" si="148"/>
        <v>40.39</v>
      </c>
      <c r="Q206" s="143">
        <f>ROUND(P206*'[1]数据-取费表'!B$52,0)</f>
        <v>1212</v>
      </c>
      <c r="R206" s="143">
        <f t="shared" si="180"/>
        <v>2448752</v>
      </c>
      <c r="S206" s="143">
        <f t="shared" si="166"/>
        <v>36731</v>
      </c>
      <c r="T206" s="186">
        <v>0.8</v>
      </c>
      <c r="U206" s="143">
        <f t="shared" si="181"/>
        <v>1959002</v>
      </c>
      <c r="V206" s="143">
        <f t="shared" si="149"/>
        <v>1959</v>
      </c>
      <c r="W206" s="143">
        <f t="shared" si="167"/>
        <v>3125</v>
      </c>
      <c r="X206" s="143">
        <f>ROUND(AC206*'[1]数据-取费表'!$B$41/(1+'[1]数据-取费表'!$C$42),0)</f>
        <v>33204</v>
      </c>
      <c r="Y206" s="143">
        <f>ROUND(AC206*'[1]数据-取费表'!$B$51/(1+'[1]数据-取费表'!$C$42),0)</f>
        <v>71151</v>
      </c>
      <c r="Z206" s="143">
        <f t="shared" si="150"/>
        <v>105567</v>
      </c>
      <c r="AA206" s="143">
        <f t="shared" si="151"/>
        <v>147382</v>
      </c>
      <c r="AB206" s="187">
        <f t="shared" si="168"/>
        <v>8.77</v>
      </c>
      <c r="AC206" s="143">
        <f>ROUND(AB206*365*L206*(1-I$2),0)</f>
        <v>622572</v>
      </c>
      <c r="AD206" s="143">
        <f t="shared" si="169"/>
        <v>2335</v>
      </c>
      <c r="AE206" s="143">
        <f t="shared" si="170"/>
        <v>624907</v>
      </c>
      <c r="AF206" s="176">
        <f>H$2</f>
        <v>0.03</v>
      </c>
      <c r="AG206" s="143"/>
      <c r="AH206" s="144">
        <f>H206</f>
        <v>56009</v>
      </c>
      <c r="AI206" s="143">
        <f t="shared" si="182"/>
        <v>30.19</v>
      </c>
      <c r="AJ206" s="143">
        <f t="shared" si="152"/>
        <v>477525</v>
      </c>
      <c r="AK206" s="188">
        <f t="shared" si="153"/>
        <v>9840804</v>
      </c>
      <c r="AL206" s="186">
        <f t="shared" si="154"/>
        <v>0.25</v>
      </c>
      <c r="AM206" s="143">
        <f t="shared" si="155"/>
        <v>0</v>
      </c>
      <c r="AN206" s="143">
        <f t="shared" si="156"/>
        <v>0</v>
      </c>
      <c r="AO206" s="143">
        <f t="shared" si="157"/>
        <v>0</v>
      </c>
      <c r="AP206" s="143">
        <f>ROUND(AV206*'[1]数据-取费表'!$B$41/(1+'[1]数据-取费表'!$B$42),0)</f>
        <v>0</v>
      </c>
      <c r="AQ206" s="143">
        <f>ROUND(AV206*'[1]数据-取费表'!B$51/(1+'[1]数据-取费表'!C$42),0)</f>
        <v>0</v>
      </c>
      <c r="AR206" s="143">
        <f t="shared" si="158"/>
        <v>0</v>
      </c>
      <c r="AS206" s="143">
        <f t="shared" si="171"/>
        <v>0</v>
      </c>
      <c r="AT206" s="189">
        <f t="shared" si="186"/>
        <v>8.77</v>
      </c>
      <c r="AU206" s="188">
        <f t="shared" si="172"/>
        <v>21.41</v>
      </c>
      <c r="AV206" s="143">
        <f t="shared" si="173"/>
        <v>0</v>
      </c>
      <c r="AW206" s="143">
        <f t="shared" si="174"/>
        <v>0</v>
      </c>
      <c r="AX206" s="143">
        <f t="shared" si="159"/>
        <v>0</v>
      </c>
      <c r="AY206" s="143">
        <f t="shared" si="183"/>
        <v>0</v>
      </c>
      <c r="AZ206" s="190">
        <f t="shared" si="184"/>
        <v>0</v>
      </c>
      <c r="BA206" s="190">
        <f t="shared" si="175"/>
        <v>0</v>
      </c>
      <c r="BB206" s="191">
        <f t="shared" si="160"/>
        <v>0</v>
      </c>
      <c r="BC206" s="191">
        <f t="shared" si="185"/>
        <v>146300</v>
      </c>
      <c r="BD206" s="191">
        <f t="shared" si="176"/>
        <v>998.71</v>
      </c>
      <c r="BE206" s="190">
        <f t="shared" si="177"/>
        <v>0</v>
      </c>
      <c r="BF206" s="190">
        <f t="shared" si="178"/>
        <v>0</v>
      </c>
      <c r="BG206" s="190">
        <f t="shared" si="161"/>
        <v>0</v>
      </c>
      <c r="BH206" s="190">
        <f t="shared" si="162"/>
        <v>0</v>
      </c>
      <c r="BI206" s="190">
        <f>ROUND(BE206*'[1]数据-取费表'!$B$51/(1+'[1]数据-取费表'!$C$42),0)</f>
        <v>0</v>
      </c>
      <c r="BJ206" s="190">
        <f>ROUND(BG206*'[1]数据-取费表'!B$41/(1+'[1]数据-取费表'!C$42),0)</f>
        <v>0</v>
      </c>
      <c r="BK206" s="190">
        <f t="shared" si="163"/>
        <v>0</v>
      </c>
      <c r="BL206" s="190">
        <f t="shared" si="164"/>
        <v>0</v>
      </c>
      <c r="BM206" s="190">
        <f t="shared" si="179"/>
        <v>0</v>
      </c>
      <c r="BN206" s="192">
        <f t="shared" si="165"/>
        <v>0</v>
      </c>
      <c r="BO206" s="183">
        <f t="shared" si="187"/>
        <v>1387.3340183243376</v>
      </c>
      <c r="BP206" s="239"/>
      <c r="BQ206" s="239"/>
      <c r="BR206" s="195"/>
    </row>
    <row r="207" spans="1:71" x14ac:dyDescent="0.2">
      <c r="A207" s="146">
        <v>190</v>
      </c>
      <c r="B207" s="141" t="s">
        <v>82</v>
      </c>
      <c r="C207" s="142" t="s">
        <v>85</v>
      </c>
      <c r="D207" s="143">
        <v>2703</v>
      </c>
      <c r="E207" s="143">
        <v>218.02</v>
      </c>
      <c r="F207" s="143" t="s">
        <v>83</v>
      </c>
      <c r="G207" s="143" t="s">
        <v>75</v>
      </c>
      <c r="H207" s="144">
        <v>56009</v>
      </c>
      <c r="I207" s="144">
        <v>44987</v>
      </c>
      <c r="J207" s="143">
        <f>IF(F207="商业",[1]项目基本情况!D$15,[1]项目基本情况!E$15)</f>
        <v>30.19</v>
      </c>
      <c r="K207" s="143"/>
      <c r="L207" s="143">
        <v>218.02</v>
      </c>
      <c r="M207" s="143">
        <v>23</v>
      </c>
      <c r="N207" s="143" t="s">
        <v>12</v>
      </c>
      <c r="O207" s="143">
        <v>2008</v>
      </c>
      <c r="P207" s="143">
        <f t="shared" si="148"/>
        <v>40.75</v>
      </c>
      <c r="Q207" s="143">
        <f>ROUND(P207*'[1]数据-取费表'!B$52,0)</f>
        <v>1223</v>
      </c>
      <c r="R207" s="143">
        <f t="shared" si="180"/>
        <v>2470509</v>
      </c>
      <c r="S207" s="143">
        <f t="shared" si="166"/>
        <v>37058</v>
      </c>
      <c r="T207" s="186">
        <v>0.8</v>
      </c>
      <c r="U207" s="143">
        <f t="shared" si="181"/>
        <v>1976407</v>
      </c>
      <c r="V207" s="143">
        <f t="shared" si="149"/>
        <v>1976</v>
      </c>
      <c r="W207" s="143">
        <f t="shared" si="167"/>
        <v>3152</v>
      </c>
      <c r="X207" s="143">
        <f>ROUND(AC207*'[1]数据-取费表'!$B$41/(1+'[1]数据-取费表'!$C$42),0)</f>
        <v>33499</v>
      </c>
      <c r="Y207" s="143">
        <f>ROUND(AC207*'[1]数据-取费表'!$B$51/(1+'[1]数据-取费表'!$C$42),0)</f>
        <v>71783</v>
      </c>
      <c r="Z207" s="143">
        <f t="shared" si="150"/>
        <v>106505</v>
      </c>
      <c r="AA207" s="143">
        <f t="shared" si="151"/>
        <v>148691</v>
      </c>
      <c r="AB207" s="187">
        <f t="shared" si="168"/>
        <v>8.77</v>
      </c>
      <c r="AC207" s="143">
        <f>ROUND(AB207*365*L207*(1-I$2),0)</f>
        <v>628104</v>
      </c>
      <c r="AD207" s="143">
        <f t="shared" si="169"/>
        <v>2355</v>
      </c>
      <c r="AE207" s="143">
        <f t="shared" si="170"/>
        <v>630459</v>
      </c>
      <c r="AF207" s="176">
        <f>H$2</f>
        <v>0.03</v>
      </c>
      <c r="AG207" s="143"/>
      <c r="AH207" s="144">
        <f>H207</f>
        <v>56009</v>
      </c>
      <c r="AI207" s="143">
        <f t="shared" si="182"/>
        <v>30.19</v>
      </c>
      <c r="AJ207" s="143">
        <f t="shared" si="152"/>
        <v>481768</v>
      </c>
      <c r="AK207" s="188">
        <f t="shared" si="153"/>
        <v>9928244</v>
      </c>
      <c r="AL207" s="186">
        <f t="shared" si="154"/>
        <v>0.25</v>
      </c>
      <c r="AM207" s="143">
        <f t="shared" si="155"/>
        <v>0</v>
      </c>
      <c r="AN207" s="143">
        <f t="shared" si="156"/>
        <v>0</v>
      </c>
      <c r="AO207" s="143">
        <f t="shared" si="157"/>
        <v>0</v>
      </c>
      <c r="AP207" s="143">
        <f>ROUND(AV207*'[1]数据-取费表'!$B$41/(1+'[1]数据-取费表'!$B$42),0)</f>
        <v>0</v>
      </c>
      <c r="AQ207" s="143">
        <f>ROUND(AV207*'[1]数据-取费表'!B$51/(1+'[1]数据-取费表'!C$42),0)</f>
        <v>0</v>
      </c>
      <c r="AR207" s="143">
        <f t="shared" si="158"/>
        <v>0</v>
      </c>
      <c r="AS207" s="143">
        <f t="shared" si="171"/>
        <v>0</v>
      </c>
      <c r="AT207" s="189">
        <f t="shared" si="186"/>
        <v>8.77</v>
      </c>
      <c r="AU207" s="188">
        <f t="shared" si="172"/>
        <v>21.41</v>
      </c>
      <c r="AV207" s="143">
        <f t="shared" si="173"/>
        <v>0</v>
      </c>
      <c r="AW207" s="143">
        <f t="shared" si="174"/>
        <v>0</v>
      </c>
      <c r="AX207" s="143">
        <f t="shared" si="159"/>
        <v>0</v>
      </c>
      <c r="AY207" s="143">
        <f t="shared" si="183"/>
        <v>0</v>
      </c>
      <c r="AZ207" s="190">
        <f t="shared" si="184"/>
        <v>0</v>
      </c>
      <c r="BA207" s="190">
        <f t="shared" si="175"/>
        <v>0</v>
      </c>
      <c r="BB207" s="191">
        <f t="shared" si="160"/>
        <v>0</v>
      </c>
      <c r="BC207" s="191">
        <f t="shared" si="185"/>
        <v>147600</v>
      </c>
      <c r="BD207" s="191">
        <f t="shared" si="176"/>
        <v>1007.58</v>
      </c>
      <c r="BE207" s="190">
        <f t="shared" si="177"/>
        <v>0</v>
      </c>
      <c r="BF207" s="190">
        <f t="shared" si="178"/>
        <v>0</v>
      </c>
      <c r="BG207" s="190">
        <f t="shared" si="161"/>
        <v>0</v>
      </c>
      <c r="BH207" s="190">
        <f t="shared" si="162"/>
        <v>0</v>
      </c>
      <c r="BI207" s="190">
        <f>ROUND(BE207*'[1]数据-取费表'!$B$51/(1+'[1]数据-取费表'!$C$42),0)</f>
        <v>0</v>
      </c>
      <c r="BJ207" s="190">
        <f>ROUND(BG207*'[1]数据-取费表'!B$41/(1+'[1]数据-取费表'!C$42),0)</f>
        <v>0</v>
      </c>
      <c r="BK207" s="190">
        <f t="shared" si="163"/>
        <v>0</v>
      </c>
      <c r="BL207" s="190">
        <f t="shared" si="164"/>
        <v>0</v>
      </c>
      <c r="BM207" s="190">
        <f t="shared" si="179"/>
        <v>0</v>
      </c>
      <c r="BN207" s="192">
        <f t="shared" si="165"/>
        <v>0</v>
      </c>
      <c r="BO207" s="183">
        <f t="shared" si="187"/>
        <v>1399.6555658631996</v>
      </c>
      <c r="BP207" s="239"/>
      <c r="BQ207" s="239"/>
      <c r="BR207" s="195"/>
    </row>
    <row r="208" spans="1:71" x14ac:dyDescent="0.2">
      <c r="A208" s="146">
        <v>191</v>
      </c>
      <c r="B208" s="141" t="s">
        <v>82</v>
      </c>
      <c r="C208" s="142" t="s">
        <v>85</v>
      </c>
      <c r="D208" s="143">
        <v>2706</v>
      </c>
      <c r="E208" s="143">
        <v>160.22</v>
      </c>
      <c r="F208" s="143" t="s">
        <v>83</v>
      </c>
      <c r="G208" s="143" t="s">
        <v>75</v>
      </c>
      <c r="H208" s="144">
        <v>56009</v>
      </c>
      <c r="I208" s="144">
        <v>44987</v>
      </c>
      <c r="J208" s="143">
        <f>IF(F208="商业",[1]项目基本情况!D$15,[1]项目基本情况!E$15)</f>
        <v>30.19</v>
      </c>
      <c r="K208" s="143" t="s">
        <v>84</v>
      </c>
      <c r="L208" s="230">
        <f>SUM(E208:E211)</f>
        <v>570.54</v>
      </c>
      <c r="M208" s="143">
        <v>23</v>
      </c>
      <c r="N208" s="143" t="s">
        <v>12</v>
      </c>
      <c r="O208" s="143">
        <v>2008</v>
      </c>
      <c r="P208" s="230">
        <f t="shared" si="148"/>
        <v>106.64</v>
      </c>
      <c r="Q208" s="230">
        <f>ROUND(P208*'[1]数据-取费表'!B$52,0)</f>
        <v>3199</v>
      </c>
      <c r="R208" s="230">
        <f t="shared" si="180"/>
        <v>6465114</v>
      </c>
      <c r="S208" s="230">
        <f t="shared" si="166"/>
        <v>96977</v>
      </c>
      <c r="T208" s="233">
        <v>0.8</v>
      </c>
      <c r="U208" s="230">
        <f t="shared" si="181"/>
        <v>5172091</v>
      </c>
      <c r="V208" s="230">
        <f t="shared" si="149"/>
        <v>5172</v>
      </c>
      <c r="W208" s="230">
        <f t="shared" si="167"/>
        <v>5056</v>
      </c>
      <c r="X208" s="230">
        <f>ROUND(AC208*'[1]数据-取费表'!$B$41/(1+'[1]数据-取费表'!$C$42),0)</f>
        <v>53730</v>
      </c>
      <c r="Y208" s="230">
        <f>ROUND(AC208*'[1]数据-取费表'!$B$51/(1+'[1]数据-取费表'!$C$42),0)</f>
        <v>115135</v>
      </c>
      <c r="Z208" s="230">
        <f t="shared" si="150"/>
        <v>172064</v>
      </c>
      <c r="AA208" s="230">
        <f t="shared" si="151"/>
        <v>279269</v>
      </c>
      <c r="AB208" s="231">
        <f>ROUND(AC208/365/L208,2)</f>
        <v>4.84</v>
      </c>
      <c r="AC208" s="230">
        <v>1007433</v>
      </c>
      <c r="AD208" s="230">
        <f t="shared" si="169"/>
        <v>3778</v>
      </c>
      <c r="AE208" s="230">
        <f t="shared" si="170"/>
        <v>1011211</v>
      </c>
      <c r="AF208" s="232">
        <v>0</v>
      </c>
      <c r="AG208" s="230"/>
      <c r="AH208" s="236">
        <v>45230</v>
      </c>
      <c r="AI208" s="230">
        <f t="shared" si="182"/>
        <v>0.66</v>
      </c>
      <c r="AJ208" s="230">
        <f t="shared" si="152"/>
        <v>731942</v>
      </c>
      <c r="AK208" s="235">
        <f t="shared" si="153"/>
        <v>462053</v>
      </c>
      <c r="AL208" s="233">
        <f t="shared" si="154"/>
        <v>0.75</v>
      </c>
      <c r="AM208" s="230">
        <f t="shared" si="155"/>
        <v>4848836</v>
      </c>
      <c r="AN208" s="230">
        <f t="shared" si="156"/>
        <v>4849</v>
      </c>
      <c r="AO208" s="230">
        <f t="shared" si="157"/>
        <v>8409</v>
      </c>
      <c r="AP208" s="230">
        <f>ROUND(AV208*'[1]数据-取费表'!$B$41/(1+'[1]数据-取费表'!$B$42),0)</f>
        <v>89363</v>
      </c>
      <c r="AQ208" s="230">
        <f>ROUND(AV208*'[1]数据-取费表'!B$51/(1+'[1]数据-取费表'!C$42),0)</f>
        <v>191492</v>
      </c>
      <c r="AR208" s="230">
        <f t="shared" si="158"/>
        <v>284054</v>
      </c>
      <c r="AS208" s="230">
        <f t="shared" si="171"/>
        <v>394289</v>
      </c>
      <c r="AT208" s="234">
        <f t="shared" si="186"/>
        <v>8.77</v>
      </c>
      <c r="AU208" s="235">
        <f t="shared" si="172"/>
        <v>8.94</v>
      </c>
      <c r="AV208" s="230">
        <f t="shared" si="173"/>
        <v>1675556</v>
      </c>
      <c r="AW208" s="230">
        <f t="shared" si="174"/>
        <v>6283</v>
      </c>
      <c r="AX208" s="230">
        <f t="shared" si="159"/>
        <v>1681839</v>
      </c>
      <c r="AY208" s="230">
        <f t="shared" si="183"/>
        <v>29.53</v>
      </c>
      <c r="AZ208" s="237">
        <f t="shared" si="184"/>
        <v>1287550</v>
      </c>
      <c r="BA208" s="237">
        <f t="shared" si="175"/>
        <v>26135403</v>
      </c>
      <c r="BB208" s="239">
        <f t="shared" si="160"/>
        <v>25227986</v>
      </c>
      <c r="BC208" s="239">
        <f t="shared" si="185"/>
        <v>386256</v>
      </c>
      <c r="BD208" s="239">
        <f t="shared" si="176"/>
        <v>2607.63</v>
      </c>
      <c r="BE208" s="237">
        <f t="shared" si="177"/>
        <v>1643694</v>
      </c>
      <c r="BF208" s="237">
        <f t="shared" si="178"/>
        <v>6164</v>
      </c>
      <c r="BG208" s="237">
        <f t="shared" si="161"/>
        <v>1649858</v>
      </c>
      <c r="BH208" s="237">
        <f t="shared" si="162"/>
        <v>8249</v>
      </c>
      <c r="BI208" s="237">
        <f>ROUND(BE208*'[1]数据-取费表'!$B$51/(1+'[1]数据-取费表'!$C$42),0)</f>
        <v>187851</v>
      </c>
      <c r="BJ208" s="237">
        <f>ROUND(BG208*'[1]数据-取费表'!B$41/(1+'[1]数据-取费表'!C$42),0)</f>
        <v>87992</v>
      </c>
      <c r="BK208" s="237">
        <f t="shared" si="163"/>
        <v>389440</v>
      </c>
      <c r="BL208" s="237">
        <f t="shared" si="164"/>
        <v>1260418</v>
      </c>
      <c r="BM208" s="237">
        <f t="shared" si="179"/>
        <v>791718</v>
      </c>
      <c r="BN208" s="238">
        <f t="shared" si="165"/>
        <v>329665</v>
      </c>
      <c r="BO208" s="239">
        <f t="shared" si="187"/>
        <v>3622.3266075268025</v>
      </c>
      <c r="BP208" s="239"/>
      <c r="BQ208" s="239"/>
      <c r="BR208" s="195"/>
    </row>
    <row r="209" spans="1:71" x14ac:dyDescent="0.2">
      <c r="A209" s="146">
        <v>192</v>
      </c>
      <c r="B209" s="141" t="s">
        <v>82</v>
      </c>
      <c r="C209" s="142" t="s">
        <v>85</v>
      </c>
      <c r="D209" s="143">
        <v>2707</v>
      </c>
      <c r="E209" s="143">
        <v>139.97999999999999</v>
      </c>
      <c r="F209" s="143" t="s">
        <v>83</v>
      </c>
      <c r="G209" s="143" t="s">
        <v>75</v>
      </c>
      <c r="H209" s="144">
        <v>56009</v>
      </c>
      <c r="I209" s="144">
        <v>44987</v>
      </c>
      <c r="J209" s="143">
        <f>IF(F209="商业",[1]项目基本情况!D$15,[1]项目基本情况!E$15)</f>
        <v>30.19</v>
      </c>
      <c r="K209" s="143" t="s">
        <v>84</v>
      </c>
      <c r="L209" s="230"/>
      <c r="M209" s="143">
        <v>23</v>
      </c>
      <c r="N209" s="143" t="s">
        <v>12</v>
      </c>
      <c r="O209" s="143">
        <v>2008</v>
      </c>
      <c r="P209" s="230">
        <f t="shared" si="148"/>
        <v>0</v>
      </c>
      <c r="Q209" s="230">
        <f>ROUND(P209*'[1]数据-取费表'!B$52,0)</f>
        <v>0</v>
      </c>
      <c r="R209" s="230">
        <f t="shared" si="180"/>
        <v>0</v>
      </c>
      <c r="S209" s="230">
        <f t="shared" si="166"/>
        <v>0</v>
      </c>
      <c r="T209" s="233">
        <v>0.8</v>
      </c>
      <c r="U209" s="230">
        <f t="shared" si="181"/>
        <v>0</v>
      </c>
      <c r="V209" s="230">
        <f t="shared" si="149"/>
        <v>0</v>
      </c>
      <c r="W209" s="230">
        <f t="shared" si="167"/>
        <v>0</v>
      </c>
      <c r="X209" s="230">
        <f>ROUND(AC209*'[1]数据-取费表'!$B$41/(1+'[1]数据-取费表'!$C$42),0)</f>
        <v>0</v>
      </c>
      <c r="Y209" s="230">
        <f>ROUND(AC209*'[1]数据-取费表'!$B$51/(1+'[1]数据-取费表'!$C$42),0)</f>
        <v>0</v>
      </c>
      <c r="Z209" s="230">
        <f t="shared" si="150"/>
        <v>0</v>
      </c>
      <c r="AA209" s="230">
        <f t="shared" si="151"/>
        <v>0</v>
      </c>
      <c r="AB209" s="231">
        <f t="shared" si="168"/>
        <v>8.77</v>
      </c>
      <c r="AC209" s="230"/>
      <c r="AD209" s="230">
        <f t="shared" si="169"/>
        <v>0</v>
      </c>
      <c r="AE209" s="230">
        <f t="shared" si="170"/>
        <v>0</v>
      </c>
      <c r="AF209" s="232"/>
      <c r="AG209" s="230"/>
      <c r="AH209" s="236"/>
      <c r="AI209" s="230">
        <f t="shared" si="182"/>
        <v>-123.25</v>
      </c>
      <c r="AJ209" s="230">
        <f t="shared" si="152"/>
        <v>0</v>
      </c>
      <c r="AK209" s="235">
        <f t="shared" si="153"/>
        <v>0</v>
      </c>
      <c r="AL209" s="233">
        <f t="shared" si="154"/>
        <v>2.8</v>
      </c>
      <c r="AM209" s="230">
        <f t="shared" si="155"/>
        <v>0</v>
      </c>
      <c r="AN209" s="230">
        <f t="shared" si="156"/>
        <v>0</v>
      </c>
      <c r="AO209" s="230">
        <f t="shared" si="157"/>
        <v>0</v>
      </c>
      <c r="AP209" s="230">
        <f>ROUND(AV209*'[1]数据-取费表'!$B$41/(1+'[1]数据-取费表'!$B$42),0)</f>
        <v>0</v>
      </c>
      <c r="AQ209" s="230">
        <f>ROUND(AV209*'[1]数据-取费表'!B$51/(1+'[1]数据-取费表'!C$42),0)</f>
        <v>0</v>
      </c>
      <c r="AR209" s="230">
        <f t="shared" si="158"/>
        <v>0</v>
      </c>
      <c r="AS209" s="230">
        <f t="shared" si="171"/>
        <v>0</v>
      </c>
      <c r="AT209" s="234">
        <f t="shared" si="186"/>
        <v>8.77</v>
      </c>
      <c r="AU209" s="235">
        <f t="shared" si="172"/>
        <v>0.23</v>
      </c>
      <c r="AV209" s="230">
        <f t="shared" si="173"/>
        <v>0</v>
      </c>
      <c r="AW209" s="230">
        <f t="shared" si="174"/>
        <v>0</v>
      </c>
      <c r="AX209" s="230">
        <f t="shared" si="159"/>
        <v>0</v>
      </c>
      <c r="AY209" s="230">
        <f t="shared" si="183"/>
        <v>153.44</v>
      </c>
      <c r="AZ209" s="237">
        <f t="shared" si="184"/>
        <v>0</v>
      </c>
      <c r="BA209" s="237">
        <f t="shared" si="175"/>
        <v>0</v>
      </c>
      <c r="BB209" s="239">
        <f t="shared" si="160"/>
        <v>0</v>
      </c>
      <c r="BC209" s="239">
        <f t="shared" si="185"/>
        <v>0</v>
      </c>
      <c r="BD209" s="239">
        <f t="shared" si="176"/>
        <v>0</v>
      </c>
      <c r="BE209" s="237">
        <f t="shared" si="177"/>
        <v>0</v>
      </c>
      <c r="BF209" s="237">
        <f t="shared" si="178"/>
        <v>0</v>
      </c>
      <c r="BG209" s="237">
        <f t="shared" si="161"/>
        <v>0</v>
      </c>
      <c r="BH209" s="237">
        <f t="shared" si="162"/>
        <v>0</v>
      </c>
      <c r="BI209" s="237">
        <f>ROUND(BE209*'[1]数据-取费表'!$B$51/(1+'[1]数据-取费表'!$C$42),0)</f>
        <v>0</v>
      </c>
      <c r="BJ209" s="237">
        <f>ROUND(BG209*'[1]数据-取费表'!B$41/(1+'[1]数据-取费表'!C$42),0)</f>
        <v>0</v>
      </c>
      <c r="BK209" s="237">
        <f t="shared" si="163"/>
        <v>0</v>
      </c>
      <c r="BL209" s="237">
        <f t="shared" si="164"/>
        <v>0</v>
      </c>
      <c r="BM209" s="237">
        <f t="shared" si="179"/>
        <v>0</v>
      </c>
      <c r="BN209" s="238">
        <f t="shared" si="165"/>
        <v>0</v>
      </c>
      <c r="BO209" s="239"/>
      <c r="BP209" s="239"/>
      <c r="BQ209" s="239"/>
      <c r="BR209" s="195"/>
    </row>
    <row r="210" spans="1:71" x14ac:dyDescent="0.2">
      <c r="A210" s="146">
        <v>193</v>
      </c>
      <c r="B210" s="141" t="s">
        <v>82</v>
      </c>
      <c r="C210" s="142" t="s">
        <v>85</v>
      </c>
      <c r="D210" s="143">
        <v>2708</v>
      </c>
      <c r="E210" s="143">
        <v>135.16999999999999</v>
      </c>
      <c r="F210" s="143" t="s">
        <v>83</v>
      </c>
      <c r="G210" s="143" t="s">
        <v>75</v>
      </c>
      <c r="H210" s="144">
        <v>56009</v>
      </c>
      <c r="I210" s="144">
        <v>44987</v>
      </c>
      <c r="J210" s="143">
        <f>IF(F210="商业",[1]项目基本情况!D$15,[1]项目基本情况!E$15)</f>
        <v>30.19</v>
      </c>
      <c r="K210" s="143" t="s">
        <v>84</v>
      </c>
      <c r="L210" s="230"/>
      <c r="M210" s="143">
        <v>23</v>
      </c>
      <c r="N210" s="143" t="s">
        <v>12</v>
      </c>
      <c r="O210" s="143">
        <v>2008</v>
      </c>
      <c r="P210" s="230">
        <f t="shared" si="148"/>
        <v>0</v>
      </c>
      <c r="Q210" s="230">
        <f>ROUND(P210*'[1]数据-取费表'!B$52,0)</f>
        <v>0</v>
      </c>
      <c r="R210" s="230">
        <f t="shared" si="180"/>
        <v>0</v>
      </c>
      <c r="S210" s="230">
        <f t="shared" si="166"/>
        <v>0</v>
      </c>
      <c r="T210" s="233">
        <v>0.8</v>
      </c>
      <c r="U210" s="230">
        <f t="shared" si="181"/>
        <v>0</v>
      </c>
      <c r="V210" s="230">
        <f t="shared" si="149"/>
        <v>0</v>
      </c>
      <c r="W210" s="230">
        <f t="shared" si="167"/>
        <v>0</v>
      </c>
      <c r="X210" s="230">
        <f>ROUND(AC210*'[1]数据-取费表'!$B$41/(1+'[1]数据-取费表'!$C$42),0)</f>
        <v>0</v>
      </c>
      <c r="Y210" s="230">
        <f>ROUND(AC210*'[1]数据-取费表'!$B$51/(1+'[1]数据-取费表'!$C$42),0)</f>
        <v>0</v>
      </c>
      <c r="Z210" s="230">
        <f t="shared" si="150"/>
        <v>0</v>
      </c>
      <c r="AA210" s="230">
        <f t="shared" si="151"/>
        <v>0</v>
      </c>
      <c r="AB210" s="231">
        <f t="shared" si="168"/>
        <v>8.77</v>
      </c>
      <c r="AC210" s="230"/>
      <c r="AD210" s="230">
        <f t="shared" si="169"/>
        <v>0</v>
      </c>
      <c r="AE210" s="230">
        <f t="shared" si="170"/>
        <v>0</v>
      </c>
      <c r="AF210" s="232"/>
      <c r="AG210" s="230"/>
      <c r="AH210" s="236"/>
      <c r="AI210" s="230">
        <f t="shared" si="182"/>
        <v>-123.25</v>
      </c>
      <c r="AJ210" s="230">
        <f t="shared" si="152"/>
        <v>0</v>
      </c>
      <c r="AK210" s="235">
        <f t="shared" si="153"/>
        <v>0</v>
      </c>
      <c r="AL210" s="233">
        <f t="shared" si="154"/>
        <v>2.8</v>
      </c>
      <c r="AM210" s="230">
        <f t="shared" si="155"/>
        <v>0</v>
      </c>
      <c r="AN210" s="230">
        <f t="shared" si="156"/>
        <v>0</v>
      </c>
      <c r="AO210" s="230">
        <f t="shared" si="157"/>
        <v>0</v>
      </c>
      <c r="AP210" s="230">
        <f>ROUND(AV210*'[1]数据-取费表'!$B$41/(1+'[1]数据-取费表'!$B$42),0)</f>
        <v>0</v>
      </c>
      <c r="AQ210" s="230">
        <f>ROUND(AV210*'[1]数据-取费表'!B$51/(1+'[1]数据-取费表'!C$42),0)</f>
        <v>0</v>
      </c>
      <c r="AR210" s="230">
        <f t="shared" si="158"/>
        <v>0</v>
      </c>
      <c r="AS210" s="230">
        <f t="shared" si="171"/>
        <v>0</v>
      </c>
      <c r="AT210" s="234">
        <f t="shared" si="186"/>
        <v>8.77</v>
      </c>
      <c r="AU210" s="235">
        <f t="shared" si="172"/>
        <v>0.23</v>
      </c>
      <c r="AV210" s="230">
        <f t="shared" si="173"/>
        <v>0</v>
      </c>
      <c r="AW210" s="230">
        <f t="shared" si="174"/>
        <v>0</v>
      </c>
      <c r="AX210" s="230">
        <f t="shared" si="159"/>
        <v>0</v>
      </c>
      <c r="AY210" s="230">
        <f t="shared" si="183"/>
        <v>153.44</v>
      </c>
      <c r="AZ210" s="237">
        <f t="shared" si="184"/>
        <v>0</v>
      </c>
      <c r="BA210" s="237">
        <f t="shared" si="175"/>
        <v>0</v>
      </c>
      <c r="BB210" s="239">
        <f t="shared" si="160"/>
        <v>0</v>
      </c>
      <c r="BC210" s="239">
        <f t="shared" si="185"/>
        <v>0</v>
      </c>
      <c r="BD210" s="239">
        <f t="shared" si="176"/>
        <v>0</v>
      </c>
      <c r="BE210" s="237">
        <f t="shared" si="177"/>
        <v>0</v>
      </c>
      <c r="BF210" s="237">
        <f t="shared" si="178"/>
        <v>0</v>
      </c>
      <c r="BG210" s="237">
        <f t="shared" si="161"/>
        <v>0</v>
      </c>
      <c r="BH210" s="237">
        <f t="shared" si="162"/>
        <v>0</v>
      </c>
      <c r="BI210" s="237">
        <f>ROUND(BE210*'[1]数据-取费表'!$B$51/(1+'[1]数据-取费表'!$C$42),0)</f>
        <v>0</v>
      </c>
      <c r="BJ210" s="237">
        <f>ROUND(BG210*'[1]数据-取费表'!B$41/(1+'[1]数据-取费表'!C$42),0)</f>
        <v>0</v>
      </c>
      <c r="BK210" s="237">
        <f t="shared" si="163"/>
        <v>0</v>
      </c>
      <c r="BL210" s="237">
        <f t="shared" si="164"/>
        <v>0</v>
      </c>
      <c r="BM210" s="237">
        <f t="shared" si="179"/>
        <v>0</v>
      </c>
      <c r="BN210" s="238">
        <f t="shared" si="165"/>
        <v>0</v>
      </c>
      <c r="BO210" s="239"/>
      <c r="BP210" s="239"/>
      <c r="BQ210" s="239"/>
      <c r="BR210" s="195"/>
    </row>
    <row r="211" spans="1:71" x14ac:dyDescent="0.2">
      <c r="A211" s="146">
        <v>194</v>
      </c>
      <c r="B211" s="141" t="s">
        <v>82</v>
      </c>
      <c r="C211" s="142" t="s">
        <v>85</v>
      </c>
      <c r="D211" s="143">
        <v>2709</v>
      </c>
      <c r="E211" s="143">
        <v>135.16999999999999</v>
      </c>
      <c r="F211" s="143" t="s">
        <v>83</v>
      </c>
      <c r="G211" s="143" t="s">
        <v>75</v>
      </c>
      <c r="H211" s="144">
        <v>56009</v>
      </c>
      <c r="I211" s="144">
        <v>44987</v>
      </c>
      <c r="J211" s="143">
        <f>IF(F211="商业",[1]项目基本情况!D$15,[1]项目基本情况!E$15)</f>
        <v>30.19</v>
      </c>
      <c r="K211" s="143" t="s">
        <v>84</v>
      </c>
      <c r="L211" s="230"/>
      <c r="M211" s="143">
        <v>23</v>
      </c>
      <c r="N211" s="143" t="s">
        <v>12</v>
      </c>
      <c r="O211" s="143">
        <v>2008</v>
      </c>
      <c r="P211" s="230">
        <f t="shared" si="148"/>
        <v>0</v>
      </c>
      <c r="Q211" s="230">
        <f>ROUND(P211*'[1]数据-取费表'!B$52,0)</f>
        <v>0</v>
      </c>
      <c r="R211" s="230">
        <f t="shared" si="180"/>
        <v>0</v>
      </c>
      <c r="S211" s="230">
        <f t="shared" si="166"/>
        <v>0</v>
      </c>
      <c r="T211" s="233">
        <v>0.8</v>
      </c>
      <c r="U211" s="230">
        <f t="shared" si="181"/>
        <v>0</v>
      </c>
      <c r="V211" s="230">
        <f t="shared" si="149"/>
        <v>0</v>
      </c>
      <c r="W211" s="230">
        <f t="shared" si="167"/>
        <v>0</v>
      </c>
      <c r="X211" s="230">
        <f>ROUND(AC211*'[1]数据-取费表'!$B$41/(1+'[1]数据-取费表'!$C$42),0)</f>
        <v>0</v>
      </c>
      <c r="Y211" s="230">
        <f>ROUND(AC211*'[1]数据-取费表'!$B$51/(1+'[1]数据-取费表'!$C$42),0)</f>
        <v>0</v>
      </c>
      <c r="Z211" s="230">
        <f t="shared" si="150"/>
        <v>0</v>
      </c>
      <c r="AA211" s="230">
        <f t="shared" si="151"/>
        <v>0</v>
      </c>
      <c r="AB211" s="231">
        <f t="shared" si="168"/>
        <v>8.77</v>
      </c>
      <c r="AC211" s="230"/>
      <c r="AD211" s="230">
        <f t="shared" si="169"/>
        <v>0</v>
      </c>
      <c r="AE211" s="230">
        <f t="shared" si="170"/>
        <v>0</v>
      </c>
      <c r="AF211" s="232"/>
      <c r="AG211" s="230"/>
      <c r="AH211" s="236"/>
      <c r="AI211" s="230">
        <f t="shared" si="182"/>
        <v>-123.25</v>
      </c>
      <c r="AJ211" s="230">
        <f t="shared" si="152"/>
        <v>0</v>
      </c>
      <c r="AK211" s="235">
        <f t="shared" si="153"/>
        <v>0</v>
      </c>
      <c r="AL211" s="233">
        <f t="shared" si="154"/>
        <v>2.8</v>
      </c>
      <c r="AM211" s="230">
        <f t="shared" si="155"/>
        <v>0</v>
      </c>
      <c r="AN211" s="230">
        <f t="shared" si="156"/>
        <v>0</v>
      </c>
      <c r="AO211" s="230">
        <f t="shared" si="157"/>
        <v>0</v>
      </c>
      <c r="AP211" s="230">
        <f>ROUND(AV211*'[1]数据-取费表'!$B$41/(1+'[1]数据-取费表'!$B$42),0)</f>
        <v>0</v>
      </c>
      <c r="AQ211" s="230">
        <f>ROUND(AV211*'[1]数据-取费表'!B$51/(1+'[1]数据-取费表'!C$42),0)</f>
        <v>0</v>
      </c>
      <c r="AR211" s="230">
        <f t="shared" si="158"/>
        <v>0</v>
      </c>
      <c r="AS211" s="230">
        <f t="shared" si="171"/>
        <v>0</v>
      </c>
      <c r="AT211" s="234">
        <f t="shared" si="186"/>
        <v>8.77</v>
      </c>
      <c r="AU211" s="235">
        <f t="shared" si="172"/>
        <v>0.23</v>
      </c>
      <c r="AV211" s="230">
        <f t="shared" si="173"/>
        <v>0</v>
      </c>
      <c r="AW211" s="230">
        <f t="shared" si="174"/>
        <v>0</v>
      </c>
      <c r="AX211" s="230">
        <f t="shared" si="159"/>
        <v>0</v>
      </c>
      <c r="AY211" s="230">
        <f t="shared" si="183"/>
        <v>153.44</v>
      </c>
      <c r="AZ211" s="237">
        <f t="shared" si="184"/>
        <v>0</v>
      </c>
      <c r="BA211" s="237">
        <f t="shared" si="175"/>
        <v>0</v>
      </c>
      <c r="BB211" s="239">
        <f t="shared" si="160"/>
        <v>0</v>
      </c>
      <c r="BC211" s="239">
        <f t="shared" si="185"/>
        <v>0</v>
      </c>
      <c r="BD211" s="239">
        <f t="shared" si="176"/>
        <v>0</v>
      </c>
      <c r="BE211" s="237">
        <f t="shared" si="177"/>
        <v>0</v>
      </c>
      <c r="BF211" s="237">
        <f t="shared" si="178"/>
        <v>0</v>
      </c>
      <c r="BG211" s="237">
        <f t="shared" si="161"/>
        <v>0</v>
      </c>
      <c r="BH211" s="237">
        <f t="shared" si="162"/>
        <v>0</v>
      </c>
      <c r="BI211" s="237">
        <f>ROUND(BE211*'[1]数据-取费表'!$B$51/(1+'[1]数据-取费表'!$C$42),0)</f>
        <v>0</v>
      </c>
      <c r="BJ211" s="237">
        <f>ROUND(BG211*'[1]数据-取费表'!B$41/(1+'[1]数据-取费表'!C$42),0)</f>
        <v>0</v>
      </c>
      <c r="BK211" s="237">
        <f t="shared" si="163"/>
        <v>0</v>
      </c>
      <c r="BL211" s="237">
        <f t="shared" si="164"/>
        <v>0</v>
      </c>
      <c r="BM211" s="237">
        <f t="shared" si="179"/>
        <v>0</v>
      </c>
      <c r="BN211" s="238">
        <f t="shared" si="165"/>
        <v>0</v>
      </c>
      <c r="BO211" s="239"/>
      <c r="BP211" s="239"/>
      <c r="BQ211" s="239"/>
      <c r="BR211" s="195"/>
    </row>
    <row r="212" spans="1:71" x14ac:dyDescent="0.2">
      <c r="A212" s="146">
        <v>195</v>
      </c>
      <c r="B212" s="141" t="s">
        <v>82</v>
      </c>
      <c r="C212" s="142" t="s">
        <v>85</v>
      </c>
      <c r="D212" s="143">
        <v>2710</v>
      </c>
      <c r="E212" s="143">
        <v>138.78</v>
      </c>
      <c r="F212" s="143" t="s">
        <v>83</v>
      </c>
      <c r="G212" s="143" t="s">
        <v>75</v>
      </c>
      <c r="H212" s="144">
        <v>56009</v>
      </c>
      <c r="I212" s="144">
        <v>44987</v>
      </c>
      <c r="J212" s="143">
        <f>IF(F212="商业",[1]项目基本情况!D$15,[1]项目基本情况!E$15)</f>
        <v>30.19</v>
      </c>
      <c r="K212" s="143"/>
      <c r="L212" s="143">
        <v>138.78</v>
      </c>
      <c r="M212" s="143">
        <v>23</v>
      </c>
      <c r="N212" s="143" t="s">
        <v>12</v>
      </c>
      <c r="O212" s="143">
        <v>2008</v>
      </c>
      <c r="P212" s="143">
        <f t="shared" si="148"/>
        <v>25.94</v>
      </c>
      <c r="Q212" s="143">
        <f>ROUND(P212*'[1]数据-取费表'!B$52,0)</f>
        <v>778</v>
      </c>
      <c r="R212" s="143">
        <f t="shared" si="180"/>
        <v>1572595</v>
      </c>
      <c r="S212" s="143">
        <f t="shared" si="166"/>
        <v>23589</v>
      </c>
      <c r="T212" s="186">
        <v>0.8</v>
      </c>
      <c r="U212" s="143">
        <f t="shared" si="181"/>
        <v>1258076</v>
      </c>
      <c r="V212" s="143">
        <f t="shared" si="149"/>
        <v>1258</v>
      </c>
      <c r="W212" s="143">
        <f t="shared" si="167"/>
        <v>2007</v>
      </c>
      <c r="X212" s="143">
        <f>ROUND(AC212*'[1]数据-取费表'!$B$41/(1+'[1]数据-取费表'!$C$42),0)</f>
        <v>21324</v>
      </c>
      <c r="Y212" s="143">
        <f>ROUND(AC212*'[1]数据-取费表'!$B$51/(1+'[1]数据-取费表'!$C$42),0)</f>
        <v>45693</v>
      </c>
      <c r="Z212" s="143">
        <f t="shared" si="150"/>
        <v>67795</v>
      </c>
      <c r="AA212" s="143">
        <f t="shared" si="151"/>
        <v>94649</v>
      </c>
      <c r="AB212" s="187">
        <f t="shared" si="168"/>
        <v>8.77</v>
      </c>
      <c r="AC212" s="143">
        <f>ROUND(AB212*365*L212*(1-I$2),0)</f>
        <v>399818</v>
      </c>
      <c r="AD212" s="143">
        <f t="shared" si="169"/>
        <v>1499</v>
      </c>
      <c r="AE212" s="143">
        <f t="shared" si="170"/>
        <v>401317</v>
      </c>
      <c r="AF212" s="176">
        <f>H$2</f>
        <v>0.03</v>
      </c>
      <c r="AG212" s="143"/>
      <c r="AH212" s="144">
        <f>H212</f>
        <v>56009</v>
      </c>
      <c r="AI212" s="143">
        <f t="shared" si="182"/>
        <v>30.19</v>
      </c>
      <c r="AJ212" s="143">
        <f t="shared" si="152"/>
        <v>306668</v>
      </c>
      <c r="AK212" s="188">
        <f t="shared" si="153"/>
        <v>6319794</v>
      </c>
      <c r="AL212" s="186">
        <f t="shared" si="154"/>
        <v>0.25</v>
      </c>
      <c r="AM212" s="143">
        <f t="shared" si="155"/>
        <v>0</v>
      </c>
      <c r="AN212" s="143">
        <f t="shared" si="156"/>
        <v>0</v>
      </c>
      <c r="AO212" s="143">
        <f t="shared" si="157"/>
        <v>0</v>
      </c>
      <c r="AP212" s="143">
        <f>ROUND(AV212*'[1]数据-取费表'!$B$41/(1+'[1]数据-取费表'!$B$42),0)</f>
        <v>0</v>
      </c>
      <c r="AQ212" s="143">
        <f>ROUND(AV212*'[1]数据-取费表'!B$51/(1+'[1]数据-取费表'!C$42),0)</f>
        <v>0</v>
      </c>
      <c r="AR212" s="143">
        <f t="shared" si="158"/>
        <v>0</v>
      </c>
      <c r="AS212" s="143">
        <f t="shared" si="171"/>
        <v>0</v>
      </c>
      <c r="AT212" s="189">
        <f t="shared" si="186"/>
        <v>8.77</v>
      </c>
      <c r="AU212" s="188">
        <f t="shared" si="172"/>
        <v>21.41</v>
      </c>
      <c r="AV212" s="143">
        <f t="shared" si="173"/>
        <v>0</v>
      </c>
      <c r="AW212" s="143">
        <f t="shared" si="174"/>
        <v>0</v>
      </c>
      <c r="AX212" s="143">
        <f t="shared" si="159"/>
        <v>0</v>
      </c>
      <c r="AY212" s="143">
        <f t="shared" si="183"/>
        <v>0</v>
      </c>
      <c r="AZ212" s="190">
        <f t="shared" si="184"/>
        <v>0</v>
      </c>
      <c r="BA212" s="190">
        <f t="shared" si="175"/>
        <v>0</v>
      </c>
      <c r="BB212" s="191">
        <f t="shared" si="160"/>
        <v>0</v>
      </c>
      <c r="BC212" s="191">
        <f t="shared" si="185"/>
        <v>93954</v>
      </c>
      <c r="BD212" s="191">
        <f t="shared" si="176"/>
        <v>641.37</v>
      </c>
      <c r="BE212" s="190">
        <f t="shared" si="177"/>
        <v>0</v>
      </c>
      <c r="BF212" s="190">
        <f t="shared" si="178"/>
        <v>0</v>
      </c>
      <c r="BG212" s="190">
        <f t="shared" si="161"/>
        <v>0</v>
      </c>
      <c r="BH212" s="190">
        <f t="shared" si="162"/>
        <v>0</v>
      </c>
      <c r="BI212" s="190">
        <f>ROUND(BE212*'[1]数据-取费表'!$B$51/(1+'[1]数据-取费表'!$C$42),0)</f>
        <v>0</v>
      </c>
      <c r="BJ212" s="190">
        <f>ROUND(BG212*'[1]数据-取费表'!B$41/(1+'[1]数据-取费表'!C$42),0)</f>
        <v>0</v>
      </c>
      <c r="BK212" s="190">
        <f t="shared" si="163"/>
        <v>0</v>
      </c>
      <c r="BL212" s="190">
        <f t="shared" si="164"/>
        <v>0</v>
      </c>
      <c r="BM212" s="190">
        <f t="shared" si="179"/>
        <v>0</v>
      </c>
      <c r="BN212" s="192">
        <f t="shared" si="165"/>
        <v>0</v>
      </c>
      <c r="BO212" s="183">
        <f t="shared" ref="BO212:BO214" si="188">BD212/$BD$234*$BS$3</f>
        <v>890.94373675309191</v>
      </c>
      <c r="BP212" s="239"/>
      <c r="BQ212" s="239"/>
      <c r="BR212" s="195"/>
    </row>
    <row r="213" spans="1:71" x14ac:dyDescent="0.2">
      <c r="A213" s="146">
        <v>196</v>
      </c>
      <c r="B213" s="141" t="s">
        <v>82</v>
      </c>
      <c r="C213" s="142" t="s">
        <v>85</v>
      </c>
      <c r="D213" s="143">
        <v>2711</v>
      </c>
      <c r="E213" s="143">
        <v>138.9</v>
      </c>
      <c r="F213" s="143" t="s">
        <v>83</v>
      </c>
      <c r="G213" s="143" t="s">
        <v>75</v>
      </c>
      <c r="H213" s="144">
        <v>56009</v>
      </c>
      <c r="I213" s="144">
        <v>44987</v>
      </c>
      <c r="J213" s="143">
        <f>IF(F213="商业",[1]项目基本情况!D$15,[1]项目基本情况!E$15)</f>
        <v>30.19</v>
      </c>
      <c r="K213" s="143" t="s">
        <v>84</v>
      </c>
      <c r="L213" s="143">
        <f>E213</f>
        <v>138.9</v>
      </c>
      <c r="M213" s="143">
        <v>23</v>
      </c>
      <c r="N213" s="143" t="s">
        <v>12</v>
      </c>
      <c r="O213" s="143">
        <v>2008</v>
      </c>
      <c r="P213" s="143">
        <f t="shared" si="148"/>
        <v>25.96</v>
      </c>
      <c r="Q213" s="143">
        <f>ROUND(P213*'[1]数据-取费表'!B$52,0)</f>
        <v>779</v>
      </c>
      <c r="R213" s="143">
        <f t="shared" si="180"/>
        <v>1573955</v>
      </c>
      <c r="S213" s="143">
        <f t="shared" si="166"/>
        <v>23609</v>
      </c>
      <c r="T213" s="186">
        <v>0.8</v>
      </c>
      <c r="U213" s="143">
        <f t="shared" si="181"/>
        <v>1259164</v>
      </c>
      <c r="V213" s="143">
        <f t="shared" si="149"/>
        <v>1259</v>
      </c>
      <c r="W213" s="143">
        <f t="shared" si="167"/>
        <v>1608</v>
      </c>
      <c r="X213" s="143">
        <f>ROUND(AC213*'[1]数据-取费表'!$B$41/(1+'[1]数据-取费表'!$C$42),0)</f>
        <v>17085</v>
      </c>
      <c r="Y213" s="143">
        <f>ROUND(AC213*'[1]数据-取费表'!$B$51/(1+'[1]数据-取费表'!$C$42),0)</f>
        <v>36612</v>
      </c>
      <c r="Z213" s="143">
        <f t="shared" si="150"/>
        <v>54476</v>
      </c>
      <c r="AA213" s="143">
        <f t="shared" si="151"/>
        <v>80952</v>
      </c>
      <c r="AB213" s="175">
        <f>ROUND(AC213/365/L213,2)</f>
        <v>6.32</v>
      </c>
      <c r="AC213" s="143">
        <v>320353</v>
      </c>
      <c r="AD213" s="143">
        <f t="shared" si="169"/>
        <v>1201</v>
      </c>
      <c r="AE213" s="143">
        <f t="shared" si="170"/>
        <v>321554</v>
      </c>
      <c r="AF213" s="177">
        <v>0</v>
      </c>
      <c r="AG213" s="143"/>
      <c r="AH213" s="144">
        <v>45596</v>
      </c>
      <c r="AI213" s="143">
        <f t="shared" si="182"/>
        <v>1.66</v>
      </c>
      <c r="AJ213" s="143">
        <f t="shared" si="152"/>
        <v>240602</v>
      </c>
      <c r="AK213" s="188">
        <f t="shared" si="153"/>
        <v>372025</v>
      </c>
      <c r="AL213" s="186">
        <f t="shared" si="154"/>
        <v>0.73</v>
      </c>
      <c r="AM213" s="143">
        <f t="shared" si="155"/>
        <v>1148987</v>
      </c>
      <c r="AN213" s="143">
        <f t="shared" si="156"/>
        <v>1149</v>
      </c>
      <c r="AO213" s="143">
        <f t="shared" si="157"/>
        <v>2109</v>
      </c>
      <c r="AP213" s="143">
        <f>ROUND(AV213*'[1]数据-取费表'!$B$41/(1+'[1]数据-取费表'!$B$42),0)</f>
        <v>22413</v>
      </c>
      <c r="AQ213" s="143">
        <f>ROUND(AV213*'[1]数据-取费表'!B$51/(1+'[1]数据-取费表'!C$42),0)</f>
        <v>48027</v>
      </c>
      <c r="AR213" s="143">
        <f t="shared" si="158"/>
        <v>71219</v>
      </c>
      <c r="AS213" s="143">
        <f t="shared" si="171"/>
        <v>98086</v>
      </c>
      <c r="AT213" s="189">
        <f t="shared" si="186"/>
        <v>8.77</v>
      </c>
      <c r="AU213" s="188">
        <f t="shared" si="172"/>
        <v>9.2100000000000009</v>
      </c>
      <c r="AV213" s="143">
        <f t="shared" si="173"/>
        <v>420240</v>
      </c>
      <c r="AW213" s="143">
        <f t="shared" si="174"/>
        <v>1576</v>
      </c>
      <c r="AX213" s="143">
        <f t="shared" si="159"/>
        <v>421816</v>
      </c>
      <c r="AY213" s="143">
        <f t="shared" si="183"/>
        <v>28.53</v>
      </c>
      <c r="AZ213" s="190">
        <f t="shared" si="184"/>
        <v>323730</v>
      </c>
      <c r="BA213" s="190">
        <f t="shared" si="175"/>
        <v>6416446</v>
      </c>
      <c r="BB213" s="191">
        <f t="shared" si="160"/>
        <v>5870775</v>
      </c>
      <c r="BC213" s="191">
        <f t="shared" si="185"/>
        <v>94035</v>
      </c>
      <c r="BD213" s="191">
        <f t="shared" si="176"/>
        <v>633.67999999999995</v>
      </c>
      <c r="BE213" s="190">
        <f t="shared" si="177"/>
        <v>400163</v>
      </c>
      <c r="BF213" s="190">
        <f t="shared" si="178"/>
        <v>1501</v>
      </c>
      <c r="BG213" s="190">
        <f t="shared" si="161"/>
        <v>401664</v>
      </c>
      <c r="BH213" s="190">
        <f t="shared" si="162"/>
        <v>2008</v>
      </c>
      <c r="BI213" s="190">
        <f>ROUND(BE213*'[1]数据-取费表'!$B$51/(1+'[1]数据-取费表'!$C$42),0)</f>
        <v>45733</v>
      </c>
      <c r="BJ213" s="190">
        <f>ROUND(BG213*'[1]数据-取费表'!B$41/(1+'[1]数据-取费表'!C$42),0)</f>
        <v>21422</v>
      </c>
      <c r="BK213" s="190">
        <f t="shared" si="163"/>
        <v>94810</v>
      </c>
      <c r="BL213" s="190">
        <f t="shared" si="164"/>
        <v>306854</v>
      </c>
      <c r="BM213" s="190">
        <f t="shared" si="179"/>
        <v>479037</v>
      </c>
      <c r="BN213" s="192">
        <f t="shared" si="165"/>
        <v>107012</v>
      </c>
      <c r="BO213" s="183">
        <f t="shared" si="188"/>
        <v>880.26135788343583</v>
      </c>
      <c r="BP213" s="239"/>
      <c r="BQ213" s="239"/>
      <c r="BR213" s="195"/>
    </row>
    <row r="214" spans="1:71" x14ac:dyDescent="0.2">
      <c r="A214" s="146">
        <v>197</v>
      </c>
      <c r="B214" s="141" t="s">
        <v>82</v>
      </c>
      <c r="C214" s="142" t="s">
        <v>85</v>
      </c>
      <c r="D214" s="143">
        <v>2712</v>
      </c>
      <c r="E214" s="143">
        <v>210.76</v>
      </c>
      <c r="F214" s="143" t="s">
        <v>83</v>
      </c>
      <c r="G214" s="143" t="s">
        <v>75</v>
      </c>
      <c r="H214" s="144">
        <v>56009</v>
      </c>
      <c r="I214" s="144">
        <v>44987</v>
      </c>
      <c r="J214" s="143">
        <f>IF(F214="商业",[1]项目基本情况!D$15,[1]项目基本情况!E$15)</f>
        <v>30.19</v>
      </c>
      <c r="K214" s="143"/>
      <c r="L214" s="143">
        <v>210.76</v>
      </c>
      <c r="M214" s="143">
        <v>23</v>
      </c>
      <c r="N214" s="143" t="s">
        <v>12</v>
      </c>
      <c r="O214" s="143">
        <v>2008</v>
      </c>
      <c r="P214" s="143">
        <f t="shared" si="148"/>
        <v>39.39</v>
      </c>
      <c r="Q214" s="143">
        <f>ROUND(P214*'[1]数据-取费表'!B$52,0)</f>
        <v>1182</v>
      </c>
      <c r="R214" s="143">
        <f t="shared" si="180"/>
        <v>2388242</v>
      </c>
      <c r="S214" s="143">
        <f t="shared" si="166"/>
        <v>35824</v>
      </c>
      <c r="T214" s="186">
        <v>0.8</v>
      </c>
      <c r="U214" s="143">
        <f t="shared" si="181"/>
        <v>1910594</v>
      </c>
      <c r="V214" s="143">
        <f t="shared" si="149"/>
        <v>1911</v>
      </c>
      <c r="W214" s="143">
        <f t="shared" si="167"/>
        <v>3047</v>
      </c>
      <c r="X214" s="143">
        <f>ROUND(AC214*'[1]数据-取费表'!$B$41/(1+'[1]数据-取费表'!$C$42),0)</f>
        <v>32383</v>
      </c>
      <c r="Y214" s="143">
        <f>ROUND(AC214*'[1]数据-取费表'!$B$51/(1+'[1]数据-取费表'!$C$42),0)</f>
        <v>69393</v>
      </c>
      <c r="Z214" s="143">
        <f t="shared" si="150"/>
        <v>102958</v>
      </c>
      <c r="AA214" s="143">
        <f t="shared" si="151"/>
        <v>143740</v>
      </c>
      <c r="AB214" s="187">
        <f t="shared" si="168"/>
        <v>8.77</v>
      </c>
      <c r="AC214" s="143">
        <f>ROUND(AB214*365*L214*(1-I$2),0)</f>
        <v>607188</v>
      </c>
      <c r="AD214" s="143">
        <f t="shared" si="169"/>
        <v>2277</v>
      </c>
      <c r="AE214" s="143">
        <f t="shared" si="170"/>
        <v>609465</v>
      </c>
      <c r="AF214" s="176">
        <f>H$2</f>
        <v>0.03</v>
      </c>
      <c r="AG214" s="143"/>
      <c r="AH214" s="144">
        <f>H214</f>
        <v>56009</v>
      </c>
      <c r="AI214" s="143">
        <f t="shared" si="182"/>
        <v>30.19</v>
      </c>
      <c r="AJ214" s="143">
        <f t="shared" si="152"/>
        <v>465725</v>
      </c>
      <c r="AK214" s="188">
        <f t="shared" si="153"/>
        <v>9597631</v>
      </c>
      <c r="AL214" s="186">
        <f t="shared" si="154"/>
        <v>0.25</v>
      </c>
      <c r="AM214" s="143">
        <f t="shared" si="155"/>
        <v>0</v>
      </c>
      <c r="AN214" s="143">
        <f t="shared" si="156"/>
        <v>0</v>
      </c>
      <c r="AO214" s="143">
        <f t="shared" si="157"/>
        <v>0</v>
      </c>
      <c r="AP214" s="143">
        <f>ROUND(AV214*'[1]数据-取费表'!$B$41/(1+'[1]数据-取费表'!$B$42),0)</f>
        <v>0</v>
      </c>
      <c r="AQ214" s="143">
        <f>ROUND(AV214*'[1]数据-取费表'!B$51/(1+'[1]数据-取费表'!C$42),0)</f>
        <v>0</v>
      </c>
      <c r="AR214" s="143">
        <f t="shared" si="158"/>
        <v>0</v>
      </c>
      <c r="AS214" s="143">
        <f t="shared" si="171"/>
        <v>0</v>
      </c>
      <c r="AT214" s="189">
        <f t="shared" si="186"/>
        <v>8.77</v>
      </c>
      <c r="AU214" s="188">
        <f t="shared" si="172"/>
        <v>21.41</v>
      </c>
      <c r="AV214" s="143">
        <f t="shared" si="173"/>
        <v>0</v>
      </c>
      <c r="AW214" s="143">
        <f t="shared" si="174"/>
        <v>0</v>
      </c>
      <c r="AX214" s="143">
        <f t="shared" si="159"/>
        <v>0</v>
      </c>
      <c r="AY214" s="143">
        <f t="shared" si="183"/>
        <v>0</v>
      </c>
      <c r="AZ214" s="190">
        <f t="shared" si="184"/>
        <v>0</v>
      </c>
      <c r="BA214" s="190">
        <f t="shared" si="175"/>
        <v>0</v>
      </c>
      <c r="BB214" s="191">
        <f t="shared" si="160"/>
        <v>0</v>
      </c>
      <c r="BC214" s="191">
        <f t="shared" si="185"/>
        <v>142685</v>
      </c>
      <c r="BD214" s="191">
        <f t="shared" si="176"/>
        <v>974.03</v>
      </c>
      <c r="BE214" s="190">
        <f t="shared" si="177"/>
        <v>0</v>
      </c>
      <c r="BF214" s="190">
        <f t="shared" si="178"/>
        <v>0</v>
      </c>
      <c r="BG214" s="190">
        <f t="shared" si="161"/>
        <v>0</v>
      </c>
      <c r="BH214" s="190">
        <f t="shared" si="162"/>
        <v>0</v>
      </c>
      <c r="BI214" s="190">
        <f>ROUND(BE214*'[1]数据-取费表'!$B$51/(1+'[1]数据-取费表'!$C$42),0)</f>
        <v>0</v>
      </c>
      <c r="BJ214" s="190">
        <f>ROUND(BG214*'[1]数据-取费表'!B$41/(1+'[1]数据-取费表'!C$42),0)</f>
        <v>0</v>
      </c>
      <c r="BK214" s="190">
        <f t="shared" si="163"/>
        <v>0</v>
      </c>
      <c r="BL214" s="190">
        <f t="shared" si="164"/>
        <v>0</v>
      </c>
      <c r="BM214" s="190">
        <f t="shared" si="179"/>
        <v>0</v>
      </c>
      <c r="BN214" s="192">
        <f t="shared" si="165"/>
        <v>0</v>
      </c>
      <c r="BO214" s="183">
        <f t="shared" si="188"/>
        <v>1353.0503888700969</v>
      </c>
      <c r="BP214" s="239"/>
      <c r="BQ214" s="239"/>
      <c r="BR214" s="195"/>
    </row>
    <row r="215" spans="1:71" x14ac:dyDescent="0.2">
      <c r="A215" s="146">
        <v>198</v>
      </c>
      <c r="B215" s="125" t="s">
        <v>82</v>
      </c>
      <c r="C215" s="126" t="s">
        <v>85</v>
      </c>
      <c r="D215" s="127">
        <v>2802</v>
      </c>
      <c r="E215" s="127">
        <v>216.1</v>
      </c>
      <c r="F215" s="127" t="s">
        <v>83</v>
      </c>
      <c r="G215" s="127" t="s">
        <v>75</v>
      </c>
      <c r="H215" s="128">
        <v>56009</v>
      </c>
      <c r="I215" s="128">
        <v>44987</v>
      </c>
      <c r="J215" s="127">
        <f>IF(F215="商业",[1]项目基本情况!D$15,[1]项目基本情况!E$15)</f>
        <v>30.19</v>
      </c>
      <c r="K215" s="127" t="s">
        <v>84</v>
      </c>
      <c r="L215" s="218">
        <f>SUM(E215:E216)</f>
        <v>392.74</v>
      </c>
      <c r="M215" s="127">
        <v>24</v>
      </c>
      <c r="N215" s="127" t="s">
        <v>12</v>
      </c>
      <c r="O215" s="127">
        <v>2008</v>
      </c>
      <c r="P215" s="218">
        <f t="shared" si="148"/>
        <v>73.41</v>
      </c>
      <c r="Q215" s="218">
        <f>ROUND(P215*'[1]数据-取费表'!B$52,0)</f>
        <v>2202</v>
      </c>
      <c r="R215" s="218">
        <f t="shared" si="180"/>
        <v>4450361</v>
      </c>
      <c r="S215" s="218">
        <f t="shared" si="166"/>
        <v>66755</v>
      </c>
      <c r="T215" s="220">
        <v>0.8</v>
      </c>
      <c r="U215" s="218">
        <f t="shared" si="181"/>
        <v>3560289</v>
      </c>
      <c r="V215" s="218">
        <f t="shared" si="149"/>
        <v>3560</v>
      </c>
      <c r="W215" s="218">
        <f t="shared" si="167"/>
        <v>4887</v>
      </c>
      <c r="X215" s="218">
        <f>ROUND(AC215*'[1]数据-取费表'!$B$41/(1+'[1]数据-取费表'!$C$42),0)</f>
        <v>51937</v>
      </c>
      <c r="Y215" s="218">
        <f>ROUND(AC215*'[1]数据-取费表'!$B$51/(1+'[1]数据-取费表'!$C$42),0)</f>
        <v>111294</v>
      </c>
      <c r="Z215" s="218">
        <f t="shared" si="150"/>
        <v>165433</v>
      </c>
      <c r="AA215" s="218">
        <f t="shared" si="151"/>
        <v>240635</v>
      </c>
      <c r="AB215" s="240">
        <f>ROUND(AC215/365/L215,2)</f>
        <v>6.79</v>
      </c>
      <c r="AC215" s="218">
        <v>973824</v>
      </c>
      <c r="AD215" s="218">
        <f t="shared" si="169"/>
        <v>3652</v>
      </c>
      <c r="AE215" s="218">
        <f t="shared" si="170"/>
        <v>977476</v>
      </c>
      <c r="AF215" s="225">
        <v>0</v>
      </c>
      <c r="AG215" s="218"/>
      <c r="AH215" s="226">
        <v>45626</v>
      </c>
      <c r="AI215" s="218">
        <f t="shared" si="182"/>
        <v>1.75</v>
      </c>
      <c r="AJ215" s="218">
        <f t="shared" si="152"/>
        <v>736841</v>
      </c>
      <c r="AK215" s="224">
        <f t="shared" si="153"/>
        <v>1198248</v>
      </c>
      <c r="AL215" s="220">
        <f t="shared" si="154"/>
        <v>0.73</v>
      </c>
      <c r="AM215" s="218">
        <f t="shared" si="155"/>
        <v>3248764</v>
      </c>
      <c r="AN215" s="218">
        <f t="shared" si="156"/>
        <v>3249</v>
      </c>
      <c r="AO215" s="218">
        <f t="shared" si="157"/>
        <v>5983</v>
      </c>
      <c r="AP215" s="218">
        <f>ROUND(AV215*'[1]数据-取费表'!$B$41/(1+'[1]数据-取费表'!$B$42),0)</f>
        <v>63579</v>
      </c>
      <c r="AQ215" s="218">
        <f>ROUND(AV215*'[1]数据-取费表'!B$51/(1+'[1]数据-取费表'!C$42),0)</f>
        <v>136240</v>
      </c>
      <c r="AR215" s="218">
        <f t="shared" si="158"/>
        <v>202021</v>
      </c>
      <c r="AS215" s="218">
        <f t="shared" si="171"/>
        <v>278008</v>
      </c>
      <c r="AT215" s="223">
        <f t="shared" si="186"/>
        <v>8.77</v>
      </c>
      <c r="AU215" s="224">
        <f t="shared" si="172"/>
        <v>9.24</v>
      </c>
      <c r="AV215" s="218">
        <f t="shared" si="173"/>
        <v>1192099</v>
      </c>
      <c r="AW215" s="218">
        <f t="shared" si="174"/>
        <v>4470</v>
      </c>
      <c r="AX215" s="218">
        <f t="shared" si="159"/>
        <v>1196569</v>
      </c>
      <c r="AY215" s="218">
        <f t="shared" si="183"/>
        <v>28.44</v>
      </c>
      <c r="AZ215" s="227">
        <f t="shared" si="184"/>
        <v>918561</v>
      </c>
      <c r="BA215" s="227">
        <f t="shared" si="175"/>
        <v>18166162</v>
      </c>
      <c r="BB215" s="229">
        <f t="shared" si="160"/>
        <v>16541366</v>
      </c>
      <c r="BC215" s="229">
        <f t="shared" si="185"/>
        <v>265885</v>
      </c>
      <c r="BD215" s="229">
        <f t="shared" si="176"/>
        <v>1800.55</v>
      </c>
      <c r="BE215" s="227">
        <f t="shared" si="177"/>
        <v>1131462</v>
      </c>
      <c r="BF215" s="227">
        <f t="shared" si="178"/>
        <v>4243</v>
      </c>
      <c r="BG215" s="227">
        <f t="shared" si="161"/>
        <v>1135705</v>
      </c>
      <c r="BH215" s="227">
        <f t="shared" si="162"/>
        <v>5679</v>
      </c>
      <c r="BI215" s="227">
        <f>ROUND(BE215*'[1]数据-取费表'!$B$51/(1+'[1]数据-取费表'!$C$42),0)</f>
        <v>129310</v>
      </c>
      <c r="BJ215" s="227">
        <f>ROUND(BG215*'[1]数据-取费表'!B$41/(1+'[1]数据-取费表'!C$42),0)</f>
        <v>60571</v>
      </c>
      <c r="BK215" s="227">
        <f t="shared" si="163"/>
        <v>268077</v>
      </c>
      <c r="BL215" s="227">
        <f t="shared" si="164"/>
        <v>867628</v>
      </c>
      <c r="BM215" s="227">
        <f t="shared" si="179"/>
        <v>1426379</v>
      </c>
      <c r="BN215" s="228">
        <f t="shared" si="165"/>
        <v>228131</v>
      </c>
      <c r="BO215" s="229">
        <f>BD215/$BD$234*$BS$3</f>
        <v>2501.1908028295361</v>
      </c>
      <c r="BP215" s="229">
        <f>SUM(BO215:BO224)</f>
        <v>9961.4224804035439</v>
      </c>
      <c r="BQ215" s="229">
        <f>ROUND(BP215*10000/BS215,0)</f>
        <v>63098</v>
      </c>
      <c r="BR215" s="194"/>
      <c r="BS215" s="20">
        <f>SUM(E215:E224)</f>
        <v>1578.71</v>
      </c>
    </row>
    <row r="216" spans="1:71" x14ac:dyDescent="0.2">
      <c r="A216" s="146">
        <v>199</v>
      </c>
      <c r="B216" s="125" t="s">
        <v>82</v>
      </c>
      <c r="C216" s="126" t="s">
        <v>85</v>
      </c>
      <c r="D216" s="127">
        <v>2803</v>
      </c>
      <c r="E216" s="127">
        <v>176.64</v>
      </c>
      <c r="F216" s="127" t="s">
        <v>83</v>
      </c>
      <c r="G216" s="127" t="s">
        <v>75</v>
      </c>
      <c r="H216" s="128">
        <v>56009</v>
      </c>
      <c r="I216" s="128">
        <v>44987</v>
      </c>
      <c r="J216" s="127">
        <f>IF(F216="商业",[1]项目基本情况!D$15,[1]项目基本情况!E$15)</f>
        <v>30.19</v>
      </c>
      <c r="K216" s="127" t="s">
        <v>84</v>
      </c>
      <c r="L216" s="218"/>
      <c r="M216" s="127">
        <v>24</v>
      </c>
      <c r="N216" s="127" t="s">
        <v>12</v>
      </c>
      <c r="O216" s="127">
        <v>2008</v>
      </c>
      <c r="P216" s="218">
        <f t="shared" si="148"/>
        <v>0</v>
      </c>
      <c r="Q216" s="218">
        <f>ROUND(P216*'[1]数据-取费表'!B$52,0)</f>
        <v>0</v>
      </c>
      <c r="R216" s="218">
        <f t="shared" si="180"/>
        <v>0</v>
      </c>
      <c r="S216" s="218">
        <f t="shared" si="166"/>
        <v>0</v>
      </c>
      <c r="T216" s="220">
        <v>0.8</v>
      </c>
      <c r="U216" s="218">
        <f t="shared" si="181"/>
        <v>0</v>
      </c>
      <c r="V216" s="218">
        <f t="shared" si="149"/>
        <v>0</v>
      </c>
      <c r="W216" s="218">
        <f t="shared" si="167"/>
        <v>0</v>
      </c>
      <c r="X216" s="218">
        <f>ROUND(AC216*'[1]数据-取费表'!$B$41/(1+'[1]数据-取费表'!$C$42),0)</f>
        <v>0</v>
      </c>
      <c r="Y216" s="218">
        <f>ROUND(AC216*'[1]数据-取费表'!$B$51/(1+'[1]数据-取费表'!$C$42),0)</f>
        <v>0</v>
      </c>
      <c r="Z216" s="218">
        <f t="shared" si="150"/>
        <v>0</v>
      </c>
      <c r="AA216" s="218">
        <f t="shared" si="151"/>
        <v>0</v>
      </c>
      <c r="AB216" s="240">
        <f t="shared" si="168"/>
        <v>8.77</v>
      </c>
      <c r="AC216" s="218"/>
      <c r="AD216" s="218">
        <f t="shared" si="169"/>
        <v>0</v>
      </c>
      <c r="AE216" s="218">
        <f t="shared" si="170"/>
        <v>0</v>
      </c>
      <c r="AF216" s="225"/>
      <c r="AG216" s="218"/>
      <c r="AH216" s="226"/>
      <c r="AI216" s="218">
        <f t="shared" si="182"/>
        <v>-123.25</v>
      </c>
      <c r="AJ216" s="218">
        <f t="shared" si="152"/>
        <v>0</v>
      </c>
      <c r="AK216" s="224">
        <f t="shared" si="153"/>
        <v>0</v>
      </c>
      <c r="AL216" s="220">
        <f t="shared" si="154"/>
        <v>2.8</v>
      </c>
      <c r="AM216" s="218">
        <f t="shared" si="155"/>
        <v>0</v>
      </c>
      <c r="AN216" s="218">
        <f t="shared" si="156"/>
        <v>0</v>
      </c>
      <c r="AO216" s="218">
        <f t="shared" si="157"/>
        <v>0</v>
      </c>
      <c r="AP216" s="218">
        <f>ROUND(AV216*'[1]数据-取费表'!$B$41/(1+'[1]数据-取费表'!$B$42),0)</f>
        <v>0</v>
      </c>
      <c r="AQ216" s="218">
        <f>ROUND(AV216*'[1]数据-取费表'!B$51/(1+'[1]数据-取费表'!C$42),0)</f>
        <v>0</v>
      </c>
      <c r="AR216" s="218">
        <f t="shared" si="158"/>
        <v>0</v>
      </c>
      <c r="AS216" s="218">
        <f t="shared" si="171"/>
        <v>0</v>
      </c>
      <c r="AT216" s="223">
        <f t="shared" si="186"/>
        <v>8.77</v>
      </c>
      <c r="AU216" s="224">
        <f t="shared" si="172"/>
        <v>0.23</v>
      </c>
      <c r="AV216" s="218">
        <f t="shared" si="173"/>
        <v>0</v>
      </c>
      <c r="AW216" s="218">
        <f t="shared" si="174"/>
        <v>0</v>
      </c>
      <c r="AX216" s="218">
        <f t="shared" si="159"/>
        <v>0</v>
      </c>
      <c r="AY216" s="218">
        <f t="shared" si="183"/>
        <v>153.44</v>
      </c>
      <c r="AZ216" s="227">
        <f t="shared" si="184"/>
        <v>0</v>
      </c>
      <c r="BA216" s="227">
        <f t="shared" si="175"/>
        <v>0</v>
      </c>
      <c r="BB216" s="229">
        <f t="shared" si="160"/>
        <v>0</v>
      </c>
      <c r="BC216" s="229">
        <f t="shared" si="185"/>
        <v>0</v>
      </c>
      <c r="BD216" s="229">
        <f t="shared" si="176"/>
        <v>0</v>
      </c>
      <c r="BE216" s="227">
        <f t="shared" si="177"/>
        <v>0</v>
      </c>
      <c r="BF216" s="227">
        <f t="shared" si="178"/>
        <v>0</v>
      </c>
      <c r="BG216" s="227">
        <f t="shared" si="161"/>
        <v>0</v>
      </c>
      <c r="BH216" s="227">
        <f t="shared" si="162"/>
        <v>0</v>
      </c>
      <c r="BI216" s="227">
        <f>ROUND(BE216*'[1]数据-取费表'!$B$51/(1+'[1]数据-取费表'!$C$42),0)</f>
        <v>0</v>
      </c>
      <c r="BJ216" s="227">
        <f>ROUND(BG216*'[1]数据-取费表'!B$41/(1+'[1]数据-取费表'!C$42),0)</f>
        <v>0</v>
      </c>
      <c r="BK216" s="227">
        <f t="shared" si="163"/>
        <v>0</v>
      </c>
      <c r="BL216" s="227">
        <f t="shared" si="164"/>
        <v>0</v>
      </c>
      <c r="BM216" s="227">
        <f t="shared" si="179"/>
        <v>0</v>
      </c>
      <c r="BN216" s="228">
        <f t="shared" si="165"/>
        <v>0</v>
      </c>
      <c r="BO216" s="229"/>
      <c r="BP216" s="229"/>
      <c r="BQ216" s="229"/>
      <c r="BR216" s="194"/>
    </row>
    <row r="217" spans="1:71" x14ac:dyDescent="0.2">
      <c r="A217" s="146">
        <v>200</v>
      </c>
      <c r="B217" s="125" t="s">
        <v>82</v>
      </c>
      <c r="C217" s="126" t="s">
        <v>85</v>
      </c>
      <c r="D217" s="127">
        <v>2806</v>
      </c>
      <c r="E217" s="127">
        <v>155.54</v>
      </c>
      <c r="F217" s="127" t="s">
        <v>83</v>
      </c>
      <c r="G217" s="127" t="s">
        <v>75</v>
      </c>
      <c r="H217" s="128">
        <v>56009</v>
      </c>
      <c r="I217" s="128">
        <v>44987</v>
      </c>
      <c r="J217" s="127">
        <f>IF(F217="商业",[1]项目基本情况!D$15,[1]项目基本情况!E$15)</f>
        <v>30.19</v>
      </c>
      <c r="K217" s="127" t="s">
        <v>84</v>
      </c>
      <c r="L217" s="218">
        <f>SUM(E217:E218)</f>
        <v>295.52</v>
      </c>
      <c r="M217" s="127">
        <v>24</v>
      </c>
      <c r="N217" s="127" t="s">
        <v>12</v>
      </c>
      <c r="O217" s="127">
        <v>2008</v>
      </c>
      <c r="P217" s="218">
        <f t="shared" si="148"/>
        <v>55.24</v>
      </c>
      <c r="Q217" s="218">
        <f>ROUND(P217*'[1]数据-取费表'!B$52,0)</f>
        <v>1657</v>
      </c>
      <c r="R217" s="218">
        <f t="shared" si="180"/>
        <v>3348706</v>
      </c>
      <c r="S217" s="218">
        <f t="shared" si="166"/>
        <v>50231</v>
      </c>
      <c r="T217" s="220">
        <v>0.8</v>
      </c>
      <c r="U217" s="218">
        <f t="shared" si="181"/>
        <v>2678965</v>
      </c>
      <c r="V217" s="218">
        <f t="shared" si="149"/>
        <v>2679</v>
      </c>
      <c r="W217" s="218">
        <f t="shared" si="167"/>
        <v>3110</v>
      </c>
      <c r="X217" s="218">
        <f>ROUND(AC217*'[1]数据-取费表'!$B$41/(1+'[1]数据-取费表'!$C$42),0)</f>
        <v>33046</v>
      </c>
      <c r="Y217" s="218">
        <f>ROUND(AC217*'[1]数据-取费表'!$B$51/(1+'[1]数据-取费表'!$C$42),0)</f>
        <v>70814</v>
      </c>
      <c r="Z217" s="218">
        <f t="shared" si="150"/>
        <v>105517</v>
      </c>
      <c r="AA217" s="218">
        <f t="shared" si="151"/>
        <v>161537</v>
      </c>
      <c r="AB217" s="240">
        <f>ROUND(AC217/365/L217,2)</f>
        <v>5.74</v>
      </c>
      <c r="AC217" s="218">
        <v>619620</v>
      </c>
      <c r="AD217" s="218">
        <f t="shared" si="169"/>
        <v>2324</v>
      </c>
      <c r="AE217" s="218">
        <f t="shared" si="170"/>
        <v>621944</v>
      </c>
      <c r="AF217" s="225">
        <v>0</v>
      </c>
      <c r="AG217" s="218"/>
      <c r="AH217" s="226">
        <v>45596</v>
      </c>
      <c r="AI217" s="218">
        <f t="shared" si="182"/>
        <v>1.66</v>
      </c>
      <c r="AJ217" s="218">
        <f t="shared" si="152"/>
        <v>460407</v>
      </c>
      <c r="AK217" s="224">
        <f t="shared" si="153"/>
        <v>711894</v>
      </c>
      <c r="AL217" s="220">
        <f t="shared" si="154"/>
        <v>0.73</v>
      </c>
      <c r="AM217" s="218">
        <f t="shared" si="155"/>
        <v>2444555</v>
      </c>
      <c r="AN217" s="218">
        <f t="shared" si="156"/>
        <v>2445</v>
      </c>
      <c r="AO217" s="218">
        <f t="shared" si="157"/>
        <v>4487</v>
      </c>
      <c r="AP217" s="218">
        <f>ROUND(AV217*'[1]数据-取费表'!$B$41/(1+'[1]数据-取费表'!$B$42),0)</f>
        <v>47685</v>
      </c>
      <c r="AQ217" s="218">
        <f>ROUND(AV217*'[1]数据-取费表'!B$51/(1+'[1]数据-取费表'!C$42),0)</f>
        <v>102182</v>
      </c>
      <c r="AR217" s="218">
        <f t="shared" si="158"/>
        <v>151524</v>
      </c>
      <c r="AS217" s="218">
        <f t="shared" si="171"/>
        <v>208687</v>
      </c>
      <c r="AT217" s="223">
        <f t="shared" si="186"/>
        <v>8.77</v>
      </c>
      <c r="AU217" s="224">
        <f t="shared" si="172"/>
        <v>9.2100000000000009</v>
      </c>
      <c r="AV217" s="218">
        <f t="shared" si="173"/>
        <v>894091</v>
      </c>
      <c r="AW217" s="218">
        <f t="shared" si="174"/>
        <v>3353</v>
      </c>
      <c r="AX217" s="218">
        <f t="shared" si="159"/>
        <v>897444</v>
      </c>
      <c r="AY217" s="218">
        <f t="shared" si="183"/>
        <v>28.53</v>
      </c>
      <c r="AZ217" s="227">
        <f t="shared" si="184"/>
        <v>688757</v>
      </c>
      <c r="BA217" s="227">
        <f t="shared" si="175"/>
        <v>13651414</v>
      </c>
      <c r="BB217" s="229">
        <f t="shared" si="160"/>
        <v>12490463</v>
      </c>
      <c r="BC217" s="229">
        <f t="shared" si="185"/>
        <v>200067</v>
      </c>
      <c r="BD217" s="229">
        <f t="shared" si="176"/>
        <v>1340.24</v>
      </c>
      <c r="BE217" s="227">
        <f t="shared" si="177"/>
        <v>851377</v>
      </c>
      <c r="BF217" s="227">
        <f t="shared" si="178"/>
        <v>3193</v>
      </c>
      <c r="BG217" s="227">
        <f t="shared" si="161"/>
        <v>854570</v>
      </c>
      <c r="BH217" s="227">
        <f t="shared" si="162"/>
        <v>4273</v>
      </c>
      <c r="BI217" s="227">
        <f>ROUND(BE217*'[1]数据-取费表'!$B$51/(1+'[1]数据-取费表'!$C$42),0)</f>
        <v>97300</v>
      </c>
      <c r="BJ217" s="227">
        <f>ROUND(BG217*'[1]数据-取费表'!B$41/(1+'[1]数据-取费表'!C$42),0)</f>
        <v>45577</v>
      </c>
      <c r="BK217" s="227">
        <f t="shared" si="163"/>
        <v>201717</v>
      </c>
      <c r="BL217" s="227">
        <f t="shared" si="164"/>
        <v>652853</v>
      </c>
      <c r="BM217" s="227">
        <f t="shared" si="179"/>
        <v>1019183</v>
      </c>
      <c r="BN217" s="228">
        <f t="shared" si="165"/>
        <v>307289</v>
      </c>
      <c r="BO217" s="229">
        <f>BD217/$BD$234*$BS$3</f>
        <v>1861.7622179802047</v>
      </c>
      <c r="BP217" s="229"/>
      <c r="BQ217" s="229"/>
      <c r="BR217" s="194"/>
    </row>
    <row r="218" spans="1:71" x14ac:dyDescent="0.2">
      <c r="A218" s="146">
        <v>201</v>
      </c>
      <c r="B218" s="125" t="s">
        <v>82</v>
      </c>
      <c r="C218" s="126" t="s">
        <v>85</v>
      </c>
      <c r="D218" s="127">
        <v>2807</v>
      </c>
      <c r="E218" s="127">
        <v>139.97999999999999</v>
      </c>
      <c r="F218" s="127" t="s">
        <v>83</v>
      </c>
      <c r="G218" s="127" t="s">
        <v>75</v>
      </c>
      <c r="H218" s="128">
        <v>56009</v>
      </c>
      <c r="I218" s="128">
        <v>44987</v>
      </c>
      <c r="J218" s="127">
        <f>IF(F218="商业",[1]项目基本情况!D$15,[1]项目基本情况!E$15)</f>
        <v>30.19</v>
      </c>
      <c r="K218" s="127" t="s">
        <v>84</v>
      </c>
      <c r="L218" s="218"/>
      <c r="M218" s="127">
        <v>24</v>
      </c>
      <c r="N218" s="127" t="s">
        <v>12</v>
      </c>
      <c r="O218" s="127">
        <v>2008</v>
      </c>
      <c r="P218" s="218">
        <f t="shared" si="148"/>
        <v>0</v>
      </c>
      <c r="Q218" s="218">
        <f>ROUND(P218*'[1]数据-取费表'!B$52,0)</f>
        <v>0</v>
      </c>
      <c r="R218" s="218">
        <f t="shared" si="180"/>
        <v>0</v>
      </c>
      <c r="S218" s="218">
        <f t="shared" si="166"/>
        <v>0</v>
      </c>
      <c r="T218" s="220">
        <v>0.8</v>
      </c>
      <c r="U218" s="218">
        <f t="shared" si="181"/>
        <v>0</v>
      </c>
      <c r="V218" s="218">
        <f t="shared" si="149"/>
        <v>0</v>
      </c>
      <c r="W218" s="218">
        <f t="shared" si="167"/>
        <v>0</v>
      </c>
      <c r="X218" s="218">
        <f>ROUND(AC218*'[1]数据-取费表'!$B$41/(1+'[1]数据-取费表'!$C$42),0)</f>
        <v>0</v>
      </c>
      <c r="Y218" s="218">
        <f>ROUND(AC218*'[1]数据-取费表'!$B$51/(1+'[1]数据-取费表'!$C$42),0)</f>
        <v>0</v>
      </c>
      <c r="Z218" s="218">
        <f t="shared" si="150"/>
        <v>0</v>
      </c>
      <c r="AA218" s="218">
        <f t="shared" si="151"/>
        <v>0</v>
      </c>
      <c r="AB218" s="240">
        <f t="shared" si="168"/>
        <v>8.77</v>
      </c>
      <c r="AC218" s="218"/>
      <c r="AD218" s="218">
        <f t="shared" si="169"/>
        <v>0</v>
      </c>
      <c r="AE218" s="218">
        <f t="shared" si="170"/>
        <v>0</v>
      </c>
      <c r="AF218" s="225"/>
      <c r="AG218" s="218"/>
      <c r="AH218" s="226"/>
      <c r="AI218" s="218">
        <f t="shared" si="182"/>
        <v>-123.25</v>
      </c>
      <c r="AJ218" s="218">
        <f t="shared" si="152"/>
        <v>0</v>
      </c>
      <c r="AK218" s="224">
        <f t="shared" si="153"/>
        <v>0</v>
      </c>
      <c r="AL218" s="220">
        <f t="shared" si="154"/>
        <v>2.8</v>
      </c>
      <c r="AM218" s="218">
        <f t="shared" si="155"/>
        <v>0</v>
      </c>
      <c r="AN218" s="218">
        <f t="shared" si="156"/>
        <v>0</v>
      </c>
      <c r="AO218" s="218">
        <f t="shared" si="157"/>
        <v>0</v>
      </c>
      <c r="AP218" s="218">
        <f>ROUND(AV218*'[1]数据-取费表'!$B$41/(1+'[1]数据-取费表'!$B$42),0)</f>
        <v>0</v>
      </c>
      <c r="AQ218" s="218">
        <f>ROUND(AV218*'[1]数据-取费表'!B$51/(1+'[1]数据-取费表'!C$42),0)</f>
        <v>0</v>
      </c>
      <c r="AR218" s="218">
        <f t="shared" si="158"/>
        <v>0</v>
      </c>
      <c r="AS218" s="218">
        <f t="shared" si="171"/>
        <v>0</v>
      </c>
      <c r="AT218" s="223">
        <f t="shared" si="186"/>
        <v>8.77</v>
      </c>
      <c r="AU218" s="224">
        <f t="shared" si="172"/>
        <v>0.23</v>
      </c>
      <c r="AV218" s="218">
        <f t="shared" si="173"/>
        <v>0</v>
      </c>
      <c r="AW218" s="218">
        <f t="shared" si="174"/>
        <v>0</v>
      </c>
      <c r="AX218" s="218">
        <f t="shared" si="159"/>
        <v>0</v>
      </c>
      <c r="AY218" s="218">
        <f t="shared" si="183"/>
        <v>153.44</v>
      </c>
      <c r="AZ218" s="227">
        <f t="shared" si="184"/>
        <v>0</v>
      </c>
      <c r="BA218" s="227">
        <f t="shared" si="175"/>
        <v>0</v>
      </c>
      <c r="BB218" s="229">
        <f t="shared" si="160"/>
        <v>0</v>
      </c>
      <c r="BC218" s="229">
        <f t="shared" si="185"/>
        <v>0</v>
      </c>
      <c r="BD218" s="229">
        <f t="shared" si="176"/>
        <v>0</v>
      </c>
      <c r="BE218" s="227">
        <f t="shared" si="177"/>
        <v>0</v>
      </c>
      <c r="BF218" s="227">
        <f t="shared" si="178"/>
        <v>0</v>
      </c>
      <c r="BG218" s="227">
        <f t="shared" si="161"/>
        <v>0</v>
      </c>
      <c r="BH218" s="227">
        <f t="shared" si="162"/>
        <v>0</v>
      </c>
      <c r="BI218" s="227">
        <f>ROUND(BE218*'[1]数据-取费表'!$B$51/(1+'[1]数据-取费表'!$C$42),0)</f>
        <v>0</v>
      </c>
      <c r="BJ218" s="227">
        <f>ROUND(BG218*'[1]数据-取费表'!B$41/(1+'[1]数据-取费表'!C$42),0)</f>
        <v>0</v>
      </c>
      <c r="BK218" s="227">
        <f t="shared" si="163"/>
        <v>0</v>
      </c>
      <c r="BL218" s="227">
        <f t="shared" si="164"/>
        <v>0</v>
      </c>
      <c r="BM218" s="227">
        <f t="shared" si="179"/>
        <v>0</v>
      </c>
      <c r="BN218" s="228">
        <f t="shared" si="165"/>
        <v>0</v>
      </c>
      <c r="BO218" s="229"/>
      <c r="BP218" s="229"/>
      <c r="BQ218" s="229"/>
      <c r="BR218" s="194"/>
    </row>
    <row r="219" spans="1:71" x14ac:dyDescent="0.2">
      <c r="A219" s="146">
        <v>202</v>
      </c>
      <c r="B219" s="125" t="s">
        <v>82</v>
      </c>
      <c r="C219" s="126" t="s">
        <v>85</v>
      </c>
      <c r="D219" s="127">
        <v>2808</v>
      </c>
      <c r="E219" s="127">
        <v>135.16999999999999</v>
      </c>
      <c r="F219" s="127" t="s">
        <v>83</v>
      </c>
      <c r="G219" s="127" t="s">
        <v>75</v>
      </c>
      <c r="H219" s="128">
        <v>56009</v>
      </c>
      <c r="I219" s="128">
        <v>44987</v>
      </c>
      <c r="J219" s="127">
        <f>IF(F219="商业",[1]项目基本情况!D$15,[1]项目基本情况!E$15)</f>
        <v>30.19</v>
      </c>
      <c r="K219" s="127" t="s">
        <v>84</v>
      </c>
      <c r="L219" s="127">
        <f>E219</f>
        <v>135.16999999999999</v>
      </c>
      <c r="M219" s="127">
        <v>24</v>
      </c>
      <c r="N219" s="127" t="s">
        <v>12</v>
      </c>
      <c r="O219" s="127">
        <v>2008</v>
      </c>
      <c r="P219" s="127">
        <f t="shared" si="148"/>
        <v>25.27</v>
      </c>
      <c r="Q219" s="127">
        <f>ROUND(P219*'[1]数据-取费表'!B$52,0)</f>
        <v>758</v>
      </c>
      <c r="R219" s="127">
        <f t="shared" si="180"/>
        <v>1531688</v>
      </c>
      <c r="S219" s="127">
        <f t="shared" si="166"/>
        <v>22975</v>
      </c>
      <c r="T219" s="147">
        <v>0.8</v>
      </c>
      <c r="U219" s="127">
        <f t="shared" si="181"/>
        <v>1225350</v>
      </c>
      <c r="V219" s="127">
        <f t="shared" si="149"/>
        <v>1225</v>
      </c>
      <c r="W219" s="127">
        <f t="shared" si="167"/>
        <v>1422</v>
      </c>
      <c r="X219" s="127">
        <f>ROUND(AC219*'[1]数据-取费表'!$B$41/(1+'[1]数据-取费表'!$C$42),0)</f>
        <v>15115</v>
      </c>
      <c r="Y219" s="127">
        <f>ROUND(AC219*'[1]数据-取费表'!$B$51/(1+'[1]数据-取费表'!$C$42),0)</f>
        <v>32390</v>
      </c>
      <c r="Z219" s="127">
        <f t="shared" si="150"/>
        <v>48263</v>
      </c>
      <c r="AA219" s="127">
        <f t="shared" si="151"/>
        <v>73885</v>
      </c>
      <c r="AB219" s="132">
        <f>ROUND(AC219/365/L219,2)</f>
        <v>5.74</v>
      </c>
      <c r="AC219" s="127">
        <v>283410</v>
      </c>
      <c r="AD219" s="127">
        <f t="shared" si="169"/>
        <v>1063</v>
      </c>
      <c r="AE219" s="127">
        <f t="shared" si="170"/>
        <v>284473</v>
      </c>
      <c r="AF219" s="134">
        <v>0</v>
      </c>
      <c r="AG219" s="127"/>
      <c r="AH219" s="128">
        <v>45596</v>
      </c>
      <c r="AI219" s="127">
        <f t="shared" si="182"/>
        <v>1.66</v>
      </c>
      <c r="AJ219" s="127">
        <f t="shared" si="152"/>
        <v>210588</v>
      </c>
      <c r="AK219" s="149">
        <f t="shared" si="153"/>
        <v>325617</v>
      </c>
      <c r="AL219" s="147">
        <f t="shared" si="154"/>
        <v>0.73</v>
      </c>
      <c r="AM219" s="127">
        <f t="shared" si="155"/>
        <v>1118132</v>
      </c>
      <c r="AN219" s="127">
        <f t="shared" si="156"/>
        <v>1118</v>
      </c>
      <c r="AO219" s="127">
        <f t="shared" si="157"/>
        <v>2052</v>
      </c>
      <c r="AP219" s="127">
        <f>ROUND(AV219*'[1]数据-取费表'!$B$41/(1+'[1]数据-取费表'!$B$42),0)</f>
        <v>21811</v>
      </c>
      <c r="AQ219" s="127">
        <f>ROUND(AV219*'[1]数据-取费表'!B$51/(1+'[1]数据-取费表'!C$42),0)</f>
        <v>46738</v>
      </c>
      <c r="AR219" s="127">
        <f t="shared" si="158"/>
        <v>69307</v>
      </c>
      <c r="AS219" s="127">
        <f t="shared" si="171"/>
        <v>95452</v>
      </c>
      <c r="AT219" s="150">
        <f t="shared" si="186"/>
        <v>8.77</v>
      </c>
      <c r="AU219" s="149">
        <f t="shared" si="172"/>
        <v>9.2100000000000009</v>
      </c>
      <c r="AV219" s="127">
        <f t="shared" si="173"/>
        <v>408955</v>
      </c>
      <c r="AW219" s="127">
        <f t="shared" si="174"/>
        <v>1534</v>
      </c>
      <c r="AX219" s="127">
        <f t="shared" si="159"/>
        <v>410489</v>
      </c>
      <c r="AY219" s="127">
        <f t="shared" si="183"/>
        <v>28.53</v>
      </c>
      <c r="AZ219" s="151">
        <f t="shared" si="184"/>
        <v>315037</v>
      </c>
      <c r="BA219" s="151">
        <f t="shared" si="175"/>
        <v>6244148</v>
      </c>
      <c r="BB219" s="152">
        <f t="shared" si="160"/>
        <v>5713130</v>
      </c>
      <c r="BC219" s="152">
        <f t="shared" si="185"/>
        <v>91510</v>
      </c>
      <c r="BD219" s="152">
        <f t="shared" si="176"/>
        <v>613.03</v>
      </c>
      <c r="BE219" s="151">
        <f t="shared" si="177"/>
        <v>389417</v>
      </c>
      <c r="BF219" s="151">
        <f t="shared" si="178"/>
        <v>1460</v>
      </c>
      <c r="BG219" s="151">
        <f t="shared" si="161"/>
        <v>390877</v>
      </c>
      <c r="BH219" s="151">
        <f t="shared" si="162"/>
        <v>1954</v>
      </c>
      <c r="BI219" s="151">
        <f>ROUND(BE219*'[1]数据-取费表'!$B$51/(1+'[1]数据-取费表'!$C$42),0)</f>
        <v>44505</v>
      </c>
      <c r="BJ219" s="151">
        <f>ROUND(BG219*'[1]数据-取费表'!B$41/(1+'[1]数据-取费表'!C$42),0)</f>
        <v>20847</v>
      </c>
      <c r="BK219" s="151">
        <f t="shared" si="163"/>
        <v>92264</v>
      </c>
      <c r="BL219" s="151">
        <f t="shared" si="164"/>
        <v>298613</v>
      </c>
      <c r="BM219" s="151">
        <f t="shared" si="179"/>
        <v>466171</v>
      </c>
      <c r="BN219" s="166">
        <f t="shared" si="165"/>
        <v>140554</v>
      </c>
      <c r="BO219" s="140">
        <f>BD219/$BD$234*$BS$3</f>
        <v>851.57590617233086</v>
      </c>
      <c r="BP219" s="229"/>
      <c r="BQ219" s="229"/>
      <c r="BR219" s="194"/>
    </row>
    <row r="220" spans="1:71" x14ac:dyDescent="0.2">
      <c r="A220" s="146">
        <v>203</v>
      </c>
      <c r="B220" s="125" t="s">
        <v>82</v>
      </c>
      <c r="C220" s="126" t="s">
        <v>85</v>
      </c>
      <c r="D220" s="127">
        <v>2809</v>
      </c>
      <c r="E220" s="127">
        <v>135.16999999999999</v>
      </c>
      <c r="F220" s="127" t="s">
        <v>83</v>
      </c>
      <c r="G220" s="127" t="s">
        <v>75</v>
      </c>
      <c r="H220" s="128">
        <v>56009</v>
      </c>
      <c r="I220" s="128">
        <v>44987</v>
      </c>
      <c r="J220" s="127">
        <f>IF(F220="商业",[1]项目基本情况!D$15,[1]项目基本情况!E$15)</f>
        <v>30.19</v>
      </c>
      <c r="K220" s="127" t="s">
        <v>84</v>
      </c>
      <c r="L220" s="218">
        <f>SUM(E220:E222)</f>
        <v>412.36</v>
      </c>
      <c r="M220" s="127">
        <v>24</v>
      </c>
      <c r="N220" s="127" t="s">
        <v>12</v>
      </c>
      <c r="O220" s="127">
        <v>2008</v>
      </c>
      <c r="P220" s="218">
        <f t="shared" si="148"/>
        <v>77.08</v>
      </c>
      <c r="Q220" s="218">
        <f>ROUND(P220*'[1]数据-取费表'!B$52,0)</f>
        <v>2312</v>
      </c>
      <c r="R220" s="218">
        <f t="shared" si="180"/>
        <v>4672686</v>
      </c>
      <c r="S220" s="218">
        <f t="shared" si="166"/>
        <v>70090</v>
      </c>
      <c r="T220" s="220">
        <v>0.8</v>
      </c>
      <c r="U220" s="218">
        <f t="shared" si="181"/>
        <v>3738149</v>
      </c>
      <c r="V220" s="218">
        <f t="shared" si="149"/>
        <v>3738</v>
      </c>
      <c r="W220" s="218">
        <f t="shared" si="167"/>
        <v>4113</v>
      </c>
      <c r="X220" s="218">
        <f>ROUND(AC220*'[1]数据-取费表'!$B$41/(1+'[1]数据-取费表'!$C$42),0)</f>
        <v>43708</v>
      </c>
      <c r="Y220" s="218">
        <f>ROUND(AC220*'[1]数据-取费表'!$B$51/(1+'[1]数据-取费表'!$C$42),0)</f>
        <v>93659</v>
      </c>
      <c r="Z220" s="218">
        <f t="shared" si="150"/>
        <v>139679</v>
      </c>
      <c r="AA220" s="218">
        <f t="shared" si="151"/>
        <v>217620</v>
      </c>
      <c r="AB220" s="240">
        <f>ROUND(AC220/365/L220,2)</f>
        <v>5.44</v>
      </c>
      <c r="AC220" s="218">
        <v>819520</v>
      </c>
      <c r="AD220" s="218">
        <f t="shared" si="169"/>
        <v>3073</v>
      </c>
      <c r="AE220" s="218">
        <f t="shared" si="170"/>
        <v>822593</v>
      </c>
      <c r="AF220" s="225">
        <v>5.0000000000000001E-3</v>
      </c>
      <c r="AG220" s="218"/>
      <c r="AH220" s="226">
        <v>45747</v>
      </c>
      <c r="AI220" s="218">
        <f t="shared" si="182"/>
        <v>2.08</v>
      </c>
      <c r="AJ220" s="218">
        <f t="shared" si="152"/>
        <v>604973</v>
      </c>
      <c r="AK220" s="224">
        <f t="shared" si="153"/>
        <v>1162257</v>
      </c>
      <c r="AL220" s="220">
        <f t="shared" si="154"/>
        <v>0.72</v>
      </c>
      <c r="AM220" s="218">
        <f t="shared" si="155"/>
        <v>3364334</v>
      </c>
      <c r="AN220" s="218">
        <f t="shared" si="156"/>
        <v>3364</v>
      </c>
      <c r="AO220" s="218">
        <f t="shared" si="157"/>
        <v>6343</v>
      </c>
      <c r="AP220" s="218">
        <f>ROUND(AV220*'[1]数据-取费表'!$B$41/(1+'[1]数据-取费表'!$B$42),0)</f>
        <v>67405</v>
      </c>
      <c r="AQ220" s="218">
        <f>ROUND(AV220*'[1]数据-取费表'!B$51/(1+'[1]数据-取费表'!C$42),0)</f>
        <v>144439</v>
      </c>
      <c r="AR220" s="218">
        <f t="shared" si="158"/>
        <v>214156</v>
      </c>
      <c r="AS220" s="218">
        <f t="shared" si="171"/>
        <v>293953</v>
      </c>
      <c r="AT220" s="223">
        <f t="shared" si="186"/>
        <v>8.77</v>
      </c>
      <c r="AU220" s="224">
        <f t="shared" si="172"/>
        <v>9.33</v>
      </c>
      <c r="AV220" s="218">
        <f t="shared" si="173"/>
        <v>1263844</v>
      </c>
      <c r="AW220" s="218">
        <f t="shared" si="174"/>
        <v>4739</v>
      </c>
      <c r="AX220" s="218">
        <f t="shared" si="159"/>
        <v>1268583</v>
      </c>
      <c r="AY220" s="218">
        <f t="shared" si="183"/>
        <v>28.11</v>
      </c>
      <c r="AZ220" s="227">
        <f t="shared" si="184"/>
        <v>974630</v>
      </c>
      <c r="BA220" s="227">
        <f t="shared" si="175"/>
        <v>19118419</v>
      </c>
      <c r="BB220" s="229">
        <f t="shared" si="160"/>
        <v>17103574</v>
      </c>
      <c r="BC220" s="229">
        <f t="shared" si="185"/>
        <v>279168</v>
      </c>
      <c r="BD220" s="229">
        <f t="shared" si="176"/>
        <v>1854.5</v>
      </c>
      <c r="BE220" s="227">
        <f t="shared" si="177"/>
        <v>1187986</v>
      </c>
      <c r="BF220" s="227">
        <f t="shared" si="178"/>
        <v>4455</v>
      </c>
      <c r="BG220" s="227">
        <f t="shared" si="161"/>
        <v>1192441</v>
      </c>
      <c r="BH220" s="227">
        <f t="shared" si="162"/>
        <v>5962</v>
      </c>
      <c r="BI220" s="227">
        <f>ROUND(BE220*'[1]数据-取费表'!$B$51/(1+'[1]数据-取费表'!$C$42),0)</f>
        <v>135770</v>
      </c>
      <c r="BJ220" s="227">
        <f>ROUND(BG220*'[1]数据-取费表'!B$41/(1+'[1]数据-取费表'!C$42),0)</f>
        <v>63597</v>
      </c>
      <c r="BK220" s="227">
        <f t="shared" si="163"/>
        <v>281469</v>
      </c>
      <c r="BL220" s="227">
        <f t="shared" si="164"/>
        <v>910972</v>
      </c>
      <c r="BM220" s="227">
        <f t="shared" si="179"/>
        <v>1773072</v>
      </c>
      <c r="BN220" s="228">
        <f t="shared" si="165"/>
        <v>610815</v>
      </c>
      <c r="BO220" s="229">
        <f>BD220/$BD$234*$BS$3</f>
        <v>2576.1341500360304</v>
      </c>
      <c r="BP220" s="229"/>
      <c r="BQ220" s="229"/>
      <c r="BR220" s="194"/>
    </row>
    <row r="221" spans="1:71" x14ac:dyDescent="0.2">
      <c r="A221" s="146">
        <v>204</v>
      </c>
      <c r="B221" s="125" t="s">
        <v>82</v>
      </c>
      <c r="C221" s="126" t="s">
        <v>85</v>
      </c>
      <c r="D221" s="127">
        <v>2810</v>
      </c>
      <c r="E221" s="127">
        <v>138.29</v>
      </c>
      <c r="F221" s="127" t="s">
        <v>83</v>
      </c>
      <c r="G221" s="127" t="s">
        <v>75</v>
      </c>
      <c r="H221" s="128">
        <v>56009</v>
      </c>
      <c r="I221" s="128">
        <v>44987</v>
      </c>
      <c r="J221" s="127">
        <f>IF(F221="商业",[1]项目基本情况!D$15,[1]项目基本情况!E$15)</f>
        <v>30.19</v>
      </c>
      <c r="K221" s="127" t="s">
        <v>84</v>
      </c>
      <c r="L221" s="218"/>
      <c r="M221" s="127">
        <v>24</v>
      </c>
      <c r="N221" s="127" t="s">
        <v>12</v>
      </c>
      <c r="O221" s="127">
        <v>2008</v>
      </c>
      <c r="P221" s="218">
        <f t="shared" si="148"/>
        <v>0</v>
      </c>
      <c r="Q221" s="218">
        <f>ROUND(P221*'[1]数据-取费表'!B$52,0)</f>
        <v>0</v>
      </c>
      <c r="R221" s="218">
        <f t="shared" si="180"/>
        <v>0</v>
      </c>
      <c r="S221" s="218">
        <f t="shared" si="166"/>
        <v>0</v>
      </c>
      <c r="T221" s="220">
        <v>0.8</v>
      </c>
      <c r="U221" s="218">
        <f t="shared" si="181"/>
        <v>0</v>
      </c>
      <c r="V221" s="218">
        <f t="shared" si="149"/>
        <v>0</v>
      </c>
      <c r="W221" s="218">
        <f t="shared" si="167"/>
        <v>0</v>
      </c>
      <c r="X221" s="218">
        <f>ROUND(AC221*'[1]数据-取费表'!$B$41/(1+'[1]数据-取费表'!$C$42),0)</f>
        <v>0</v>
      </c>
      <c r="Y221" s="218">
        <f>ROUND(AC221*'[1]数据-取费表'!$B$51/(1+'[1]数据-取费表'!$C$42),0)</f>
        <v>0</v>
      </c>
      <c r="Z221" s="218">
        <f t="shared" si="150"/>
        <v>0</v>
      </c>
      <c r="AA221" s="218">
        <f t="shared" si="151"/>
        <v>0</v>
      </c>
      <c r="AB221" s="240">
        <f t="shared" si="168"/>
        <v>8.77</v>
      </c>
      <c r="AC221" s="218"/>
      <c r="AD221" s="218">
        <f t="shared" si="169"/>
        <v>0</v>
      </c>
      <c r="AE221" s="218">
        <f t="shared" si="170"/>
        <v>0</v>
      </c>
      <c r="AF221" s="225"/>
      <c r="AG221" s="218"/>
      <c r="AH221" s="226"/>
      <c r="AI221" s="218">
        <f t="shared" si="182"/>
        <v>-123.25</v>
      </c>
      <c r="AJ221" s="218">
        <f t="shared" si="152"/>
        <v>0</v>
      </c>
      <c r="AK221" s="224">
        <f t="shared" si="153"/>
        <v>0</v>
      </c>
      <c r="AL221" s="220">
        <f t="shared" si="154"/>
        <v>2.8</v>
      </c>
      <c r="AM221" s="218">
        <f t="shared" si="155"/>
        <v>0</v>
      </c>
      <c r="AN221" s="218">
        <f t="shared" si="156"/>
        <v>0</v>
      </c>
      <c r="AO221" s="218">
        <f t="shared" si="157"/>
        <v>0</v>
      </c>
      <c r="AP221" s="218">
        <f>ROUND(AV221*'[1]数据-取费表'!$B$41/(1+'[1]数据-取费表'!$B$42),0)</f>
        <v>0</v>
      </c>
      <c r="AQ221" s="218">
        <f>ROUND(AV221*'[1]数据-取费表'!B$51/(1+'[1]数据-取费表'!C$42),0)</f>
        <v>0</v>
      </c>
      <c r="AR221" s="218">
        <f t="shared" si="158"/>
        <v>0</v>
      </c>
      <c r="AS221" s="218">
        <f t="shared" si="171"/>
        <v>0</v>
      </c>
      <c r="AT221" s="223">
        <f t="shared" si="186"/>
        <v>8.77</v>
      </c>
      <c r="AU221" s="224">
        <f t="shared" si="172"/>
        <v>0.23</v>
      </c>
      <c r="AV221" s="218">
        <f t="shared" si="173"/>
        <v>0</v>
      </c>
      <c r="AW221" s="218">
        <f t="shared" si="174"/>
        <v>0</v>
      </c>
      <c r="AX221" s="218">
        <f t="shared" si="159"/>
        <v>0</v>
      </c>
      <c r="AY221" s="218">
        <f t="shared" si="183"/>
        <v>153.44</v>
      </c>
      <c r="AZ221" s="227">
        <f t="shared" si="184"/>
        <v>0</v>
      </c>
      <c r="BA221" s="227">
        <f t="shared" si="175"/>
        <v>0</v>
      </c>
      <c r="BB221" s="229">
        <f t="shared" si="160"/>
        <v>0</v>
      </c>
      <c r="BC221" s="229">
        <f t="shared" si="185"/>
        <v>0</v>
      </c>
      <c r="BD221" s="229">
        <f t="shared" si="176"/>
        <v>0</v>
      </c>
      <c r="BE221" s="227">
        <f t="shared" si="177"/>
        <v>0</v>
      </c>
      <c r="BF221" s="227">
        <f t="shared" si="178"/>
        <v>0</v>
      </c>
      <c r="BG221" s="227">
        <f t="shared" si="161"/>
        <v>0</v>
      </c>
      <c r="BH221" s="227">
        <f t="shared" si="162"/>
        <v>0</v>
      </c>
      <c r="BI221" s="227">
        <f>ROUND(BE221*'[1]数据-取费表'!$B$51/(1+'[1]数据-取费表'!$C$42),0)</f>
        <v>0</v>
      </c>
      <c r="BJ221" s="227">
        <f>ROUND(BG221*'[1]数据-取费表'!B$41/(1+'[1]数据-取费表'!C$42),0)</f>
        <v>0</v>
      </c>
      <c r="BK221" s="227">
        <f t="shared" si="163"/>
        <v>0</v>
      </c>
      <c r="BL221" s="227">
        <f t="shared" si="164"/>
        <v>0</v>
      </c>
      <c r="BM221" s="227">
        <f t="shared" si="179"/>
        <v>0</v>
      </c>
      <c r="BN221" s="228">
        <f t="shared" si="165"/>
        <v>0</v>
      </c>
      <c r="BO221" s="229"/>
      <c r="BP221" s="229"/>
      <c r="BQ221" s="229"/>
      <c r="BR221" s="194"/>
    </row>
    <row r="222" spans="1:71" x14ac:dyDescent="0.2">
      <c r="A222" s="146">
        <v>205</v>
      </c>
      <c r="B222" s="125" t="s">
        <v>82</v>
      </c>
      <c r="C222" s="126" t="s">
        <v>85</v>
      </c>
      <c r="D222" s="127">
        <v>2811</v>
      </c>
      <c r="E222" s="127">
        <v>138.9</v>
      </c>
      <c r="F222" s="127" t="s">
        <v>83</v>
      </c>
      <c r="G222" s="127" t="s">
        <v>75</v>
      </c>
      <c r="H222" s="128">
        <v>56009</v>
      </c>
      <c r="I222" s="128">
        <v>44987</v>
      </c>
      <c r="J222" s="127">
        <f>IF(F222="商业",[1]项目基本情况!D$15,[1]项目基本情况!E$15)</f>
        <v>30.19</v>
      </c>
      <c r="K222" s="127" t="s">
        <v>84</v>
      </c>
      <c r="L222" s="218"/>
      <c r="M222" s="127">
        <v>24</v>
      </c>
      <c r="N222" s="127" t="s">
        <v>12</v>
      </c>
      <c r="O222" s="127">
        <v>2008</v>
      </c>
      <c r="P222" s="218">
        <f t="shared" si="148"/>
        <v>0</v>
      </c>
      <c r="Q222" s="218">
        <f>ROUND(P222*'[1]数据-取费表'!B$52,0)</f>
        <v>0</v>
      </c>
      <c r="R222" s="218">
        <f t="shared" si="180"/>
        <v>0</v>
      </c>
      <c r="S222" s="218">
        <f t="shared" si="166"/>
        <v>0</v>
      </c>
      <c r="T222" s="220">
        <v>0.8</v>
      </c>
      <c r="U222" s="218">
        <f t="shared" si="181"/>
        <v>0</v>
      </c>
      <c r="V222" s="218">
        <f t="shared" si="149"/>
        <v>0</v>
      </c>
      <c r="W222" s="218">
        <f t="shared" si="167"/>
        <v>0</v>
      </c>
      <c r="X222" s="218">
        <f>ROUND(AC222*'[1]数据-取费表'!$B$41/(1+'[1]数据-取费表'!$C$42),0)</f>
        <v>0</v>
      </c>
      <c r="Y222" s="218">
        <f>ROUND(AC222*'[1]数据-取费表'!$B$51/(1+'[1]数据-取费表'!$C$42),0)</f>
        <v>0</v>
      </c>
      <c r="Z222" s="218">
        <f t="shared" si="150"/>
        <v>0</v>
      </c>
      <c r="AA222" s="218">
        <f t="shared" si="151"/>
        <v>0</v>
      </c>
      <c r="AB222" s="240">
        <f t="shared" si="168"/>
        <v>8.77</v>
      </c>
      <c r="AC222" s="218"/>
      <c r="AD222" s="218">
        <f t="shared" si="169"/>
        <v>0</v>
      </c>
      <c r="AE222" s="218">
        <f t="shared" si="170"/>
        <v>0</v>
      </c>
      <c r="AF222" s="225"/>
      <c r="AG222" s="218"/>
      <c r="AH222" s="226"/>
      <c r="AI222" s="218">
        <f t="shared" si="182"/>
        <v>-123.25</v>
      </c>
      <c r="AJ222" s="218">
        <f t="shared" si="152"/>
        <v>0</v>
      </c>
      <c r="AK222" s="224">
        <f t="shared" si="153"/>
        <v>0</v>
      </c>
      <c r="AL222" s="220">
        <f t="shared" si="154"/>
        <v>2.8</v>
      </c>
      <c r="AM222" s="218">
        <f t="shared" si="155"/>
        <v>0</v>
      </c>
      <c r="AN222" s="218">
        <f t="shared" si="156"/>
        <v>0</v>
      </c>
      <c r="AO222" s="218">
        <f t="shared" si="157"/>
        <v>0</v>
      </c>
      <c r="AP222" s="218">
        <f>ROUND(AV222*'[1]数据-取费表'!$B$41/(1+'[1]数据-取费表'!$B$42),0)</f>
        <v>0</v>
      </c>
      <c r="AQ222" s="218">
        <f>ROUND(AV222*'[1]数据-取费表'!B$51/(1+'[1]数据-取费表'!C$42),0)</f>
        <v>0</v>
      </c>
      <c r="AR222" s="218">
        <f t="shared" si="158"/>
        <v>0</v>
      </c>
      <c r="AS222" s="218">
        <f t="shared" si="171"/>
        <v>0</v>
      </c>
      <c r="AT222" s="223">
        <f t="shared" si="186"/>
        <v>8.77</v>
      </c>
      <c r="AU222" s="224">
        <f t="shared" si="172"/>
        <v>0.23</v>
      </c>
      <c r="AV222" s="218">
        <f t="shared" si="173"/>
        <v>0</v>
      </c>
      <c r="AW222" s="218">
        <f t="shared" si="174"/>
        <v>0</v>
      </c>
      <c r="AX222" s="218">
        <f t="shared" si="159"/>
        <v>0</v>
      </c>
      <c r="AY222" s="218">
        <f t="shared" si="183"/>
        <v>153.44</v>
      </c>
      <c r="AZ222" s="227">
        <f t="shared" si="184"/>
        <v>0</v>
      </c>
      <c r="BA222" s="227">
        <f t="shared" si="175"/>
        <v>0</v>
      </c>
      <c r="BB222" s="229">
        <f t="shared" si="160"/>
        <v>0</v>
      </c>
      <c r="BC222" s="229">
        <f t="shared" si="185"/>
        <v>0</v>
      </c>
      <c r="BD222" s="229">
        <f t="shared" si="176"/>
        <v>0</v>
      </c>
      <c r="BE222" s="227">
        <f t="shared" si="177"/>
        <v>0</v>
      </c>
      <c r="BF222" s="227">
        <f t="shared" si="178"/>
        <v>0</v>
      </c>
      <c r="BG222" s="227">
        <f t="shared" si="161"/>
        <v>0</v>
      </c>
      <c r="BH222" s="227">
        <f t="shared" si="162"/>
        <v>0</v>
      </c>
      <c r="BI222" s="227">
        <f>ROUND(BE222*'[1]数据-取费表'!$B$51/(1+'[1]数据-取费表'!$C$42),0)</f>
        <v>0</v>
      </c>
      <c r="BJ222" s="227">
        <f>ROUND(BG222*'[1]数据-取费表'!B$41/(1+'[1]数据-取费表'!C$42),0)</f>
        <v>0</v>
      </c>
      <c r="BK222" s="227">
        <f t="shared" si="163"/>
        <v>0</v>
      </c>
      <c r="BL222" s="227">
        <f t="shared" si="164"/>
        <v>0</v>
      </c>
      <c r="BM222" s="227">
        <f t="shared" si="179"/>
        <v>0</v>
      </c>
      <c r="BN222" s="228">
        <f t="shared" si="165"/>
        <v>0</v>
      </c>
      <c r="BO222" s="229"/>
      <c r="BP222" s="229"/>
      <c r="BQ222" s="229"/>
      <c r="BR222" s="194"/>
    </row>
    <row r="223" spans="1:71" x14ac:dyDescent="0.2">
      <c r="A223" s="146">
        <v>206</v>
      </c>
      <c r="B223" s="125" t="s">
        <v>82</v>
      </c>
      <c r="C223" s="126" t="s">
        <v>85</v>
      </c>
      <c r="D223" s="127">
        <v>2801</v>
      </c>
      <c r="E223" s="127">
        <v>134.94</v>
      </c>
      <c r="F223" s="127" t="s">
        <v>83</v>
      </c>
      <c r="G223" s="127" t="s">
        <v>75</v>
      </c>
      <c r="H223" s="128">
        <v>56009</v>
      </c>
      <c r="I223" s="128">
        <v>44987</v>
      </c>
      <c r="J223" s="127">
        <f>IF(F223="商业",[1]项目基本情况!D$15,[1]项目基本情况!E$15)</f>
        <v>30.19</v>
      </c>
      <c r="K223" s="127" t="s">
        <v>84</v>
      </c>
      <c r="L223" s="218">
        <f>SUM(E223:E224)</f>
        <v>342.91999999999996</v>
      </c>
      <c r="M223" s="127">
        <v>24</v>
      </c>
      <c r="N223" s="127" t="s">
        <v>12</v>
      </c>
      <c r="O223" s="127">
        <v>2008</v>
      </c>
      <c r="P223" s="218">
        <f t="shared" si="148"/>
        <v>64.099999999999994</v>
      </c>
      <c r="Q223" s="218">
        <f>ROUND(P223*'[1]数据-取费表'!B$52,0)</f>
        <v>1923</v>
      </c>
      <c r="R223" s="218">
        <f t="shared" si="180"/>
        <v>3885822</v>
      </c>
      <c r="S223" s="218">
        <f t="shared" si="166"/>
        <v>58287</v>
      </c>
      <c r="T223" s="220">
        <v>0.8</v>
      </c>
      <c r="U223" s="218">
        <f t="shared" si="181"/>
        <v>3108658</v>
      </c>
      <c r="V223" s="218">
        <f t="shared" si="149"/>
        <v>3109</v>
      </c>
      <c r="W223" s="218">
        <f t="shared" si="167"/>
        <v>1752</v>
      </c>
      <c r="X223" s="218">
        <f>ROUND(AC223*'[1]数据-取费表'!$B$41/(1+'[1]数据-取费表'!$C$42),0)</f>
        <v>18617</v>
      </c>
      <c r="Y223" s="218">
        <f>ROUND(AC223*'[1]数据-取费表'!$B$51/(1+'[1]数据-取费表'!$C$42),0)</f>
        <v>39894</v>
      </c>
      <c r="Z223" s="218">
        <f t="shared" si="150"/>
        <v>60434</v>
      </c>
      <c r="AA223" s="218">
        <f t="shared" si="151"/>
        <v>123582</v>
      </c>
      <c r="AB223" s="240">
        <f>ROUND(AC223/365/L223,2)</f>
        <v>2.79</v>
      </c>
      <c r="AC223" s="218">
        <v>349075</v>
      </c>
      <c r="AD223" s="218">
        <f t="shared" si="169"/>
        <v>1309</v>
      </c>
      <c r="AE223" s="218">
        <f t="shared" si="170"/>
        <v>350384</v>
      </c>
      <c r="AF223" s="225">
        <v>0</v>
      </c>
      <c r="AG223" s="218"/>
      <c r="AH223" s="226">
        <v>45169</v>
      </c>
      <c r="AI223" s="218">
        <f t="shared" si="182"/>
        <v>0.49</v>
      </c>
      <c r="AJ223" s="218">
        <f t="shared" si="152"/>
        <v>226802</v>
      </c>
      <c r="AK223" s="224">
        <f t="shared" si="153"/>
        <v>106778</v>
      </c>
      <c r="AL223" s="220">
        <f t="shared" si="154"/>
        <v>0.75</v>
      </c>
      <c r="AM223" s="218">
        <f t="shared" si="155"/>
        <v>2914367</v>
      </c>
      <c r="AN223" s="218">
        <f t="shared" si="156"/>
        <v>2914</v>
      </c>
      <c r="AO223" s="218">
        <f t="shared" si="157"/>
        <v>5032</v>
      </c>
      <c r="AP223" s="218">
        <f>ROUND(AV223*'[1]数据-取费表'!$B$41/(1+'[1]数据-取费表'!$B$42),0)</f>
        <v>53471</v>
      </c>
      <c r="AQ223" s="218">
        <f>ROUND(AV223*'[1]数据-取费表'!B$51/(1+'[1]数据-取费表'!C$42),0)</f>
        <v>114580</v>
      </c>
      <c r="AR223" s="218">
        <f t="shared" si="158"/>
        <v>169974</v>
      </c>
      <c r="AS223" s="218">
        <f t="shared" si="171"/>
        <v>236207</v>
      </c>
      <c r="AT223" s="223">
        <f t="shared" si="186"/>
        <v>8.77</v>
      </c>
      <c r="AU223" s="224">
        <f t="shared" si="172"/>
        <v>8.9</v>
      </c>
      <c r="AV223" s="218">
        <f t="shared" si="173"/>
        <v>1002578</v>
      </c>
      <c r="AW223" s="218">
        <f t="shared" si="174"/>
        <v>3760</v>
      </c>
      <c r="AX223" s="218">
        <f t="shared" si="159"/>
        <v>1006338</v>
      </c>
      <c r="AY223" s="218">
        <f t="shared" si="183"/>
        <v>29.700000000000003</v>
      </c>
      <c r="AZ223" s="227">
        <f t="shared" si="184"/>
        <v>770131</v>
      </c>
      <c r="BA223" s="227">
        <f t="shared" si="175"/>
        <v>15694278</v>
      </c>
      <c r="BB223" s="229">
        <f t="shared" si="160"/>
        <v>15287893</v>
      </c>
      <c r="BC223" s="229">
        <f t="shared" si="185"/>
        <v>232157</v>
      </c>
      <c r="BD223" s="229">
        <f t="shared" si="176"/>
        <v>1562.68</v>
      </c>
      <c r="BE223" s="227">
        <f t="shared" si="177"/>
        <v>987934</v>
      </c>
      <c r="BF223" s="227">
        <f t="shared" si="178"/>
        <v>3705</v>
      </c>
      <c r="BG223" s="227">
        <f t="shared" si="161"/>
        <v>991639</v>
      </c>
      <c r="BH223" s="227">
        <f t="shared" si="162"/>
        <v>4958</v>
      </c>
      <c r="BI223" s="227">
        <f>ROUND(BE223*'[1]数据-取费表'!$B$51/(1+'[1]数据-取费表'!$C$42),0)</f>
        <v>112907</v>
      </c>
      <c r="BJ223" s="227">
        <f>ROUND(BG223*'[1]数据-取费表'!B$41/(1+'[1]数据-取费表'!C$42),0)</f>
        <v>52887</v>
      </c>
      <c r="BK223" s="227">
        <f t="shared" si="163"/>
        <v>234071</v>
      </c>
      <c r="BL223" s="227">
        <f t="shared" si="164"/>
        <v>757568</v>
      </c>
      <c r="BM223" s="227">
        <f t="shared" si="179"/>
        <v>354008</v>
      </c>
      <c r="BN223" s="228">
        <f t="shared" si="165"/>
        <v>247230</v>
      </c>
      <c r="BO223" s="229">
        <f>BD223/$BD$234*$BS$3</f>
        <v>2170.759403385443</v>
      </c>
      <c r="BP223" s="229"/>
      <c r="BQ223" s="229"/>
      <c r="BR223" s="194"/>
    </row>
    <row r="224" spans="1:71" x14ac:dyDescent="0.2">
      <c r="A224" s="146">
        <v>207</v>
      </c>
      <c r="B224" s="125" t="s">
        <v>82</v>
      </c>
      <c r="C224" s="126" t="s">
        <v>85</v>
      </c>
      <c r="D224" s="127">
        <v>2812</v>
      </c>
      <c r="E224" s="127">
        <v>207.98</v>
      </c>
      <c r="F224" s="127" t="s">
        <v>83</v>
      </c>
      <c r="G224" s="127" t="s">
        <v>75</v>
      </c>
      <c r="H224" s="128">
        <v>56009</v>
      </c>
      <c r="I224" s="128">
        <v>44987</v>
      </c>
      <c r="J224" s="127">
        <f>IF(F224="商业",[1]项目基本情况!D$15,[1]项目基本情况!E$15)</f>
        <v>30.19</v>
      </c>
      <c r="K224" s="127" t="s">
        <v>84</v>
      </c>
      <c r="L224" s="218"/>
      <c r="M224" s="127">
        <v>24</v>
      </c>
      <c r="N224" s="127" t="s">
        <v>12</v>
      </c>
      <c r="O224" s="127">
        <v>2008</v>
      </c>
      <c r="P224" s="218">
        <f t="shared" si="148"/>
        <v>0</v>
      </c>
      <c r="Q224" s="218">
        <f>ROUND(P224*'[1]数据-取费表'!B$52,0)</f>
        <v>0</v>
      </c>
      <c r="R224" s="218">
        <f t="shared" si="180"/>
        <v>0</v>
      </c>
      <c r="S224" s="218">
        <f t="shared" si="166"/>
        <v>0</v>
      </c>
      <c r="T224" s="220">
        <v>0.8</v>
      </c>
      <c r="U224" s="218">
        <f t="shared" si="181"/>
        <v>0</v>
      </c>
      <c r="V224" s="218">
        <f t="shared" si="149"/>
        <v>0</v>
      </c>
      <c r="W224" s="218">
        <f t="shared" si="167"/>
        <v>0</v>
      </c>
      <c r="X224" s="218">
        <f>ROUND(AC224*'[1]数据-取费表'!$B$41/(1+'[1]数据-取费表'!$C$42),0)</f>
        <v>0</v>
      </c>
      <c r="Y224" s="218">
        <f>ROUND(AC224*'[1]数据-取费表'!$B$51/(1+'[1]数据-取费表'!$C$42),0)</f>
        <v>0</v>
      </c>
      <c r="Z224" s="218">
        <f t="shared" si="150"/>
        <v>0</v>
      </c>
      <c r="AA224" s="218">
        <f t="shared" si="151"/>
        <v>0</v>
      </c>
      <c r="AB224" s="240">
        <f t="shared" si="168"/>
        <v>8.77</v>
      </c>
      <c r="AC224" s="218"/>
      <c r="AD224" s="218">
        <f t="shared" si="169"/>
        <v>0</v>
      </c>
      <c r="AE224" s="218">
        <f t="shared" si="170"/>
        <v>0</v>
      </c>
      <c r="AF224" s="225"/>
      <c r="AG224" s="218"/>
      <c r="AH224" s="226"/>
      <c r="AI224" s="218">
        <f t="shared" si="182"/>
        <v>-123.25</v>
      </c>
      <c r="AJ224" s="218">
        <f t="shared" si="152"/>
        <v>0</v>
      </c>
      <c r="AK224" s="224">
        <f t="shared" si="153"/>
        <v>0</v>
      </c>
      <c r="AL224" s="220">
        <f t="shared" si="154"/>
        <v>2.8</v>
      </c>
      <c r="AM224" s="218">
        <f t="shared" si="155"/>
        <v>0</v>
      </c>
      <c r="AN224" s="218">
        <f t="shared" si="156"/>
        <v>0</v>
      </c>
      <c r="AO224" s="218">
        <f t="shared" si="157"/>
        <v>0</v>
      </c>
      <c r="AP224" s="218">
        <f>ROUND(AV224*'[1]数据-取费表'!$B$41/(1+'[1]数据-取费表'!$B$42),0)</f>
        <v>0</v>
      </c>
      <c r="AQ224" s="218">
        <f>ROUND(AV224*'[1]数据-取费表'!B$51/(1+'[1]数据-取费表'!C$42),0)</f>
        <v>0</v>
      </c>
      <c r="AR224" s="218">
        <f t="shared" si="158"/>
        <v>0</v>
      </c>
      <c r="AS224" s="218">
        <f t="shared" si="171"/>
        <v>0</v>
      </c>
      <c r="AT224" s="223">
        <f t="shared" si="186"/>
        <v>8.77</v>
      </c>
      <c r="AU224" s="224">
        <f t="shared" si="172"/>
        <v>0.23</v>
      </c>
      <c r="AV224" s="218">
        <f t="shared" si="173"/>
        <v>0</v>
      </c>
      <c r="AW224" s="218">
        <f t="shared" si="174"/>
        <v>0</v>
      </c>
      <c r="AX224" s="218">
        <f t="shared" si="159"/>
        <v>0</v>
      </c>
      <c r="AY224" s="218">
        <f t="shared" si="183"/>
        <v>153.44</v>
      </c>
      <c r="AZ224" s="227">
        <f t="shared" si="184"/>
        <v>0</v>
      </c>
      <c r="BA224" s="227">
        <f t="shared" si="175"/>
        <v>0</v>
      </c>
      <c r="BB224" s="229">
        <f t="shared" si="160"/>
        <v>0</v>
      </c>
      <c r="BC224" s="229">
        <f t="shared" si="185"/>
        <v>0</v>
      </c>
      <c r="BD224" s="229">
        <f t="shared" si="176"/>
        <v>0</v>
      </c>
      <c r="BE224" s="227">
        <f t="shared" si="177"/>
        <v>0</v>
      </c>
      <c r="BF224" s="227">
        <f t="shared" si="178"/>
        <v>0</v>
      </c>
      <c r="BG224" s="227">
        <f t="shared" si="161"/>
        <v>0</v>
      </c>
      <c r="BH224" s="227">
        <f t="shared" si="162"/>
        <v>0</v>
      </c>
      <c r="BI224" s="227">
        <f>ROUND(BE224*'[1]数据-取费表'!$B$51/(1+'[1]数据-取费表'!$C$42),0)</f>
        <v>0</v>
      </c>
      <c r="BJ224" s="227">
        <f>ROUND(BG224*'[1]数据-取费表'!B$41/(1+'[1]数据-取费表'!C$42),0)</f>
        <v>0</v>
      </c>
      <c r="BK224" s="227">
        <f t="shared" si="163"/>
        <v>0</v>
      </c>
      <c r="BL224" s="227">
        <f t="shared" si="164"/>
        <v>0</v>
      </c>
      <c r="BM224" s="227">
        <f t="shared" si="179"/>
        <v>0</v>
      </c>
      <c r="BN224" s="228">
        <f t="shared" si="165"/>
        <v>0</v>
      </c>
      <c r="BO224" s="229"/>
      <c r="BP224" s="229"/>
      <c r="BQ224" s="229"/>
      <c r="BR224" s="194"/>
    </row>
    <row r="225" spans="1:71" ht="12.75" customHeight="1" x14ac:dyDescent="0.2">
      <c r="A225" s="146">
        <v>208</v>
      </c>
      <c r="B225" s="141" t="s">
        <v>82</v>
      </c>
      <c r="C225" s="142" t="s">
        <v>85</v>
      </c>
      <c r="D225" s="143">
        <v>2901</v>
      </c>
      <c r="E225" s="143">
        <v>134.94</v>
      </c>
      <c r="F225" s="143" t="s">
        <v>83</v>
      </c>
      <c r="G225" s="143" t="s">
        <v>75</v>
      </c>
      <c r="H225" s="144">
        <v>56009</v>
      </c>
      <c r="I225" s="144">
        <v>44987</v>
      </c>
      <c r="J225" s="143">
        <f>IF(F225="商业",[1]项目基本情况!D$15,[1]项目基本情况!E$15)</f>
        <v>30.19</v>
      </c>
      <c r="K225" s="143" t="s">
        <v>84</v>
      </c>
      <c r="L225" s="230">
        <f>SUM(E225:E228)</f>
        <v>687.63</v>
      </c>
      <c r="M225" s="143">
        <v>25</v>
      </c>
      <c r="N225" s="143" t="s">
        <v>12</v>
      </c>
      <c r="O225" s="143">
        <v>2008</v>
      </c>
      <c r="P225" s="230">
        <f t="shared" si="148"/>
        <v>128.53</v>
      </c>
      <c r="Q225" s="230">
        <f>ROUND(P225*'[1]数据-取费表'!B$52,0)</f>
        <v>3856</v>
      </c>
      <c r="R225" s="230">
        <f t="shared" si="180"/>
        <v>7791927</v>
      </c>
      <c r="S225" s="230">
        <f t="shared" si="166"/>
        <v>116879</v>
      </c>
      <c r="T225" s="233">
        <v>0.8</v>
      </c>
      <c r="U225" s="230">
        <f t="shared" si="181"/>
        <v>6233542</v>
      </c>
      <c r="V225" s="230">
        <f t="shared" si="149"/>
        <v>6234</v>
      </c>
      <c r="W225" s="230">
        <f t="shared" si="167"/>
        <v>2852</v>
      </c>
      <c r="X225" s="230">
        <f>ROUND(AC225*'[1]数据-取费表'!$B$41/(1+'[1]数据-取费表'!$C$42),0)</f>
        <v>30311</v>
      </c>
      <c r="Y225" s="230">
        <f>ROUND(AC225*'[1]数据-取费表'!$B$51/(1+'[1]数据-取费表'!$C$42),0)</f>
        <v>64953</v>
      </c>
      <c r="Z225" s="230">
        <f t="shared" si="150"/>
        <v>99120</v>
      </c>
      <c r="AA225" s="230">
        <f t="shared" si="151"/>
        <v>225085</v>
      </c>
      <c r="AB225" s="231">
        <f>ROUND(AC225/365/L225,2)</f>
        <v>2.2599999999999998</v>
      </c>
      <c r="AC225" s="230">
        <v>568340</v>
      </c>
      <c r="AD225" s="230">
        <f t="shared" si="169"/>
        <v>2131</v>
      </c>
      <c r="AE225" s="230">
        <f t="shared" si="170"/>
        <v>570471</v>
      </c>
      <c r="AF225" s="232">
        <v>0</v>
      </c>
      <c r="AG225" s="230"/>
      <c r="AH225" s="236">
        <v>45169</v>
      </c>
      <c r="AI225" s="230">
        <f t="shared" si="182"/>
        <v>0.49</v>
      </c>
      <c r="AJ225" s="230">
        <f t="shared" si="152"/>
        <v>345386</v>
      </c>
      <c r="AK225" s="235">
        <f t="shared" si="153"/>
        <v>162607</v>
      </c>
      <c r="AL225" s="233">
        <f t="shared" si="154"/>
        <v>0.75</v>
      </c>
      <c r="AM225" s="230">
        <f t="shared" si="155"/>
        <v>5843945</v>
      </c>
      <c r="AN225" s="230">
        <f t="shared" si="156"/>
        <v>5844</v>
      </c>
      <c r="AO225" s="230">
        <f t="shared" si="157"/>
        <v>10090</v>
      </c>
      <c r="AP225" s="230">
        <f>ROUND(AV225*'[1]数据-取费表'!$B$41/(1+'[1]数据-取费表'!$B$42),0)</f>
        <v>107221</v>
      </c>
      <c r="AQ225" s="230">
        <f>ROUND(AV225*'[1]数据-取费表'!B$51/(1+'[1]数据-取费表'!C$42),0)</f>
        <v>229759</v>
      </c>
      <c r="AR225" s="230">
        <f t="shared" si="158"/>
        <v>340836</v>
      </c>
      <c r="AS225" s="230">
        <f t="shared" si="171"/>
        <v>473649</v>
      </c>
      <c r="AT225" s="234">
        <f t="shared" si="186"/>
        <v>8.77</v>
      </c>
      <c r="AU225" s="235">
        <f t="shared" si="172"/>
        <v>8.9</v>
      </c>
      <c r="AV225" s="230">
        <f t="shared" si="173"/>
        <v>2010389</v>
      </c>
      <c r="AW225" s="230">
        <f t="shared" si="174"/>
        <v>7539</v>
      </c>
      <c r="AX225" s="230">
        <f t="shared" si="159"/>
        <v>2017928</v>
      </c>
      <c r="AY225" s="230">
        <f t="shared" si="183"/>
        <v>29.700000000000003</v>
      </c>
      <c r="AZ225" s="237">
        <f t="shared" si="184"/>
        <v>1544279</v>
      </c>
      <c r="BA225" s="237">
        <f t="shared" si="175"/>
        <v>31470417</v>
      </c>
      <c r="BB225" s="239">
        <f t="shared" si="160"/>
        <v>30655527</v>
      </c>
      <c r="BC225" s="239">
        <f t="shared" si="185"/>
        <v>465526</v>
      </c>
      <c r="BD225" s="239">
        <f t="shared" si="176"/>
        <v>3128.37</v>
      </c>
      <c r="BE225" s="237">
        <f t="shared" si="177"/>
        <v>1981024</v>
      </c>
      <c r="BF225" s="237">
        <f t="shared" si="178"/>
        <v>7429</v>
      </c>
      <c r="BG225" s="237">
        <f t="shared" si="161"/>
        <v>1988453</v>
      </c>
      <c r="BH225" s="237">
        <f t="shared" si="162"/>
        <v>9942</v>
      </c>
      <c r="BI225" s="237">
        <f>ROUND(BE225*'[1]数据-取费表'!$B$51/(1+'[1]数据-取费表'!$C$42),0)</f>
        <v>226403</v>
      </c>
      <c r="BJ225" s="237">
        <f>ROUND(BG225*'[1]数据-取费表'!B$41/(1+'[1]数据-取费表'!C$42),0)</f>
        <v>106051</v>
      </c>
      <c r="BK225" s="237">
        <f t="shared" si="163"/>
        <v>469365</v>
      </c>
      <c r="BL225" s="237">
        <f t="shared" si="164"/>
        <v>1519088</v>
      </c>
      <c r="BM225" s="237">
        <f t="shared" si="179"/>
        <v>709863</v>
      </c>
      <c r="BN225" s="238">
        <f t="shared" si="165"/>
        <v>547256</v>
      </c>
      <c r="BO225" s="239">
        <f>BD225/$BD$234*$BS$3</f>
        <v>4345.7000760033516</v>
      </c>
      <c r="BP225" s="239">
        <f>SUM(BO225:BO229)</f>
        <v>4815.1968783916918</v>
      </c>
      <c r="BQ225" s="239">
        <f>ROUND(BP225*10000/BS225,0)</f>
        <v>63295</v>
      </c>
      <c r="BR225" s="195"/>
      <c r="BS225" s="20">
        <f>SUM(E225:E229)</f>
        <v>760.76</v>
      </c>
    </row>
    <row r="226" spans="1:71" x14ac:dyDescent="0.2">
      <c r="A226" s="146">
        <v>209</v>
      </c>
      <c r="B226" s="141" t="s">
        <v>82</v>
      </c>
      <c r="C226" s="142" t="s">
        <v>85</v>
      </c>
      <c r="D226" s="143">
        <v>2902</v>
      </c>
      <c r="E226" s="143">
        <v>215.08</v>
      </c>
      <c r="F226" s="143" t="s">
        <v>83</v>
      </c>
      <c r="G226" s="143" t="s">
        <v>75</v>
      </c>
      <c r="H226" s="144">
        <v>56009</v>
      </c>
      <c r="I226" s="144">
        <v>44987</v>
      </c>
      <c r="J226" s="143">
        <f>IF(F226="商业",[1]项目基本情况!D$15,[1]项目基本情况!E$15)</f>
        <v>30.19</v>
      </c>
      <c r="K226" s="143" t="s">
        <v>84</v>
      </c>
      <c r="L226" s="230"/>
      <c r="M226" s="143">
        <v>25</v>
      </c>
      <c r="N226" s="143" t="s">
        <v>12</v>
      </c>
      <c r="O226" s="143">
        <v>2008</v>
      </c>
      <c r="P226" s="230">
        <f t="shared" si="148"/>
        <v>0</v>
      </c>
      <c r="Q226" s="230">
        <f>ROUND(P226*'[1]数据-取费表'!B$52,0)</f>
        <v>0</v>
      </c>
      <c r="R226" s="230">
        <f t="shared" si="180"/>
        <v>0</v>
      </c>
      <c r="S226" s="230">
        <f t="shared" si="166"/>
        <v>0</v>
      </c>
      <c r="T226" s="233">
        <v>0.8</v>
      </c>
      <c r="U226" s="230">
        <f t="shared" si="181"/>
        <v>0</v>
      </c>
      <c r="V226" s="230">
        <f t="shared" si="149"/>
        <v>0</v>
      </c>
      <c r="W226" s="230">
        <f t="shared" si="167"/>
        <v>0</v>
      </c>
      <c r="X226" s="230">
        <f>ROUND(AC226*'[1]数据-取费表'!$B$41/(1+'[1]数据-取费表'!$C$42),0)</f>
        <v>0</v>
      </c>
      <c r="Y226" s="230">
        <f>ROUND(AC226*'[1]数据-取费表'!$B$51/(1+'[1]数据-取费表'!$C$42),0)</f>
        <v>0</v>
      </c>
      <c r="Z226" s="230">
        <f t="shared" si="150"/>
        <v>0</v>
      </c>
      <c r="AA226" s="230">
        <f t="shared" si="151"/>
        <v>0</v>
      </c>
      <c r="AB226" s="231">
        <f t="shared" si="168"/>
        <v>8.77</v>
      </c>
      <c r="AC226" s="230"/>
      <c r="AD226" s="230">
        <f t="shared" si="169"/>
        <v>0</v>
      </c>
      <c r="AE226" s="230">
        <f t="shared" si="170"/>
        <v>0</v>
      </c>
      <c r="AF226" s="232"/>
      <c r="AG226" s="230"/>
      <c r="AH226" s="236"/>
      <c r="AI226" s="230">
        <f t="shared" si="182"/>
        <v>-123.25</v>
      </c>
      <c r="AJ226" s="230">
        <f t="shared" si="152"/>
        <v>0</v>
      </c>
      <c r="AK226" s="235">
        <f t="shared" si="153"/>
        <v>0</v>
      </c>
      <c r="AL226" s="233">
        <f t="shared" si="154"/>
        <v>2.8</v>
      </c>
      <c r="AM226" s="230">
        <f t="shared" si="155"/>
        <v>0</v>
      </c>
      <c r="AN226" s="230">
        <f t="shared" si="156"/>
        <v>0</v>
      </c>
      <c r="AO226" s="230">
        <f t="shared" si="157"/>
        <v>0</v>
      </c>
      <c r="AP226" s="230">
        <f>ROUND(AV226*'[1]数据-取费表'!$B$41/(1+'[1]数据-取费表'!$B$42),0)</f>
        <v>0</v>
      </c>
      <c r="AQ226" s="230">
        <f>ROUND(AV226*'[1]数据-取费表'!B$51/(1+'[1]数据-取费表'!C$42),0)</f>
        <v>0</v>
      </c>
      <c r="AR226" s="230">
        <f t="shared" si="158"/>
        <v>0</v>
      </c>
      <c r="AS226" s="230">
        <f t="shared" si="171"/>
        <v>0</v>
      </c>
      <c r="AT226" s="234">
        <f t="shared" si="186"/>
        <v>8.77</v>
      </c>
      <c r="AU226" s="235">
        <f t="shared" si="172"/>
        <v>0.23</v>
      </c>
      <c r="AV226" s="230">
        <f t="shared" si="173"/>
        <v>0</v>
      </c>
      <c r="AW226" s="230">
        <f t="shared" si="174"/>
        <v>0</v>
      </c>
      <c r="AX226" s="230">
        <f t="shared" si="159"/>
        <v>0</v>
      </c>
      <c r="AY226" s="230">
        <f t="shared" si="183"/>
        <v>153.44</v>
      </c>
      <c r="AZ226" s="237">
        <f t="shared" si="184"/>
        <v>0</v>
      </c>
      <c r="BA226" s="237">
        <f t="shared" si="175"/>
        <v>0</v>
      </c>
      <c r="BB226" s="239">
        <f t="shared" si="160"/>
        <v>0</v>
      </c>
      <c r="BC226" s="239">
        <f t="shared" si="185"/>
        <v>0</v>
      </c>
      <c r="BD226" s="239">
        <f t="shared" si="176"/>
        <v>0</v>
      </c>
      <c r="BE226" s="237">
        <f t="shared" si="177"/>
        <v>0</v>
      </c>
      <c r="BF226" s="237">
        <f t="shared" si="178"/>
        <v>0</v>
      </c>
      <c r="BG226" s="237">
        <f t="shared" si="161"/>
        <v>0</v>
      </c>
      <c r="BH226" s="237">
        <f t="shared" si="162"/>
        <v>0</v>
      </c>
      <c r="BI226" s="237">
        <f>ROUND(BE226*'[1]数据-取费表'!$B$51/(1+'[1]数据-取费表'!$C$42),0)</f>
        <v>0</v>
      </c>
      <c r="BJ226" s="237">
        <f>ROUND(BG226*'[1]数据-取费表'!B$41/(1+'[1]数据-取费表'!C$42),0)</f>
        <v>0</v>
      </c>
      <c r="BK226" s="237">
        <f t="shared" si="163"/>
        <v>0</v>
      </c>
      <c r="BL226" s="237">
        <f t="shared" si="164"/>
        <v>0</v>
      </c>
      <c r="BM226" s="237">
        <f t="shared" si="179"/>
        <v>0</v>
      </c>
      <c r="BN226" s="238">
        <f t="shared" si="165"/>
        <v>0</v>
      </c>
      <c r="BO226" s="239"/>
      <c r="BP226" s="239"/>
      <c r="BQ226" s="239"/>
      <c r="BR226" s="195"/>
    </row>
    <row r="227" spans="1:71" x14ac:dyDescent="0.2">
      <c r="A227" s="146">
        <v>210</v>
      </c>
      <c r="B227" s="141" t="s">
        <v>82</v>
      </c>
      <c r="C227" s="142" t="s">
        <v>85</v>
      </c>
      <c r="D227" s="143">
        <v>2905</v>
      </c>
      <c r="E227" s="143">
        <v>131.43</v>
      </c>
      <c r="F227" s="143" t="s">
        <v>83</v>
      </c>
      <c r="G227" s="143" t="s">
        <v>75</v>
      </c>
      <c r="H227" s="144">
        <v>56009</v>
      </c>
      <c r="I227" s="144">
        <v>44987</v>
      </c>
      <c r="J227" s="143">
        <f>IF(F227="商业",[1]项目基本情况!D$15,[1]项目基本情况!E$15)</f>
        <v>30.19</v>
      </c>
      <c r="K227" s="143" t="s">
        <v>84</v>
      </c>
      <c r="L227" s="230"/>
      <c r="M227" s="143">
        <v>25</v>
      </c>
      <c r="N227" s="143" t="s">
        <v>12</v>
      </c>
      <c r="O227" s="143">
        <v>2008</v>
      </c>
      <c r="P227" s="230">
        <f t="shared" si="148"/>
        <v>0</v>
      </c>
      <c r="Q227" s="230">
        <f>ROUND(P227*'[1]数据-取费表'!B$52,0)</f>
        <v>0</v>
      </c>
      <c r="R227" s="230">
        <f t="shared" si="180"/>
        <v>0</v>
      </c>
      <c r="S227" s="230">
        <f t="shared" si="166"/>
        <v>0</v>
      </c>
      <c r="T227" s="233">
        <v>0.8</v>
      </c>
      <c r="U227" s="230">
        <f t="shared" si="181"/>
        <v>0</v>
      </c>
      <c r="V227" s="230">
        <f t="shared" si="149"/>
        <v>0</v>
      </c>
      <c r="W227" s="230">
        <f t="shared" si="167"/>
        <v>0</v>
      </c>
      <c r="X227" s="230">
        <f>ROUND(AC227*'[1]数据-取费表'!$B$41/(1+'[1]数据-取费表'!$C$42),0)</f>
        <v>0</v>
      </c>
      <c r="Y227" s="230">
        <f>ROUND(AC227*'[1]数据-取费表'!$B$51/(1+'[1]数据-取费表'!$C$42),0)</f>
        <v>0</v>
      </c>
      <c r="Z227" s="230">
        <f t="shared" si="150"/>
        <v>0</v>
      </c>
      <c r="AA227" s="230">
        <f t="shared" si="151"/>
        <v>0</v>
      </c>
      <c r="AB227" s="231">
        <f t="shared" si="168"/>
        <v>8.77</v>
      </c>
      <c r="AC227" s="230"/>
      <c r="AD227" s="230">
        <f t="shared" si="169"/>
        <v>0</v>
      </c>
      <c r="AE227" s="230">
        <f t="shared" si="170"/>
        <v>0</v>
      </c>
      <c r="AF227" s="232"/>
      <c r="AG227" s="230"/>
      <c r="AH227" s="236"/>
      <c r="AI227" s="230">
        <f t="shared" si="182"/>
        <v>-123.25</v>
      </c>
      <c r="AJ227" s="230">
        <f t="shared" si="152"/>
        <v>0</v>
      </c>
      <c r="AK227" s="235">
        <f t="shared" si="153"/>
        <v>0</v>
      </c>
      <c r="AL227" s="233">
        <f t="shared" si="154"/>
        <v>2.8</v>
      </c>
      <c r="AM227" s="230">
        <f t="shared" si="155"/>
        <v>0</v>
      </c>
      <c r="AN227" s="230">
        <f t="shared" si="156"/>
        <v>0</v>
      </c>
      <c r="AO227" s="230">
        <f t="shared" si="157"/>
        <v>0</v>
      </c>
      <c r="AP227" s="230">
        <f>ROUND(AV227*'[1]数据-取费表'!$B$41/(1+'[1]数据-取费表'!$B$42),0)</f>
        <v>0</v>
      </c>
      <c r="AQ227" s="230">
        <f>ROUND(AV227*'[1]数据-取费表'!B$51/(1+'[1]数据-取费表'!C$42),0)</f>
        <v>0</v>
      </c>
      <c r="AR227" s="230">
        <f t="shared" si="158"/>
        <v>0</v>
      </c>
      <c r="AS227" s="230">
        <f t="shared" si="171"/>
        <v>0</v>
      </c>
      <c r="AT227" s="234">
        <f t="shared" si="186"/>
        <v>8.77</v>
      </c>
      <c r="AU227" s="235">
        <f t="shared" si="172"/>
        <v>0.23</v>
      </c>
      <c r="AV227" s="230">
        <f t="shared" si="173"/>
        <v>0</v>
      </c>
      <c r="AW227" s="230">
        <f t="shared" si="174"/>
        <v>0</v>
      </c>
      <c r="AX227" s="230">
        <f t="shared" si="159"/>
        <v>0</v>
      </c>
      <c r="AY227" s="230">
        <f t="shared" si="183"/>
        <v>153.44</v>
      </c>
      <c r="AZ227" s="237">
        <f t="shared" si="184"/>
        <v>0</v>
      </c>
      <c r="BA227" s="237">
        <f t="shared" si="175"/>
        <v>0</v>
      </c>
      <c r="BB227" s="239">
        <f t="shared" si="160"/>
        <v>0</v>
      </c>
      <c r="BC227" s="239">
        <f t="shared" si="185"/>
        <v>0</v>
      </c>
      <c r="BD227" s="239">
        <f t="shared" si="176"/>
        <v>0</v>
      </c>
      <c r="BE227" s="237">
        <f t="shared" si="177"/>
        <v>0</v>
      </c>
      <c r="BF227" s="237">
        <f t="shared" si="178"/>
        <v>0</v>
      </c>
      <c r="BG227" s="237">
        <f t="shared" si="161"/>
        <v>0</v>
      </c>
      <c r="BH227" s="237">
        <f t="shared" si="162"/>
        <v>0</v>
      </c>
      <c r="BI227" s="237">
        <f>ROUND(BE227*'[1]数据-取费表'!$B$51/(1+'[1]数据-取费表'!$C$42),0)</f>
        <v>0</v>
      </c>
      <c r="BJ227" s="237">
        <f>ROUND(BG227*'[1]数据-取费表'!B$41/(1+'[1]数据-取费表'!C$42),0)</f>
        <v>0</v>
      </c>
      <c r="BK227" s="237">
        <f t="shared" si="163"/>
        <v>0</v>
      </c>
      <c r="BL227" s="237">
        <f t="shared" si="164"/>
        <v>0</v>
      </c>
      <c r="BM227" s="237">
        <f t="shared" si="179"/>
        <v>0</v>
      </c>
      <c r="BN227" s="238">
        <f t="shared" si="165"/>
        <v>0</v>
      </c>
      <c r="BO227" s="239"/>
      <c r="BP227" s="239"/>
      <c r="BQ227" s="239"/>
      <c r="BR227" s="195"/>
    </row>
    <row r="228" spans="1:71" x14ac:dyDescent="0.2">
      <c r="A228" s="146">
        <v>211</v>
      </c>
      <c r="B228" s="141" t="s">
        <v>82</v>
      </c>
      <c r="C228" s="142" t="s">
        <v>85</v>
      </c>
      <c r="D228" s="143">
        <v>2906</v>
      </c>
      <c r="E228" s="143">
        <v>206.18</v>
      </c>
      <c r="F228" s="143" t="s">
        <v>83</v>
      </c>
      <c r="G228" s="143" t="s">
        <v>75</v>
      </c>
      <c r="H228" s="144">
        <v>56009</v>
      </c>
      <c r="I228" s="144">
        <v>44987</v>
      </c>
      <c r="J228" s="143">
        <f>IF(F228="商业",[1]项目基本情况!D$15,[1]项目基本情况!E$15)</f>
        <v>30.19</v>
      </c>
      <c r="K228" s="143" t="s">
        <v>84</v>
      </c>
      <c r="L228" s="230"/>
      <c r="M228" s="143">
        <v>25</v>
      </c>
      <c r="N228" s="143" t="s">
        <v>12</v>
      </c>
      <c r="O228" s="143">
        <v>2008</v>
      </c>
      <c r="P228" s="230">
        <f t="shared" si="148"/>
        <v>0</v>
      </c>
      <c r="Q228" s="230">
        <f>ROUND(P228*'[1]数据-取费表'!B$52,0)</f>
        <v>0</v>
      </c>
      <c r="R228" s="230">
        <f t="shared" si="180"/>
        <v>0</v>
      </c>
      <c r="S228" s="230">
        <f t="shared" si="166"/>
        <v>0</v>
      </c>
      <c r="T228" s="233">
        <v>0.8</v>
      </c>
      <c r="U228" s="230">
        <f t="shared" si="181"/>
        <v>0</v>
      </c>
      <c r="V228" s="230">
        <f t="shared" si="149"/>
        <v>0</v>
      </c>
      <c r="W228" s="230">
        <f t="shared" si="167"/>
        <v>0</v>
      </c>
      <c r="X228" s="230">
        <f>ROUND(AC228*'[1]数据-取费表'!$B$41/(1+'[1]数据-取费表'!$C$42),0)</f>
        <v>0</v>
      </c>
      <c r="Y228" s="230">
        <f>ROUND(AC228*'[1]数据-取费表'!$B$51/(1+'[1]数据-取费表'!$C$42),0)</f>
        <v>0</v>
      </c>
      <c r="Z228" s="230">
        <f t="shared" si="150"/>
        <v>0</v>
      </c>
      <c r="AA228" s="230">
        <f t="shared" si="151"/>
        <v>0</v>
      </c>
      <c r="AB228" s="231">
        <f t="shared" si="168"/>
        <v>8.77</v>
      </c>
      <c r="AC228" s="230"/>
      <c r="AD228" s="230">
        <f t="shared" si="169"/>
        <v>0</v>
      </c>
      <c r="AE228" s="230">
        <f t="shared" si="170"/>
        <v>0</v>
      </c>
      <c r="AF228" s="232"/>
      <c r="AG228" s="230"/>
      <c r="AH228" s="236"/>
      <c r="AI228" s="230">
        <f t="shared" si="182"/>
        <v>-123.25</v>
      </c>
      <c r="AJ228" s="230">
        <f t="shared" si="152"/>
        <v>0</v>
      </c>
      <c r="AK228" s="235">
        <f t="shared" si="153"/>
        <v>0</v>
      </c>
      <c r="AL228" s="233">
        <f t="shared" si="154"/>
        <v>2.8</v>
      </c>
      <c r="AM228" s="230">
        <f t="shared" si="155"/>
        <v>0</v>
      </c>
      <c r="AN228" s="230">
        <f t="shared" si="156"/>
        <v>0</v>
      </c>
      <c r="AO228" s="230">
        <f t="shared" si="157"/>
        <v>0</v>
      </c>
      <c r="AP228" s="230">
        <f>ROUND(AV228*'[1]数据-取费表'!$B$41/(1+'[1]数据-取费表'!$B$42),0)</f>
        <v>0</v>
      </c>
      <c r="AQ228" s="230">
        <f>ROUND(AV228*'[1]数据-取费表'!B$51/(1+'[1]数据-取费表'!C$42),0)</f>
        <v>0</v>
      </c>
      <c r="AR228" s="230">
        <f t="shared" si="158"/>
        <v>0</v>
      </c>
      <c r="AS228" s="230">
        <f t="shared" si="171"/>
        <v>0</v>
      </c>
      <c r="AT228" s="234">
        <f t="shared" si="186"/>
        <v>8.77</v>
      </c>
      <c r="AU228" s="235">
        <f t="shared" si="172"/>
        <v>0.23</v>
      </c>
      <c r="AV228" s="230">
        <f t="shared" si="173"/>
        <v>0</v>
      </c>
      <c r="AW228" s="230">
        <f t="shared" si="174"/>
        <v>0</v>
      </c>
      <c r="AX228" s="230">
        <f t="shared" si="159"/>
        <v>0</v>
      </c>
      <c r="AY228" s="230">
        <f t="shared" si="183"/>
        <v>153.44</v>
      </c>
      <c r="AZ228" s="237">
        <f t="shared" si="184"/>
        <v>0</v>
      </c>
      <c r="BA228" s="237">
        <f t="shared" si="175"/>
        <v>0</v>
      </c>
      <c r="BB228" s="239">
        <f t="shared" si="160"/>
        <v>0</v>
      </c>
      <c r="BC228" s="239">
        <f t="shared" si="185"/>
        <v>0</v>
      </c>
      <c r="BD228" s="239">
        <f t="shared" si="176"/>
        <v>0</v>
      </c>
      <c r="BE228" s="237">
        <f t="shared" si="177"/>
        <v>0</v>
      </c>
      <c r="BF228" s="237">
        <f t="shared" si="178"/>
        <v>0</v>
      </c>
      <c r="BG228" s="237">
        <f t="shared" si="161"/>
        <v>0</v>
      </c>
      <c r="BH228" s="237">
        <f t="shared" si="162"/>
        <v>0</v>
      </c>
      <c r="BI228" s="237">
        <f>ROUND(BE228*'[1]数据-取费表'!$B$51/(1+'[1]数据-取费表'!$C$42),0)</f>
        <v>0</v>
      </c>
      <c r="BJ228" s="237">
        <f>ROUND(BG228*'[1]数据-取费表'!B$41/(1+'[1]数据-取费表'!C$42),0)</f>
        <v>0</v>
      </c>
      <c r="BK228" s="237">
        <f t="shared" si="163"/>
        <v>0</v>
      </c>
      <c r="BL228" s="237">
        <f t="shared" si="164"/>
        <v>0</v>
      </c>
      <c r="BM228" s="237">
        <f t="shared" si="179"/>
        <v>0</v>
      </c>
      <c r="BN228" s="238">
        <f t="shared" si="165"/>
        <v>0</v>
      </c>
      <c r="BO228" s="239"/>
      <c r="BP228" s="239"/>
      <c r="BQ228" s="239"/>
      <c r="BR228" s="195"/>
    </row>
    <row r="229" spans="1:71" x14ac:dyDescent="0.2">
      <c r="A229" s="146">
        <v>212</v>
      </c>
      <c r="B229" s="141" t="s">
        <v>82</v>
      </c>
      <c r="C229" s="142" t="s">
        <v>85</v>
      </c>
      <c r="D229" s="143">
        <v>2903</v>
      </c>
      <c r="E229" s="143">
        <v>73.13</v>
      </c>
      <c r="F229" s="143" t="s">
        <v>83</v>
      </c>
      <c r="G229" s="143" t="s">
        <v>75</v>
      </c>
      <c r="H229" s="144">
        <v>56009</v>
      </c>
      <c r="I229" s="144">
        <v>44987</v>
      </c>
      <c r="J229" s="143">
        <f>IF(F229="商业",[1]项目基本情况!D$15,[1]项目基本情况!E$15)</f>
        <v>30.19</v>
      </c>
      <c r="K229" s="143"/>
      <c r="L229" s="143">
        <v>73.13</v>
      </c>
      <c r="M229" s="143">
        <v>25</v>
      </c>
      <c r="N229" s="143" t="s">
        <v>12</v>
      </c>
      <c r="O229" s="143">
        <v>2008</v>
      </c>
      <c r="P229" s="143">
        <f t="shared" si="148"/>
        <v>13.67</v>
      </c>
      <c r="Q229" s="143">
        <f>ROUND(P229*'[1]数据-取费表'!B$52,0)</f>
        <v>410</v>
      </c>
      <c r="R229" s="143">
        <f t="shared" si="180"/>
        <v>828678</v>
      </c>
      <c r="S229" s="143">
        <f t="shared" si="166"/>
        <v>12430</v>
      </c>
      <c r="T229" s="186">
        <v>0.8</v>
      </c>
      <c r="U229" s="143">
        <f t="shared" si="181"/>
        <v>662942</v>
      </c>
      <c r="V229" s="143">
        <f t="shared" si="149"/>
        <v>663</v>
      </c>
      <c r="W229" s="143">
        <f t="shared" si="167"/>
        <v>1057</v>
      </c>
      <c r="X229" s="143">
        <f>ROUND(AC229*'[1]数据-取费表'!$B$41/(1+'[1]数据-取费表'!$C$42),0)</f>
        <v>11236</v>
      </c>
      <c r="Y229" s="143">
        <f>ROUND(AC229*'[1]数据-取费表'!$B$51/(1+'[1]数据-取费表'!$C$42),0)</f>
        <v>24078</v>
      </c>
      <c r="Z229" s="143">
        <f t="shared" si="150"/>
        <v>35724</v>
      </c>
      <c r="AA229" s="143">
        <f t="shared" si="151"/>
        <v>49874</v>
      </c>
      <c r="AB229" s="187">
        <f t="shared" si="168"/>
        <v>8.77</v>
      </c>
      <c r="AC229" s="143">
        <f>ROUND(AB229*365*L229*(1-I$2),0)</f>
        <v>210684</v>
      </c>
      <c r="AD229" s="143">
        <f t="shared" si="169"/>
        <v>790</v>
      </c>
      <c r="AE229" s="143">
        <f t="shared" si="170"/>
        <v>211474</v>
      </c>
      <c r="AF229" s="176">
        <f>H$2</f>
        <v>0.03</v>
      </c>
      <c r="AG229" s="143"/>
      <c r="AH229" s="144">
        <f>H229</f>
        <v>56009</v>
      </c>
      <c r="AI229" s="143">
        <f t="shared" si="182"/>
        <v>30.19</v>
      </c>
      <c r="AJ229" s="143">
        <f t="shared" si="152"/>
        <v>161600</v>
      </c>
      <c r="AK229" s="188">
        <f t="shared" si="153"/>
        <v>3330242</v>
      </c>
      <c r="AL229" s="186">
        <f t="shared" si="154"/>
        <v>0.25</v>
      </c>
      <c r="AM229" s="143">
        <f t="shared" si="155"/>
        <v>0</v>
      </c>
      <c r="AN229" s="143">
        <f t="shared" si="156"/>
        <v>0</v>
      </c>
      <c r="AO229" s="143">
        <f t="shared" si="157"/>
        <v>0</v>
      </c>
      <c r="AP229" s="143">
        <f>ROUND(AV229*'[1]数据-取费表'!$B$41/(1+'[1]数据-取费表'!$B$42),0)</f>
        <v>0</v>
      </c>
      <c r="AQ229" s="143">
        <f>ROUND(AV229*'[1]数据-取费表'!B$51/(1+'[1]数据-取费表'!C$42),0)</f>
        <v>0</v>
      </c>
      <c r="AR229" s="143">
        <f t="shared" si="158"/>
        <v>0</v>
      </c>
      <c r="AS229" s="143">
        <f t="shared" si="171"/>
        <v>0</v>
      </c>
      <c r="AT229" s="189">
        <f t="shared" si="186"/>
        <v>8.77</v>
      </c>
      <c r="AU229" s="188">
        <f t="shared" si="172"/>
        <v>21.41</v>
      </c>
      <c r="AV229" s="143">
        <f t="shared" si="173"/>
        <v>0</v>
      </c>
      <c r="AW229" s="143">
        <f t="shared" si="174"/>
        <v>0</v>
      </c>
      <c r="AX229" s="143">
        <f t="shared" si="159"/>
        <v>0</v>
      </c>
      <c r="AY229" s="143">
        <f t="shared" si="183"/>
        <v>0</v>
      </c>
      <c r="AZ229" s="190">
        <f t="shared" si="184"/>
        <v>0</v>
      </c>
      <c r="BA229" s="190">
        <f t="shared" si="175"/>
        <v>0</v>
      </c>
      <c r="BB229" s="191">
        <f t="shared" si="160"/>
        <v>0</v>
      </c>
      <c r="BC229" s="191">
        <f t="shared" si="185"/>
        <v>49509</v>
      </c>
      <c r="BD229" s="191">
        <f t="shared" si="176"/>
        <v>337.98</v>
      </c>
      <c r="BE229" s="190">
        <f t="shared" si="177"/>
        <v>0</v>
      </c>
      <c r="BF229" s="190">
        <f t="shared" si="178"/>
        <v>0</v>
      </c>
      <c r="BG229" s="190">
        <f t="shared" si="161"/>
        <v>0</v>
      </c>
      <c r="BH229" s="190">
        <f t="shared" si="162"/>
        <v>0</v>
      </c>
      <c r="BI229" s="190">
        <f>ROUND(BE229*'[1]数据-取费表'!$B$51/(1+'[1]数据-取费表'!$C$42),0)</f>
        <v>0</v>
      </c>
      <c r="BJ229" s="190">
        <f>ROUND(BG229*'[1]数据-取费表'!B$41/(1+'[1]数据-取费表'!C$42),0)</f>
        <v>0</v>
      </c>
      <c r="BK229" s="190">
        <f t="shared" si="163"/>
        <v>0</v>
      </c>
      <c r="BL229" s="190">
        <f t="shared" si="164"/>
        <v>0</v>
      </c>
      <c r="BM229" s="190">
        <f t="shared" si="179"/>
        <v>0</v>
      </c>
      <c r="BN229" s="192">
        <f t="shared" si="165"/>
        <v>0</v>
      </c>
      <c r="BO229" s="183">
        <f>BD229/$BD$234*$BS$3</f>
        <v>469.49680238834065</v>
      </c>
      <c r="BP229" s="239"/>
      <c r="BQ229" s="239"/>
      <c r="BR229" s="195"/>
    </row>
    <row r="230" spans="1:71" x14ac:dyDescent="0.2">
      <c r="A230" s="146">
        <v>213</v>
      </c>
      <c r="B230" s="125" t="s">
        <v>82</v>
      </c>
      <c r="C230" s="126" t="s">
        <v>85</v>
      </c>
      <c r="D230" s="127">
        <v>3001</v>
      </c>
      <c r="E230" s="127">
        <v>243.26</v>
      </c>
      <c r="F230" s="127" t="s">
        <v>83</v>
      </c>
      <c r="G230" s="127" t="s">
        <v>75</v>
      </c>
      <c r="H230" s="128">
        <v>56009</v>
      </c>
      <c r="I230" s="128">
        <v>44987</v>
      </c>
      <c r="J230" s="127">
        <f>IF(F230="商业",[1]项目基本情况!D$15,[1]项目基本情况!E$15)</f>
        <v>30.19</v>
      </c>
      <c r="K230" s="127"/>
      <c r="L230" s="127">
        <v>243.26</v>
      </c>
      <c r="M230" s="127">
        <v>26</v>
      </c>
      <c r="N230" s="127" t="s">
        <v>12</v>
      </c>
      <c r="O230" s="127">
        <v>2008</v>
      </c>
      <c r="P230" s="127">
        <f t="shared" si="148"/>
        <v>45.47</v>
      </c>
      <c r="Q230" s="127">
        <f>ROUND(P230*'[1]数据-取费表'!B$52,0)</f>
        <v>1364</v>
      </c>
      <c r="R230" s="127">
        <f t="shared" si="180"/>
        <v>2756518</v>
      </c>
      <c r="S230" s="127">
        <f t="shared" si="166"/>
        <v>41348</v>
      </c>
      <c r="T230" s="147">
        <v>0.8</v>
      </c>
      <c r="U230" s="127">
        <f t="shared" si="181"/>
        <v>2205214</v>
      </c>
      <c r="V230" s="127">
        <f t="shared" si="149"/>
        <v>2205</v>
      </c>
      <c r="W230" s="127">
        <f t="shared" si="167"/>
        <v>3517</v>
      </c>
      <c r="X230" s="127">
        <f>ROUND(AC230*'[1]数据-取费表'!$B$41/(1+'[1]数据-取费表'!$C$42),0)</f>
        <v>37377</v>
      </c>
      <c r="Y230" s="127">
        <f>ROUND(AC230*'[1]数据-取费表'!$B$51/(1+'[1]数据-取费表'!$C$42),0)</f>
        <v>80094</v>
      </c>
      <c r="Z230" s="127">
        <f t="shared" si="150"/>
        <v>118835</v>
      </c>
      <c r="AA230" s="127">
        <f t="shared" si="151"/>
        <v>165905</v>
      </c>
      <c r="AB230" s="148">
        <f t="shared" si="168"/>
        <v>8.77</v>
      </c>
      <c r="AC230" s="127">
        <f>ROUND(AB230*365*L230*(1-I$2),0)</f>
        <v>700819</v>
      </c>
      <c r="AD230" s="127">
        <f t="shared" si="169"/>
        <v>2628</v>
      </c>
      <c r="AE230" s="127">
        <f t="shared" si="170"/>
        <v>703447</v>
      </c>
      <c r="AF230" s="133">
        <f>H$2</f>
        <v>0.03</v>
      </c>
      <c r="AG230" s="127"/>
      <c r="AH230" s="128">
        <f>H230</f>
        <v>56009</v>
      </c>
      <c r="AI230" s="127">
        <f t="shared" si="182"/>
        <v>30.19</v>
      </c>
      <c r="AJ230" s="127">
        <f t="shared" si="152"/>
        <v>537542</v>
      </c>
      <c r="AK230" s="149">
        <f t="shared" si="153"/>
        <v>11077631</v>
      </c>
      <c r="AL230" s="147">
        <f t="shared" si="154"/>
        <v>0.25</v>
      </c>
      <c r="AM230" s="127">
        <f t="shared" si="155"/>
        <v>0</v>
      </c>
      <c r="AN230" s="127">
        <f t="shared" si="156"/>
        <v>0</v>
      </c>
      <c r="AO230" s="127">
        <f t="shared" si="157"/>
        <v>0</v>
      </c>
      <c r="AP230" s="127">
        <f>ROUND(AV230*'[1]数据-取费表'!$B$41/(1+'[1]数据-取费表'!$B$42),0)</f>
        <v>0</v>
      </c>
      <c r="AQ230" s="127">
        <f>ROUND(AV230*'[1]数据-取费表'!B$51/(1+'[1]数据-取费表'!C$42),0)</f>
        <v>0</v>
      </c>
      <c r="AR230" s="127">
        <f t="shared" si="158"/>
        <v>0</v>
      </c>
      <c r="AS230" s="127">
        <f t="shared" si="171"/>
        <v>0</v>
      </c>
      <c r="AT230" s="150">
        <f t="shared" si="186"/>
        <v>8.77</v>
      </c>
      <c r="AU230" s="149">
        <f t="shared" si="172"/>
        <v>21.41</v>
      </c>
      <c r="AV230" s="127">
        <f t="shared" si="173"/>
        <v>0</v>
      </c>
      <c r="AW230" s="127">
        <f t="shared" si="174"/>
        <v>0</v>
      </c>
      <c r="AX230" s="127">
        <f t="shared" si="159"/>
        <v>0</v>
      </c>
      <c r="AY230" s="127">
        <f t="shared" si="183"/>
        <v>0</v>
      </c>
      <c r="AZ230" s="151">
        <f t="shared" si="184"/>
        <v>0</v>
      </c>
      <c r="BA230" s="151">
        <f t="shared" si="175"/>
        <v>0</v>
      </c>
      <c r="BB230" s="152">
        <f t="shared" si="160"/>
        <v>0</v>
      </c>
      <c r="BC230" s="152">
        <f t="shared" si="185"/>
        <v>164687</v>
      </c>
      <c r="BD230" s="152">
        <f t="shared" si="176"/>
        <v>1124.23</v>
      </c>
      <c r="BE230" s="151">
        <f t="shared" si="177"/>
        <v>0</v>
      </c>
      <c r="BF230" s="151">
        <f t="shared" si="178"/>
        <v>0</v>
      </c>
      <c r="BG230" s="151">
        <f t="shared" si="161"/>
        <v>0</v>
      </c>
      <c r="BH230" s="151">
        <f t="shared" si="162"/>
        <v>0</v>
      </c>
      <c r="BI230" s="151">
        <f>ROUND(BE230*'[1]数据-取费表'!$B$51/(1+'[1]数据-取费表'!$C$42),0)</f>
        <v>0</v>
      </c>
      <c r="BJ230" s="151">
        <f>ROUND(BG230*'[1]数据-取费表'!B$41/(1+'[1]数据-取费表'!C$42),0)</f>
        <v>0</v>
      </c>
      <c r="BK230" s="151">
        <f t="shared" si="163"/>
        <v>0</v>
      </c>
      <c r="BL230" s="151">
        <f t="shared" si="164"/>
        <v>0</v>
      </c>
      <c r="BM230" s="151">
        <f t="shared" si="179"/>
        <v>0</v>
      </c>
      <c r="BN230" s="166">
        <f t="shared" si="165"/>
        <v>0</v>
      </c>
      <c r="BO230" s="140">
        <f t="shared" ref="BO230:BO233" si="189">BD230/$BD$234*$BS$3</f>
        <v>1561.697112696148</v>
      </c>
      <c r="BP230" s="229">
        <f>SUM(BO230:BO233)</f>
        <v>5051.1677104578139</v>
      </c>
      <c r="BQ230" s="229">
        <f>ROUND(BP230*10000/BS230,0)</f>
        <v>64199</v>
      </c>
      <c r="BR230" s="194"/>
      <c r="BS230" s="20">
        <f>SUM(E230:E233)</f>
        <v>786.8</v>
      </c>
    </row>
    <row r="231" spans="1:71" x14ac:dyDescent="0.2">
      <c r="A231" s="146">
        <v>214</v>
      </c>
      <c r="B231" s="125" t="s">
        <v>82</v>
      </c>
      <c r="C231" s="126" t="s">
        <v>85</v>
      </c>
      <c r="D231" s="127">
        <v>3002</v>
      </c>
      <c r="E231" s="127">
        <v>203.56</v>
      </c>
      <c r="F231" s="127" t="s">
        <v>83</v>
      </c>
      <c r="G231" s="127" t="s">
        <v>75</v>
      </c>
      <c r="H231" s="128">
        <v>56009</v>
      </c>
      <c r="I231" s="128">
        <v>44987</v>
      </c>
      <c r="J231" s="127">
        <f>IF(F231="商业",[1]项目基本情况!D$15,[1]项目基本情况!E$15)</f>
        <v>30.19</v>
      </c>
      <c r="K231" s="127"/>
      <c r="L231" s="127">
        <v>203.56</v>
      </c>
      <c r="M231" s="127">
        <v>26</v>
      </c>
      <c r="N231" s="127" t="s">
        <v>12</v>
      </c>
      <c r="O231" s="127">
        <v>2008</v>
      </c>
      <c r="P231" s="127">
        <f t="shared" si="148"/>
        <v>38.049999999999997</v>
      </c>
      <c r="Q231" s="127">
        <f>ROUND(P231*'[1]数据-取费表'!B$52,0)</f>
        <v>1142</v>
      </c>
      <c r="R231" s="127">
        <f t="shared" si="180"/>
        <v>2306654</v>
      </c>
      <c r="S231" s="127">
        <f t="shared" si="166"/>
        <v>34600</v>
      </c>
      <c r="T231" s="147">
        <v>0.8</v>
      </c>
      <c r="U231" s="127">
        <f t="shared" si="181"/>
        <v>1845323</v>
      </c>
      <c r="V231" s="127">
        <f t="shared" si="149"/>
        <v>1845</v>
      </c>
      <c r="W231" s="127">
        <f t="shared" si="167"/>
        <v>2943</v>
      </c>
      <c r="X231" s="127">
        <f>ROUND(AC231*'[1]数据-取费表'!$B$41/(1+'[1]数据-取费表'!$C$42),0)</f>
        <v>31277</v>
      </c>
      <c r="Y231" s="127">
        <f>ROUND(AC231*'[1]数据-取费表'!$B$51/(1+'[1]数据-取费表'!$C$42),0)</f>
        <v>67022</v>
      </c>
      <c r="Z231" s="127">
        <f t="shared" si="150"/>
        <v>99441</v>
      </c>
      <c r="AA231" s="127">
        <f t="shared" si="151"/>
        <v>138829</v>
      </c>
      <c r="AB231" s="148">
        <f t="shared" si="168"/>
        <v>8.77</v>
      </c>
      <c r="AC231" s="127">
        <f>ROUND(AB231*365*L231*(1-I$2),0)</f>
        <v>586445</v>
      </c>
      <c r="AD231" s="127">
        <f t="shared" si="169"/>
        <v>2199</v>
      </c>
      <c r="AE231" s="127">
        <f t="shared" si="170"/>
        <v>588644</v>
      </c>
      <c r="AF231" s="133">
        <f>H$2</f>
        <v>0.03</v>
      </c>
      <c r="AG231" s="127"/>
      <c r="AH231" s="128">
        <f>H231</f>
        <v>56009</v>
      </c>
      <c r="AI231" s="127">
        <f t="shared" si="182"/>
        <v>30.19</v>
      </c>
      <c r="AJ231" s="127">
        <f t="shared" si="152"/>
        <v>449815</v>
      </c>
      <c r="AK231" s="149">
        <f t="shared" si="153"/>
        <v>9269758</v>
      </c>
      <c r="AL231" s="147">
        <f t="shared" si="154"/>
        <v>0.25</v>
      </c>
      <c r="AM231" s="127">
        <f t="shared" si="155"/>
        <v>0</v>
      </c>
      <c r="AN231" s="127">
        <f t="shared" si="156"/>
        <v>0</v>
      </c>
      <c r="AO231" s="127">
        <f t="shared" si="157"/>
        <v>0</v>
      </c>
      <c r="AP231" s="127">
        <f>ROUND(AV231*'[1]数据-取费表'!$B$41/(1+'[1]数据-取费表'!$B$42),0)</f>
        <v>0</v>
      </c>
      <c r="AQ231" s="127">
        <f>ROUND(AV231*'[1]数据-取费表'!B$51/(1+'[1]数据-取费表'!C$42),0)</f>
        <v>0</v>
      </c>
      <c r="AR231" s="127">
        <f t="shared" si="158"/>
        <v>0</v>
      </c>
      <c r="AS231" s="127">
        <f t="shared" si="171"/>
        <v>0</v>
      </c>
      <c r="AT231" s="150">
        <f t="shared" si="186"/>
        <v>8.77</v>
      </c>
      <c r="AU231" s="149">
        <f t="shared" si="172"/>
        <v>21.41</v>
      </c>
      <c r="AV231" s="127">
        <f t="shared" si="173"/>
        <v>0</v>
      </c>
      <c r="AW231" s="127">
        <f t="shared" si="174"/>
        <v>0</v>
      </c>
      <c r="AX231" s="127">
        <f t="shared" si="159"/>
        <v>0</v>
      </c>
      <c r="AY231" s="127">
        <f t="shared" si="183"/>
        <v>0</v>
      </c>
      <c r="AZ231" s="151">
        <f t="shared" si="184"/>
        <v>0</v>
      </c>
      <c r="BA231" s="151">
        <f t="shared" si="175"/>
        <v>0</v>
      </c>
      <c r="BB231" s="152">
        <f t="shared" si="160"/>
        <v>0</v>
      </c>
      <c r="BC231" s="152">
        <f t="shared" si="185"/>
        <v>137810</v>
      </c>
      <c r="BD231" s="152">
        <f t="shared" si="176"/>
        <v>940.76</v>
      </c>
      <c r="BE231" s="151">
        <f t="shared" si="177"/>
        <v>0</v>
      </c>
      <c r="BF231" s="151">
        <f t="shared" si="178"/>
        <v>0</v>
      </c>
      <c r="BG231" s="151">
        <f t="shared" si="161"/>
        <v>0</v>
      </c>
      <c r="BH231" s="151">
        <f t="shared" si="162"/>
        <v>0</v>
      </c>
      <c r="BI231" s="151">
        <f>ROUND(BE231*'[1]数据-取费表'!$B$51/(1+'[1]数据-取费表'!$C$42),0)</f>
        <v>0</v>
      </c>
      <c r="BJ231" s="151">
        <f>ROUND(BG231*'[1]数据-取费表'!B$41/(1+'[1]数据-取费表'!C$42),0)</f>
        <v>0</v>
      </c>
      <c r="BK231" s="151">
        <f t="shared" si="163"/>
        <v>0</v>
      </c>
      <c r="BL231" s="151">
        <f t="shared" si="164"/>
        <v>0</v>
      </c>
      <c r="BM231" s="151">
        <f t="shared" si="179"/>
        <v>0</v>
      </c>
      <c r="BN231" s="166">
        <f t="shared" si="165"/>
        <v>0</v>
      </c>
      <c r="BO231" s="140">
        <f t="shared" si="189"/>
        <v>1306.8341671544331</v>
      </c>
      <c r="BP231" s="229"/>
      <c r="BQ231" s="229"/>
      <c r="BR231" s="194"/>
    </row>
    <row r="232" spans="1:71" x14ac:dyDescent="0.2">
      <c r="A232" s="146">
        <v>215</v>
      </c>
      <c r="B232" s="125" t="s">
        <v>82</v>
      </c>
      <c r="C232" s="126" t="s">
        <v>85</v>
      </c>
      <c r="D232" s="127">
        <v>3003</v>
      </c>
      <c r="E232" s="127">
        <v>131.43</v>
      </c>
      <c r="F232" s="127" t="s">
        <v>83</v>
      </c>
      <c r="G232" s="127" t="s">
        <v>75</v>
      </c>
      <c r="H232" s="128">
        <v>56009</v>
      </c>
      <c r="I232" s="128">
        <v>44987</v>
      </c>
      <c r="J232" s="127">
        <f>IF(F232="商业",[1]项目基本情况!D$15,[1]项目基本情况!E$15)</f>
        <v>30.19</v>
      </c>
      <c r="K232" s="127"/>
      <c r="L232" s="127">
        <v>131.43</v>
      </c>
      <c r="M232" s="127">
        <v>26</v>
      </c>
      <c r="N232" s="127" t="s">
        <v>12</v>
      </c>
      <c r="O232" s="127">
        <v>2008</v>
      </c>
      <c r="P232" s="127">
        <f t="shared" si="148"/>
        <v>24.57</v>
      </c>
      <c r="Q232" s="127">
        <f>ROUND(P232*'[1]数据-取费表'!B$52,0)</f>
        <v>737</v>
      </c>
      <c r="R232" s="127">
        <f t="shared" si="180"/>
        <v>1489308</v>
      </c>
      <c r="S232" s="127">
        <f t="shared" si="166"/>
        <v>22340</v>
      </c>
      <c r="T232" s="147">
        <v>0.8</v>
      </c>
      <c r="U232" s="127">
        <f t="shared" si="181"/>
        <v>1191446</v>
      </c>
      <c r="V232" s="127">
        <f t="shared" si="149"/>
        <v>1191</v>
      </c>
      <c r="W232" s="127">
        <f t="shared" si="167"/>
        <v>1900</v>
      </c>
      <c r="X232" s="127">
        <f>ROUND(AC232*'[1]数据-取费表'!$B$41/(1+'[1]数据-取费表'!$C$42),0)</f>
        <v>20194</v>
      </c>
      <c r="Y232" s="127">
        <f>ROUND(AC232*'[1]数据-取费表'!$B$51/(1+'[1]数据-取费表'!$C$42),0)</f>
        <v>43273</v>
      </c>
      <c r="Z232" s="127">
        <f t="shared" si="150"/>
        <v>64204</v>
      </c>
      <c r="AA232" s="127">
        <f t="shared" si="151"/>
        <v>89635</v>
      </c>
      <c r="AB232" s="148">
        <f t="shared" si="168"/>
        <v>8.77</v>
      </c>
      <c r="AC232" s="127">
        <f>ROUND(AB232*365*L232*(1-I$2),0)</f>
        <v>378643</v>
      </c>
      <c r="AD232" s="127">
        <f t="shared" si="169"/>
        <v>1420</v>
      </c>
      <c r="AE232" s="127">
        <f t="shared" si="170"/>
        <v>380063</v>
      </c>
      <c r="AF232" s="133">
        <f>H$2</f>
        <v>0.03</v>
      </c>
      <c r="AG232" s="127"/>
      <c r="AH232" s="128">
        <f>H232</f>
        <v>56009</v>
      </c>
      <c r="AI232" s="127">
        <f t="shared" si="182"/>
        <v>30.19</v>
      </c>
      <c r="AJ232" s="127">
        <f t="shared" si="152"/>
        <v>290428</v>
      </c>
      <c r="AK232" s="149">
        <f t="shared" si="153"/>
        <v>5985121</v>
      </c>
      <c r="AL232" s="147">
        <f t="shared" si="154"/>
        <v>0.25</v>
      </c>
      <c r="AM232" s="127">
        <f t="shared" si="155"/>
        <v>0</v>
      </c>
      <c r="AN232" s="127">
        <f t="shared" si="156"/>
        <v>0</v>
      </c>
      <c r="AO232" s="127">
        <f t="shared" si="157"/>
        <v>0</v>
      </c>
      <c r="AP232" s="127">
        <f>ROUND(AV232*'[1]数据-取费表'!$B$41/(1+'[1]数据-取费表'!$B$42),0)</f>
        <v>0</v>
      </c>
      <c r="AQ232" s="127">
        <f>ROUND(AV232*'[1]数据-取费表'!B$51/(1+'[1]数据-取费表'!C$42),0)</f>
        <v>0</v>
      </c>
      <c r="AR232" s="127">
        <f t="shared" si="158"/>
        <v>0</v>
      </c>
      <c r="AS232" s="127">
        <f t="shared" si="171"/>
        <v>0</v>
      </c>
      <c r="AT232" s="150">
        <f t="shared" si="186"/>
        <v>8.77</v>
      </c>
      <c r="AU232" s="149">
        <f t="shared" si="172"/>
        <v>21.41</v>
      </c>
      <c r="AV232" s="127">
        <f t="shared" si="173"/>
        <v>0</v>
      </c>
      <c r="AW232" s="127">
        <f t="shared" si="174"/>
        <v>0</v>
      </c>
      <c r="AX232" s="127">
        <f t="shared" si="159"/>
        <v>0</v>
      </c>
      <c r="AY232" s="127">
        <f t="shared" si="183"/>
        <v>0</v>
      </c>
      <c r="AZ232" s="151">
        <f t="shared" si="184"/>
        <v>0</v>
      </c>
      <c r="BA232" s="151">
        <f t="shared" si="175"/>
        <v>0</v>
      </c>
      <c r="BB232" s="152">
        <f t="shared" si="160"/>
        <v>0</v>
      </c>
      <c r="BC232" s="152">
        <f t="shared" si="185"/>
        <v>88978</v>
      </c>
      <c r="BD232" s="152">
        <f t="shared" si="176"/>
        <v>607.41</v>
      </c>
      <c r="BE232" s="151">
        <f t="shared" si="177"/>
        <v>0</v>
      </c>
      <c r="BF232" s="151">
        <f t="shared" si="178"/>
        <v>0</v>
      </c>
      <c r="BG232" s="151">
        <f t="shared" si="161"/>
        <v>0</v>
      </c>
      <c r="BH232" s="151">
        <f t="shared" si="162"/>
        <v>0</v>
      </c>
      <c r="BI232" s="151">
        <f>ROUND(BE232*'[1]数据-取费表'!$B$51/(1+'[1]数据-取费表'!$C$42),0)</f>
        <v>0</v>
      </c>
      <c r="BJ232" s="151">
        <f>ROUND(BG232*'[1]数据-取费表'!B$41/(1+'[1]数据-取费表'!C$42),0)</f>
        <v>0</v>
      </c>
      <c r="BK232" s="151">
        <f t="shared" si="163"/>
        <v>0</v>
      </c>
      <c r="BL232" s="151">
        <f t="shared" si="164"/>
        <v>0</v>
      </c>
      <c r="BM232" s="151">
        <f t="shared" si="179"/>
        <v>0</v>
      </c>
      <c r="BN232" s="166">
        <f t="shared" si="165"/>
        <v>0</v>
      </c>
      <c r="BO232" s="140">
        <f t="shared" si="189"/>
        <v>843.76901810373965</v>
      </c>
      <c r="BP232" s="229"/>
      <c r="BQ232" s="229"/>
      <c r="BR232" s="194"/>
    </row>
    <row r="233" spans="1:71" x14ac:dyDescent="0.2">
      <c r="A233" s="146">
        <v>216</v>
      </c>
      <c r="B233" s="125" t="s">
        <v>82</v>
      </c>
      <c r="C233" s="126" t="s">
        <v>85</v>
      </c>
      <c r="D233" s="127">
        <v>3005</v>
      </c>
      <c r="E233" s="127">
        <v>208.55</v>
      </c>
      <c r="F233" s="127" t="s">
        <v>83</v>
      </c>
      <c r="G233" s="127" t="s">
        <v>75</v>
      </c>
      <c r="H233" s="128">
        <v>56009</v>
      </c>
      <c r="I233" s="128">
        <v>44987</v>
      </c>
      <c r="J233" s="127">
        <f>IF(F233="商业",[1]项目基本情况!D$15,[1]项目基本情况!E$15)</f>
        <v>30.19</v>
      </c>
      <c r="K233" s="127"/>
      <c r="L233" s="127">
        <v>208.55</v>
      </c>
      <c r="M233" s="127">
        <v>26</v>
      </c>
      <c r="N233" s="127" t="s">
        <v>12</v>
      </c>
      <c r="O233" s="127">
        <v>2008</v>
      </c>
      <c r="P233" s="127">
        <f t="shared" si="148"/>
        <v>38.979999999999997</v>
      </c>
      <c r="Q233" s="127">
        <f>ROUND(P233*'[1]数据-取费表'!B$52,0)</f>
        <v>1169</v>
      </c>
      <c r="R233" s="127">
        <f t="shared" si="180"/>
        <v>2363199</v>
      </c>
      <c r="S233" s="127">
        <f t="shared" si="166"/>
        <v>35448</v>
      </c>
      <c r="T233" s="147">
        <v>0.8</v>
      </c>
      <c r="U233" s="127">
        <f t="shared" si="181"/>
        <v>1890559</v>
      </c>
      <c r="V233" s="127">
        <f t="shared" si="149"/>
        <v>1891</v>
      </c>
      <c r="W233" s="127">
        <f t="shared" si="167"/>
        <v>3015</v>
      </c>
      <c r="X233" s="127">
        <f>ROUND(AC233*'[1]数据-取费表'!$B$41/(1+'[1]数据-取费表'!$C$42),0)</f>
        <v>32044</v>
      </c>
      <c r="Y233" s="127">
        <f>ROUND(AC233*'[1]数据-取费表'!$B$51/(1+'[1]数据-取费表'!$C$42),0)</f>
        <v>68665</v>
      </c>
      <c r="Z233" s="127">
        <f t="shared" si="150"/>
        <v>101878</v>
      </c>
      <c r="AA233" s="127">
        <f t="shared" si="151"/>
        <v>142232</v>
      </c>
      <c r="AB233" s="148">
        <f t="shared" si="168"/>
        <v>8.77</v>
      </c>
      <c r="AC233" s="127">
        <f>ROUND(AB233*365*L233*(1-I$2),0)</f>
        <v>600821</v>
      </c>
      <c r="AD233" s="127">
        <f t="shared" si="169"/>
        <v>2253</v>
      </c>
      <c r="AE233" s="127">
        <f t="shared" si="170"/>
        <v>603074</v>
      </c>
      <c r="AF233" s="133">
        <f>H$2</f>
        <v>0.03</v>
      </c>
      <c r="AG233" s="127"/>
      <c r="AH233" s="128">
        <f>H233</f>
        <v>56009</v>
      </c>
      <c r="AI233" s="127">
        <f t="shared" si="182"/>
        <v>30.19</v>
      </c>
      <c r="AJ233" s="127">
        <f t="shared" si="152"/>
        <v>460842</v>
      </c>
      <c r="AK233" s="149">
        <f t="shared" si="153"/>
        <v>9497002</v>
      </c>
      <c r="AL233" s="147">
        <f t="shared" si="154"/>
        <v>0.25</v>
      </c>
      <c r="AM233" s="127">
        <f t="shared" si="155"/>
        <v>0</v>
      </c>
      <c r="AN233" s="127">
        <f t="shared" si="156"/>
        <v>0</v>
      </c>
      <c r="AO233" s="127">
        <f t="shared" si="157"/>
        <v>0</v>
      </c>
      <c r="AP233" s="127">
        <f>ROUND(AV233*'[1]数据-取费表'!$B$41/(1+'[1]数据-取费表'!$B$42),0)</f>
        <v>0</v>
      </c>
      <c r="AQ233" s="127">
        <f>ROUND(AV233*'[1]数据-取费表'!B$51/(1+'[1]数据-取费表'!C$42),0)</f>
        <v>0</v>
      </c>
      <c r="AR233" s="127">
        <f t="shared" si="158"/>
        <v>0</v>
      </c>
      <c r="AS233" s="127">
        <f t="shared" si="171"/>
        <v>0</v>
      </c>
      <c r="AT233" s="150">
        <f t="shared" si="186"/>
        <v>8.77</v>
      </c>
      <c r="AU233" s="149">
        <f t="shared" si="172"/>
        <v>21.41</v>
      </c>
      <c r="AV233" s="127">
        <f t="shared" si="173"/>
        <v>0</v>
      </c>
      <c r="AW233" s="127">
        <f t="shared" si="174"/>
        <v>0</v>
      </c>
      <c r="AX233" s="127">
        <f t="shared" si="159"/>
        <v>0</v>
      </c>
      <c r="AY233" s="127">
        <f t="shared" si="183"/>
        <v>0</v>
      </c>
      <c r="AZ233" s="151">
        <f t="shared" si="184"/>
        <v>0</v>
      </c>
      <c r="BA233" s="151">
        <f t="shared" si="175"/>
        <v>0</v>
      </c>
      <c r="BB233" s="152">
        <f t="shared" si="160"/>
        <v>0</v>
      </c>
      <c r="BC233" s="152">
        <f t="shared" si="185"/>
        <v>141188</v>
      </c>
      <c r="BD233" s="152">
        <f t="shared" si="176"/>
        <v>963.82</v>
      </c>
      <c r="BE233" s="151">
        <f t="shared" si="177"/>
        <v>0</v>
      </c>
      <c r="BF233" s="151">
        <f t="shared" si="178"/>
        <v>0</v>
      </c>
      <c r="BG233" s="151">
        <f t="shared" si="161"/>
        <v>0</v>
      </c>
      <c r="BH233" s="151">
        <f t="shared" si="162"/>
        <v>0</v>
      </c>
      <c r="BI233" s="151">
        <f>ROUND(BE233*'[1]数据-取费表'!$B$51/(1+'[1]数据-取费表'!$C$42),0)</f>
        <v>0</v>
      </c>
      <c r="BJ233" s="151">
        <f>ROUND(BG233*'[1]数据-取费表'!B$41/(1+'[1]数据-取费表'!C$42),0)</f>
        <v>0</v>
      </c>
      <c r="BK233" s="151">
        <f t="shared" si="163"/>
        <v>0</v>
      </c>
      <c r="BL233" s="151">
        <f t="shared" si="164"/>
        <v>0</v>
      </c>
      <c r="BM233" s="151">
        <f t="shared" si="179"/>
        <v>0</v>
      </c>
      <c r="BN233" s="166">
        <f t="shared" si="165"/>
        <v>0</v>
      </c>
      <c r="BO233" s="140">
        <f t="shared" si="189"/>
        <v>1338.8674125034927</v>
      </c>
      <c r="BP233" s="229"/>
      <c r="BQ233" s="229"/>
      <c r="BR233" s="194"/>
    </row>
    <row r="234" spans="1:71" x14ac:dyDescent="0.2">
      <c r="E234" s="20">
        <f>SUM(E5:E233)</f>
        <v>53871.500000000065</v>
      </c>
      <c r="L234" s="90"/>
      <c r="AI234" s="90"/>
      <c r="AK234" s="20">
        <f>ROUND(SUM(AK5:AK233)/10000,2)</f>
        <v>76719.55</v>
      </c>
      <c r="AY234" s="90"/>
      <c r="BB234" s="19">
        <f>ROUND(SUM(BB5:BB233)/10000,2)</f>
        <v>89893.82</v>
      </c>
      <c r="BD234" s="19">
        <f>SUM(BD5:BD233)</f>
        <v>169992.50000000003</v>
      </c>
      <c r="BN234" s="98">
        <f>ROUND(SUM(BN5:BN233)/10000,0)</f>
        <v>10068</v>
      </c>
    </row>
    <row r="235" spans="1:71" x14ac:dyDescent="0.2">
      <c r="G235" s="20" t="s">
        <v>93</v>
      </c>
      <c r="H235" s="20">
        <f>SUMIF(F:F,G235,BD:BD)</f>
        <v>1931.73</v>
      </c>
      <c r="BE235" s="99"/>
    </row>
    <row r="236" spans="1:71" x14ac:dyDescent="0.2">
      <c r="G236" s="20" t="s">
        <v>94</v>
      </c>
      <c r="H236" s="20">
        <f>SUMIF(F:F,G236,BD:BD)</f>
        <v>7244.9299999999994</v>
      </c>
    </row>
    <row r="237" spans="1:71" x14ac:dyDescent="0.2">
      <c r="C237" s="90"/>
      <c r="G237" s="20" t="s">
        <v>78</v>
      </c>
      <c r="H237" s="20">
        <f>SUMIF(F:F,G237,BD:BD)</f>
        <v>3096.87</v>
      </c>
    </row>
    <row r="238" spans="1:71" x14ac:dyDescent="0.2">
      <c r="G238" s="20" t="s">
        <v>95</v>
      </c>
      <c r="H238" s="20">
        <f>SUMIF(F:F,G238,BD:BD)</f>
        <v>157718.97</v>
      </c>
    </row>
    <row r="239" spans="1:71" x14ac:dyDescent="0.2">
      <c r="C239" s="98"/>
      <c r="G239" s="20" t="s">
        <v>96</v>
      </c>
      <c r="H239" s="20">
        <f>H235+H236+H237+H238</f>
        <v>169992.5</v>
      </c>
    </row>
  </sheetData>
  <autoFilter ref="A3:BN239" xr:uid="{00000000-0009-0000-0000-000000000000}"/>
  <mergeCells count="1664">
    <mergeCell ref="BQ151:BQ161"/>
    <mergeCell ref="BQ162:BQ172"/>
    <mergeCell ref="BQ173:BQ183"/>
    <mergeCell ref="BQ184:BQ193"/>
    <mergeCell ref="BQ194:BQ204"/>
    <mergeCell ref="BQ205:BQ214"/>
    <mergeCell ref="BQ215:BQ224"/>
    <mergeCell ref="BQ225:BQ229"/>
    <mergeCell ref="BQ230:BQ233"/>
    <mergeCell ref="BP30:BP44"/>
    <mergeCell ref="BQ30:BQ44"/>
    <mergeCell ref="BQ18:BQ25"/>
    <mergeCell ref="BQ26:BQ29"/>
    <mergeCell ref="BQ45:BQ49"/>
    <mergeCell ref="BQ50:BQ54"/>
    <mergeCell ref="BQ55:BQ61"/>
    <mergeCell ref="BQ62:BQ71"/>
    <mergeCell ref="BQ72:BQ82"/>
    <mergeCell ref="BQ83:BQ92"/>
    <mergeCell ref="BQ93:BQ103"/>
    <mergeCell ref="BQ104:BQ113"/>
    <mergeCell ref="BQ114:BQ124"/>
    <mergeCell ref="BQ125:BQ132"/>
    <mergeCell ref="BQ133:BQ134"/>
    <mergeCell ref="BQ135:BQ144"/>
    <mergeCell ref="BQ145:BQ150"/>
    <mergeCell ref="BP230:BP233"/>
    <mergeCell ref="BP194:BP204"/>
    <mergeCell ref="BK225:BK228"/>
    <mergeCell ref="BL225:BL228"/>
    <mergeCell ref="BM225:BM228"/>
    <mergeCell ref="BN225:BN228"/>
    <mergeCell ref="BO225:BO228"/>
    <mergeCell ref="BP225:BP229"/>
    <mergeCell ref="BE225:BE228"/>
    <mergeCell ref="BF225:BF228"/>
    <mergeCell ref="BG225:BG228"/>
    <mergeCell ref="BH225:BH228"/>
    <mergeCell ref="BI225:BI228"/>
    <mergeCell ref="BJ225:BJ228"/>
    <mergeCell ref="AY225:AY228"/>
    <mergeCell ref="AZ225:AZ228"/>
    <mergeCell ref="BA225:BA228"/>
    <mergeCell ref="BB225:BB228"/>
    <mergeCell ref="BC225:BC228"/>
    <mergeCell ref="BD225:BD228"/>
    <mergeCell ref="AS225:AS228"/>
    <mergeCell ref="AT225:AT228"/>
    <mergeCell ref="AU225:AU228"/>
    <mergeCell ref="AV225:AV228"/>
    <mergeCell ref="AW225:AW228"/>
    <mergeCell ref="AX225:AX228"/>
    <mergeCell ref="AM225:AM228"/>
    <mergeCell ref="AN225:AN228"/>
    <mergeCell ref="AO225:AO228"/>
    <mergeCell ref="AP225:AP228"/>
    <mergeCell ref="AQ225:AQ228"/>
    <mergeCell ref="AR225:AR228"/>
    <mergeCell ref="AG225:AG228"/>
    <mergeCell ref="AH225:AH228"/>
    <mergeCell ref="AI225:AI228"/>
    <mergeCell ref="AJ225:AJ228"/>
    <mergeCell ref="AK225:AK228"/>
    <mergeCell ref="AL225:AL228"/>
    <mergeCell ref="AA225:AA228"/>
    <mergeCell ref="AB225:AB228"/>
    <mergeCell ref="AC225:AC228"/>
    <mergeCell ref="AD225:AD228"/>
    <mergeCell ref="AE225:AE228"/>
    <mergeCell ref="AF225:AF228"/>
    <mergeCell ref="U225:U228"/>
    <mergeCell ref="V225:V228"/>
    <mergeCell ref="W225:W228"/>
    <mergeCell ref="X225:X228"/>
    <mergeCell ref="Y225:Y228"/>
    <mergeCell ref="Z225:Z228"/>
    <mergeCell ref="BL223:BL224"/>
    <mergeCell ref="BM223:BM224"/>
    <mergeCell ref="BN223:BN224"/>
    <mergeCell ref="BO223:BO224"/>
    <mergeCell ref="L225:L228"/>
    <mergeCell ref="P225:P228"/>
    <mergeCell ref="Q225:Q228"/>
    <mergeCell ref="R225:R228"/>
    <mergeCell ref="S225:S228"/>
    <mergeCell ref="T225:T228"/>
    <mergeCell ref="BF223:BF224"/>
    <mergeCell ref="BG223:BG224"/>
    <mergeCell ref="BH223:BH224"/>
    <mergeCell ref="BI223:BI224"/>
    <mergeCell ref="BJ223:BJ224"/>
    <mergeCell ref="BK223:BK224"/>
    <mergeCell ref="AZ223:AZ224"/>
    <mergeCell ref="BA223:BA224"/>
    <mergeCell ref="BB223:BB224"/>
    <mergeCell ref="BC223:BC224"/>
    <mergeCell ref="BD223:BD224"/>
    <mergeCell ref="BE223:BE224"/>
    <mergeCell ref="AT223:AT224"/>
    <mergeCell ref="AU223:AU224"/>
    <mergeCell ref="AV223:AV224"/>
    <mergeCell ref="AW223:AW224"/>
    <mergeCell ref="AX223:AX224"/>
    <mergeCell ref="AY223:AY224"/>
    <mergeCell ref="AN223:AN224"/>
    <mergeCell ref="AO223:AO224"/>
    <mergeCell ref="AP223:AP224"/>
    <mergeCell ref="AQ223:AQ224"/>
    <mergeCell ref="AR223:AR224"/>
    <mergeCell ref="AS223:AS224"/>
    <mergeCell ref="AH223:AH224"/>
    <mergeCell ref="AI223:AI224"/>
    <mergeCell ref="AJ223:AJ224"/>
    <mergeCell ref="AK223:AK224"/>
    <mergeCell ref="AL223:AL224"/>
    <mergeCell ref="AM223:AM224"/>
    <mergeCell ref="AB223:AB224"/>
    <mergeCell ref="AC223:AC224"/>
    <mergeCell ref="AD223:AD224"/>
    <mergeCell ref="AE223:AE224"/>
    <mergeCell ref="AF223:AF224"/>
    <mergeCell ref="AG223:AG224"/>
    <mergeCell ref="V223:V224"/>
    <mergeCell ref="W223:W224"/>
    <mergeCell ref="X223:X224"/>
    <mergeCell ref="Y223:Y224"/>
    <mergeCell ref="Z223:Z224"/>
    <mergeCell ref="AA223:AA224"/>
    <mergeCell ref="BM220:BM222"/>
    <mergeCell ref="BN220:BN222"/>
    <mergeCell ref="BO220:BO222"/>
    <mergeCell ref="L223:L224"/>
    <mergeCell ref="P223:P224"/>
    <mergeCell ref="Q223:Q224"/>
    <mergeCell ref="R223:R224"/>
    <mergeCell ref="S223:S224"/>
    <mergeCell ref="T223:T224"/>
    <mergeCell ref="U223:U224"/>
    <mergeCell ref="BG220:BG222"/>
    <mergeCell ref="BH220:BH222"/>
    <mergeCell ref="BI220:BI222"/>
    <mergeCell ref="BJ220:BJ222"/>
    <mergeCell ref="BK220:BK222"/>
    <mergeCell ref="BL220:BL222"/>
    <mergeCell ref="BA220:BA222"/>
    <mergeCell ref="BB220:BB222"/>
    <mergeCell ref="BC220:BC222"/>
    <mergeCell ref="BD220:BD222"/>
    <mergeCell ref="BE220:BE222"/>
    <mergeCell ref="BF220:BF222"/>
    <mergeCell ref="AU220:AU222"/>
    <mergeCell ref="AV220:AV222"/>
    <mergeCell ref="AW220:AW222"/>
    <mergeCell ref="AX220:AX222"/>
    <mergeCell ref="AY220:AY222"/>
    <mergeCell ref="AZ220:AZ222"/>
    <mergeCell ref="AO220:AO222"/>
    <mergeCell ref="AP220:AP222"/>
    <mergeCell ref="AQ220:AQ222"/>
    <mergeCell ref="AR220:AR222"/>
    <mergeCell ref="AS220:AS222"/>
    <mergeCell ref="AT220:AT222"/>
    <mergeCell ref="AI220:AI222"/>
    <mergeCell ref="AJ220:AJ222"/>
    <mergeCell ref="AK220:AK222"/>
    <mergeCell ref="AL220:AL222"/>
    <mergeCell ref="AM220:AM222"/>
    <mergeCell ref="AN220:AN222"/>
    <mergeCell ref="AC220:AC222"/>
    <mergeCell ref="AD220:AD222"/>
    <mergeCell ref="AE220:AE222"/>
    <mergeCell ref="AF220:AF222"/>
    <mergeCell ref="AG220:AG222"/>
    <mergeCell ref="AH220:AH222"/>
    <mergeCell ref="W220:W222"/>
    <mergeCell ref="X220:X222"/>
    <mergeCell ref="Y220:Y222"/>
    <mergeCell ref="Z220:Z222"/>
    <mergeCell ref="AA220:AA222"/>
    <mergeCell ref="AB220:AB222"/>
    <mergeCell ref="BN217:BN218"/>
    <mergeCell ref="BO217:BO218"/>
    <mergeCell ref="L220:L222"/>
    <mergeCell ref="P220:P222"/>
    <mergeCell ref="Q220:Q222"/>
    <mergeCell ref="R220:R222"/>
    <mergeCell ref="S220:S222"/>
    <mergeCell ref="T220:T222"/>
    <mergeCell ref="U220:U222"/>
    <mergeCell ref="V220:V222"/>
    <mergeCell ref="BH217:BH218"/>
    <mergeCell ref="BI217:BI218"/>
    <mergeCell ref="BJ217:BJ218"/>
    <mergeCell ref="BK217:BK218"/>
    <mergeCell ref="BL217:BL218"/>
    <mergeCell ref="BM217:BM218"/>
    <mergeCell ref="BB217:BB218"/>
    <mergeCell ref="BC217:BC218"/>
    <mergeCell ref="BD217:BD218"/>
    <mergeCell ref="BE217:BE218"/>
    <mergeCell ref="BF217:BF218"/>
    <mergeCell ref="BG217:BG218"/>
    <mergeCell ref="AV217:AV218"/>
    <mergeCell ref="AW217:AW218"/>
    <mergeCell ref="AX217:AX218"/>
    <mergeCell ref="AY217:AY218"/>
    <mergeCell ref="AZ217:AZ218"/>
    <mergeCell ref="BA217:BA218"/>
    <mergeCell ref="AP217:AP218"/>
    <mergeCell ref="AQ217:AQ218"/>
    <mergeCell ref="AR217:AR218"/>
    <mergeCell ref="AS217:AS218"/>
    <mergeCell ref="AT217:AT218"/>
    <mergeCell ref="AU217:AU218"/>
    <mergeCell ref="AJ217:AJ218"/>
    <mergeCell ref="AK217:AK218"/>
    <mergeCell ref="AL217:AL218"/>
    <mergeCell ref="AM217:AM218"/>
    <mergeCell ref="AN217:AN218"/>
    <mergeCell ref="AO217:AO218"/>
    <mergeCell ref="AD217:AD218"/>
    <mergeCell ref="AE217:AE218"/>
    <mergeCell ref="AF217:AF218"/>
    <mergeCell ref="AG217:AG218"/>
    <mergeCell ref="AH217:AH218"/>
    <mergeCell ref="AI217:AI218"/>
    <mergeCell ref="X217:X218"/>
    <mergeCell ref="Y217:Y218"/>
    <mergeCell ref="Z217:Z218"/>
    <mergeCell ref="AA217:AA218"/>
    <mergeCell ref="AB217:AB218"/>
    <mergeCell ref="AC217:AC218"/>
    <mergeCell ref="BP215:BP224"/>
    <mergeCell ref="L217:L218"/>
    <mergeCell ref="P217:P218"/>
    <mergeCell ref="Q217:Q218"/>
    <mergeCell ref="R217:R218"/>
    <mergeCell ref="S217:S218"/>
    <mergeCell ref="T217:T218"/>
    <mergeCell ref="U217:U218"/>
    <mergeCell ref="V217:V218"/>
    <mergeCell ref="W217:W218"/>
    <mergeCell ref="BJ215:BJ216"/>
    <mergeCell ref="BK215:BK216"/>
    <mergeCell ref="BL215:BL216"/>
    <mergeCell ref="BM215:BM216"/>
    <mergeCell ref="BN215:BN216"/>
    <mergeCell ref="BO215:BO216"/>
    <mergeCell ref="BD215:BD216"/>
    <mergeCell ref="BE215:BE216"/>
    <mergeCell ref="BF215:BF216"/>
    <mergeCell ref="BG215:BG216"/>
    <mergeCell ref="BH215:BH216"/>
    <mergeCell ref="BI215:BI216"/>
    <mergeCell ref="AX215:AX216"/>
    <mergeCell ref="AY215:AY216"/>
    <mergeCell ref="AZ215:AZ216"/>
    <mergeCell ref="BA215:BA216"/>
    <mergeCell ref="BB215:BB216"/>
    <mergeCell ref="BC215:BC216"/>
    <mergeCell ref="AR215:AR216"/>
    <mergeCell ref="AS215:AS216"/>
    <mergeCell ref="AT215:AT216"/>
    <mergeCell ref="AU215:AU216"/>
    <mergeCell ref="AV215:AV216"/>
    <mergeCell ref="AW215:AW216"/>
    <mergeCell ref="AL215:AL216"/>
    <mergeCell ref="AM215:AM216"/>
    <mergeCell ref="AN215:AN216"/>
    <mergeCell ref="AO215:AO216"/>
    <mergeCell ref="AP215:AP216"/>
    <mergeCell ref="AQ215:AQ216"/>
    <mergeCell ref="AF215:AF216"/>
    <mergeCell ref="AG215:AG216"/>
    <mergeCell ref="AH215:AH216"/>
    <mergeCell ref="AI215:AI216"/>
    <mergeCell ref="AJ215:AJ216"/>
    <mergeCell ref="AK215:AK216"/>
    <mergeCell ref="Z215:Z216"/>
    <mergeCell ref="AA215:AA216"/>
    <mergeCell ref="AB215:AB216"/>
    <mergeCell ref="AC215:AC216"/>
    <mergeCell ref="AD215:AD216"/>
    <mergeCell ref="AE215:AE216"/>
    <mergeCell ref="T215:T216"/>
    <mergeCell ref="U215:U216"/>
    <mergeCell ref="V215:V216"/>
    <mergeCell ref="W215:W216"/>
    <mergeCell ref="X215:X216"/>
    <mergeCell ref="Y215:Y216"/>
    <mergeCell ref="BK208:BK211"/>
    <mergeCell ref="BL208:BL211"/>
    <mergeCell ref="BM208:BM211"/>
    <mergeCell ref="BN208:BN211"/>
    <mergeCell ref="BO208:BO211"/>
    <mergeCell ref="L215:L216"/>
    <mergeCell ref="P215:P216"/>
    <mergeCell ref="Q215:Q216"/>
    <mergeCell ref="R215:R216"/>
    <mergeCell ref="S215:S216"/>
    <mergeCell ref="BE208:BE211"/>
    <mergeCell ref="BF208:BF211"/>
    <mergeCell ref="BG208:BG211"/>
    <mergeCell ref="BH208:BH211"/>
    <mergeCell ref="BI208:BI211"/>
    <mergeCell ref="BJ208:BJ211"/>
    <mergeCell ref="AY208:AY211"/>
    <mergeCell ref="AZ208:AZ211"/>
    <mergeCell ref="BA208:BA211"/>
    <mergeCell ref="BB208:BB211"/>
    <mergeCell ref="BC208:BC211"/>
    <mergeCell ref="BD208:BD211"/>
    <mergeCell ref="AS208:AS211"/>
    <mergeCell ref="AT208:AT211"/>
    <mergeCell ref="AU208:AU211"/>
    <mergeCell ref="AV208:AV211"/>
    <mergeCell ref="AW208:AW211"/>
    <mergeCell ref="AX208:AX211"/>
    <mergeCell ref="AM208:AM211"/>
    <mergeCell ref="AN208:AN211"/>
    <mergeCell ref="AO208:AO211"/>
    <mergeCell ref="AP208:AP211"/>
    <mergeCell ref="AQ208:AQ211"/>
    <mergeCell ref="AR208:AR211"/>
    <mergeCell ref="AG208:AG211"/>
    <mergeCell ref="AH208:AH211"/>
    <mergeCell ref="AI208:AI211"/>
    <mergeCell ref="AJ208:AJ211"/>
    <mergeCell ref="AK208:AK211"/>
    <mergeCell ref="AL208:AL211"/>
    <mergeCell ref="AA208:AA211"/>
    <mergeCell ref="AB208:AB211"/>
    <mergeCell ref="AC208:AC211"/>
    <mergeCell ref="AD208:AD211"/>
    <mergeCell ref="AE208:AE211"/>
    <mergeCell ref="AF208:AF211"/>
    <mergeCell ref="U208:U211"/>
    <mergeCell ref="V208:V211"/>
    <mergeCell ref="W208:W211"/>
    <mergeCell ref="X208:X211"/>
    <mergeCell ref="Y208:Y211"/>
    <mergeCell ref="Z208:Z211"/>
    <mergeCell ref="BM201:BM202"/>
    <mergeCell ref="BN201:BN202"/>
    <mergeCell ref="BO201:BO202"/>
    <mergeCell ref="BP205:BP214"/>
    <mergeCell ref="L208:L211"/>
    <mergeCell ref="P208:P211"/>
    <mergeCell ref="Q208:Q211"/>
    <mergeCell ref="R208:R211"/>
    <mergeCell ref="S208:S211"/>
    <mergeCell ref="T208:T211"/>
    <mergeCell ref="BG201:BG202"/>
    <mergeCell ref="BH201:BH202"/>
    <mergeCell ref="BI201:BI202"/>
    <mergeCell ref="BJ201:BJ202"/>
    <mergeCell ref="BK201:BK202"/>
    <mergeCell ref="BL201:BL202"/>
    <mergeCell ref="BA201:BA202"/>
    <mergeCell ref="BB201:BB202"/>
    <mergeCell ref="BC201:BC202"/>
    <mergeCell ref="BD201:BD202"/>
    <mergeCell ref="BE201:BE202"/>
    <mergeCell ref="BF201:BF202"/>
    <mergeCell ref="AU201:AU202"/>
    <mergeCell ref="AV201:AV202"/>
    <mergeCell ref="AW201:AW202"/>
    <mergeCell ref="AX201:AX202"/>
    <mergeCell ref="AY201:AY202"/>
    <mergeCell ref="AZ201:AZ202"/>
    <mergeCell ref="AO201:AO202"/>
    <mergeCell ref="AP201:AP202"/>
    <mergeCell ref="AQ201:AQ202"/>
    <mergeCell ref="AR201:AR202"/>
    <mergeCell ref="AS201:AS202"/>
    <mergeCell ref="AT201:AT202"/>
    <mergeCell ref="AI201:AI202"/>
    <mergeCell ref="AJ201:AJ202"/>
    <mergeCell ref="AK201:AK202"/>
    <mergeCell ref="AL201:AL202"/>
    <mergeCell ref="AM201:AM202"/>
    <mergeCell ref="AN201:AN202"/>
    <mergeCell ref="AC201:AC202"/>
    <mergeCell ref="AD201:AD202"/>
    <mergeCell ref="AE201:AE202"/>
    <mergeCell ref="AF201:AF202"/>
    <mergeCell ref="AG201:AG202"/>
    <mergeCell ref="AH201:AH202"/>
    <mergeCell ref="W201:W202"/>
    <mergeCell ref="X201:X202"/>
    <mergeCell ref="Y201:Y202"/>
    <mergeCell ref="Z201:Z202"/>
    <mergeCell ref="AA201:AA202"/>
    <mergeCell ref="AB201:AB202"/>
    <mergeCell ref="BN198:BN199"/>
    <mergeCell ref="BO198:BO199"/>
    <mergeCell ref="L201:L202"/>
    <mergeCell ref="P201:P202"/>
    <mergeCell ref="Q201:Q202"/>
    <mergeCell ref="R201:R202"/>
    <mergeCell ref="S201:S202"/>
    <mergeCell ref="T201:T202"/>
    <mergeCell ref="U201:U202"/>
    <mergeCell ref="V201:V202"/>
    <mergeCell ref="BH198:BH199"/>
    <mergeCell ref="BI198:BI199"/>
    <mergeCell ref="BJ198:BJ199"/>
    <mergeCell ref="BK198:BK199"/>
    <mergeCell ref="BL198:BL199"/>
    <mergeCell ref="BM198:BM199"/>
    <mergeCell ref="BB198:BB199"/>
    <mergeCell ref="BC198:BC199"/>
    <mergeCell ref="BD198:BD199"/>
    <mergeCell ref="BE198:BE199"/>
    <mergeCell ref="BF198:BF199"/>
    <mergeCell ref="BG198:BG199"/>
    <mergeCell ref="AV198:AV199"/>
    <mergeCell ref="AW198:AW199"/>
    <mergeCell ref="AX198:AX199"/>
    <mergeCell ref="AY198:AY199"/>
    <mergeCell ref="AZ198:AZ199"/>
    <mergeCell ref="BA198:BA199"/>
    <mergeCell ref="AP198:AP199"/>
    <mergeCell ref="AQ198:AQ199"/>
    <mergeCell ref="AR198:AR199"/>
    <mergeCell ref="AS198:AS199"/>
    <mergeCell ref="AT198:AT199"/>
    <mergeCell ref="AU198:AU199"/>
    <mergeCell ref="AJ198:AJ199"/>
    <mergeCell ref="AK198:AK199"/>
    <mergeCell ref="AL198:AL199"/>
    <mergeCell ref="AM198:AM199"/>
    <mergeCell ref="AN198:AN199"/>
    <mergeCell ref="AO198:AO199"/>
    <mergeCell ref="AD198:AD199"/>
    <mergeCell ref="AE198:AE199"/>
    <mergeCell ref="AF198:AF199"/>
    <mergeCell ref="AG198:AG199"/>
    <mergeCell ref="AH198:AH199"/>
    <mergeCell ref="AI198:AI199"/>
    <mergeCell ref="X198:X199"/>
    <mergeCell ref="Y198:Y199"/>
    <mergeCell ref="Z198:Z199"/>
    <mergeCell ref="AA198:AA199"/>
    <mergeCell ref="AB198:AB199"/>
    <mergeCell ref="AC198:AC199"/>
    <mergeCell ref="L198:L199"/>
    <mergeCell ref="P198:P199"/>
    <mergeCell ref="Q198:Q199"/>
    <mergeCell ref="R198:R199"/>
    <mergeCell ref="S198:S199"/>
    <mergeCell ref="T198:T199"/>
    <mergeCell ref="U198:U199"/>
    <mergeCell ref="V198:V199"/>
    <mergeCell ref="W198:W199"/>
    <mergeCell ref="BJ194:BJ196"/>
    <mergeCell ref="BK194:BK196"/>
    <mergeCell ref="BL194:BL196"/>
    <mergeCell ref="BM194:BM196"/>
    <mergeCell ref="BN194:BN196"/>
    <mergeCell ref="BO194:BO196"/>
    <mergeCell ref="BD194:BD196"/>
    <mergeCell ref="BE194:BE196"/>
    <mergeCell ref="BF194:BF196"/>
    <mergeCell ref="BG194:BG196"/>
    <mergeCell ref="BH194:BH196"/>
    <mergeCell ref="BI194:BI196"/>
    <mergeCell ref="AX194:AX196"/>
    <mergeCell ref="AY194:AY196"/>
    <mergeCell ref="AZ194:AZ196"/>
    <mergeCell ref="BA194:BA196"/>
    <mergeCell ref="BB194:BB196"/>
    <mergeCell ref="BC194:BC196"/>
    <mergeCell ref="AR194:AR196"/>
    <mergeCell ref="AS194:AS196"/>
    <mergeCell ref="AT194:AT196"/>
    <mergeCell ref="AU194:AU196"/>
    <mergeCell ref="AV194:AV196"/>
    <mergeCell ref="AW194:AW196"/>
    <mergeCell ref="AL194:AL196"/>
    <mergeCell ref="AM194:AM196"/>
    <mergeCell ref="AN194:AN196"/>
    <mergeCell ref="AO194:AO196"/>
    <mergeCell ref="AP194:AP196"/>
    <mergeCell ref="AQ194:AQ196"/>
    <mergeCell ref="AF194:AF196"/>
    <mergeCell ref="AG194:AG196"/>
    <mergeCell ref="AH194:AH196"/>
    <mergeCell ref="AI194:AI196"/>
    <mergeCell ref="AJ194:AJ196"/>
    <mergeCell ref="AK194:AK196"/>
    <mergeCell ref="Z194:Z196"/>
    <mergeCell ref="AA194:AA196"/>
    <mergeCell ref="AB194:AB196"/>
    <mergeCell ref="AC194:AC196"/>
    <mergeCell ref="AD194:AD196"/>
    <mergeCell ref="AE194:AE196"/>
    <mergeCell ref="T194:T196"/>
    <mergeCell ref="U194:U196"/>
    <mergeCell ref="V194:V196"/>
    <mergeCell ref="W194:W196"/>
    <mergeCell ref="X194:X196"/>
    <mergeCell ref="Y194:Y196"/>
    <mergeCell ref="BL184:BL187"/>
    <mergeCell ref="BM184:BM187"/>
    <mergeCell ref="BN184:BN187"/>
    <mergeCell ref="BO184:BO187"/>
    <mergeCell ref="BP184:BP193"/>
    <mergeCell ref="L194:L196"/>
    <mergeCell ref="P194:P196"/>
    <mergeCell ref="Q194:Q196"/>
    <mergeCell ref="R194:R196"/>
    <mergeCell ref="S194:S196"/>
    <mergeCell ref="BF184:BF187"/>
    <mergeCell ref="BG184:BG187"/>
    <mergeCell ref="BH184:BH187"/>
    <mergeCell ref="BI184:BI187"/>
    <mergeCell ref="BJ184:BJ187"/>
    <mergeCell ref="BK184:BK187"/>
    <mergeCell ref="AZ184:AZ187"/>
    <mergeCell ref="BA184:BA187"/>
    <mergeCell ref="BB184:BB187"/>
    <mergeCell ref="BC184:BC187"/>
    <mergeCell ref="BD184:BD187"/>
    <mergeCell ref="BE184:BE187"/>
    <mergeCell ref="AT184:AT187"/>
    <mergeCell ref="AU184:AU187"/>
    <mergeCell ref="AV184:AV187"/>
    <mergeCell ref="AW184:AW187"/>
    <mergeCell ref="AX184:AX187"/>
    <mergeCell ref="AY184:AY187"/>
    <mergeCell ref="AN184:AN187"/>
    <mergeCell ref="AO184:AO187"/>
    <mergeCell ref="AP184:AP187"/>
    <mergeCell ref="AQ184:AQ187"/>
    <mergeCell ref="AR184:AR187"/>
    <mergeCell ref="AS184:AS187"/>
    <mergeCell ref="AH184:AH187"/>
    <mergeCell ref="AI184:AI187"/>
    <mergeCell ref="AJ184:AJ187"/>
    <mergeCell ref="AK184:AK187"/>
    <mergeCell ref="AL184:AL187"/>
    <mergeCell ref="AM184:AM187"/>
    <mergeCell ref="AB184:AB187"/>
    <mergeCell ref="AC184:AC187"/>
    <mergeCell ref="AD184:AD187"/>
    <mergeCell ref="AE184:AE187"/>
    <mergeCell ref="AF184:AF187"/>
    <mergeCell ref="AG184:AG187"/>
    <mergeCell ref="V184:V187"/>
    <mergeCell ref="W184:W187"/>
    <mergeCell ref="X184:X187"/>
    <mergeCell ref="Y184:Y187"/>
    <mergeCell ref="Z184:Z187"/>
    <mergeCell ref="AA184:AA187"/>
    <mergeCell ref="BN170:BN171"/>
    <mergeCell ref="BO170:BO171"/>
    <mergeCell ref="BP173:BP183"/>
    <mergeCell ref="L184:L187"/>
    <mergeCell ref="P184:P187"/>
    <mergeCell ref="Q184:Q187"/>
    <mergeCell ref="R184:R187"/>
    <mergeCell ref="S184:S187"/>
    <mergeCell ref="T184:T187"/>
    <mergeCell ref="U184:U187"/>
    <mergeCell ref="BH170:BH171"/>
    <mergeCell ref="BI170:BI171"/>
    <mergeCell ref="BJ170:BJ171"/>
    <mergeCell ref="BK170:BK171"/>
    <mergeCell ref="BL170:BL171"/>
    <mergeCell ref="BM170:BM171"/>
    <mergeCell ref="BB170:BB171"/>
    <mergeCell ref="BC170:BC171"/>
    <mergeCell ref="BD170:BD171"/>
    <mergeCell ref="BE170:BE171"/>
    <mergeCell ref="BF170:BF171"/>
    <mergeCell ref="BG170:BG171"/>
    <mergeCell ref="AV170:AV171"/>
    <mergeCell ref="AW170:AW171"/>
    <mergeCell ref="AX170:AX171"/>
    <mergeCell ref="AY170:AY171"/>
    <mergeCell ref="AZ170:AZ171"/>
    <mergeCell ref="BA170:BA171"/>
    <mergeCell ref="AP170:AP171"/>
    <mergeCell ref="AQ170:AQ171"/>
    <mergeCell ref="AR170:AR171"/>
    <mergeCell ref="AS170:AS171"/>
    <mergeCell ref="AT170:AT171"/>
    <mergeCell ref="AU170:AU171"/>
    <mergeCell ref="AJ170:AJ171"/>
    <mergeCell ref="AK170:AK171"/>
    <mergeCell ref="AL170:AL171"/>
    <mergeCell ref="AM170:AM171"/>
    <mergeCell ref="AN170:AN171"/>
    <mergeCell ref="AO170:AO171"/>
    <mergeCell ref="AD170:AD171"/>
    <mergeCell ref="AE170:AE171"/>
    <mergeCell ref="AF170:AF171"/>
    <mergeCell ref="AG170:AG171"/>
    <mergeCell ref="AH170:AH171"/>
    <mergeCell ref="AI170:AI171"/>
    <mergeCell ref="X170:X171"/>
    <mergeCell ref="Y170:Y171"/>
    <mergeCell ref="Z170:Z171"/>
    <mergeCell ref="AA170:AA171"/>
    <mergeCell ref="AB170:AB171"/>
    <mergeCell ref="AC170:AC171"/>
    <mergeCell ref="BP162:BP172"/>
    <mergeCell ref="L170:L171"/>
    <mergeCell ref="P170:P171"/>
    <mergeCell ref="Q170:Q171"/>
    <mergeCell ref="R170:R171"/>
    <mergeCell ref="S170:S171"/>
    <mergeCell ref="T170:T171"/>
    <mergeCell ref="U170:U171"/>
    <mergeCell ref="V170:V171"/>
    <mergeCell ref="W170:W171"/>
    <mergeCell ref="BK151:BK158"/>
    <mergeCell ref="BL151:BL158"/>
    <mergeCell ref="BM151:BM158"/>
    <mergeCell ref="BN151:BN158"/>
    <mergeCell ref="BO151:BO158"/>
    <mergeCell ref="BP151:BP161"/>
    <mergeCell ref="BE151:BE158"/>
    <mergeCell ref="BF151:BF158"/>
    <mergeCell ref="BG151:BG158"/>
    <mergeCell ref="BH151:BH158"/>
    <mergeCell ref="BI151:BI158"/>
    <mergeCell ref="BJ151:BJ158"/>
    <mergeCell ref="AY151:AY158"/>
    <mergeCell ref="AZ151:AZ158"/>
    <mergeCell ref="BA151:BA158"/>
    <mergeCell ref="BB151:BB158"/>
    <mergeCell ref="BC151:BC158"/>
    <mergeCell ref="BD151:BD158"/>
    <mergeCell ref="AS151:AS158"/>
    <mergeCell ref="AT151:AT158"/>
    <mergeCell ref="AU151:AU158"/>
    <mergeCell ref="AV151:AV158"/>
    <mergeCell ref="AW151:AW158"/>
    <mergeCell ref="AX151:AX158"/>
    <mergeCell ref="AM151:AM158"/>
    <mergeCell ref="AN151:AN158"/>
    <mergeCell ref="AO151:AO158"/>
    <mergeCell ref="AP151:AP158"/>
    <mergeCell ref="AQ151:AQ158"/>
    <mergeCell ref="AR151:AR158"/>
    <mergeCell ref="AG151:AG158"/>
    <mergeCell ref="AH151:AH158"/>
    <mergeCell ref="AI151:AI158"/>
    <mergeCell ref="AJ151:AJ158"/>
    <mergeCell ref="AK151:AK158"/>
    <mergeCell ref="AL151:AL158"/>
    <mergeCell ref="AA151:AA158"/>
    <mergeCell ref="AB151:AB158"/>
    <mergeCell ref="AC151:AC158"/>
    <mergeCell ref="AD151:AD158"/>
    <mergeCell ref="AE151:AE158"/>
    <mergeCell ref="AF151:AF158"/>
    <mergeCell ref="U151:U158"/>
    <mergeCell ref="V151:V158"/>
    <mergeCell ref="W151:W158"/>
    <mergeCell ref="X151:X158"/>
    <mergeCell ref="Y151:Y158"/>
    <mergeCell ref="Z151:Z158"/>
    <mergeCell ref="L151:L158"/>
    <mergeCell ref="P151:P158"/>
    <mergeCell ref="Q151:Q158"/>
    <mergeCell ref="R151:R158"/>
    <mergeCell ref="S151:S158"/>
    <mergeCell ref="T151:T158"/>
    <mergeCell ref="BK143:BK144"/>
    <mergeCell ref="BL143:BL144"/>
    <mergeCell ref="BM143:BM144"/>
    <mergeCell ref="BN143:BN144"/>
    <mergeCell ref="BO143:BO144"/>
    <mergeCell ref="BP145:BP150"/>
    <mergeCell ref="BE143:BE144"/>
    <mergeCell ref="BF143:BF144"/>
    <mergeCell ref="BG143:BG144"/>
    <mergeCell ref="BH143:BH144"/>
    <mergeCell ref="BI143:BI144"/>
    <mergeCell ref="BJ143:BJ144"/>
    <mergeCell ref="AY143:AY144"/>
    <mergeCell ref="AZ143:AZ144"/>
    <mergeCell ref="BA143:BA144"/>
    <mergeCell ref="BB143:BB144"/>
    <mergeCell ref="BC143:BC144"/>
    <mergeCell ref="BD143:BD144"/>
    <mergeCell ref="AS143:AS144"/>
    <mergeCell ref="AT143:AT144"/>
    <mergeCell ref="AU143:AU144"/>
    <mergeCell ref="AV143:AV144"/>
    <mergeCell ref="AW143:AW144"/>
    <mergeCell ref="AX143:AX144"/>
    <mergeCell ref="AM143:AM144"/>
    <mergeCell ref="AN143:AN144"/>
    <mergeCell ref="AO143:AO144"/>
    <mergeCell ref="AP143:AP144"/>
    <mergeCell ref="AQ143:AQ144"/>
    <mergeCell ref="AR143:AR144"/>
    <mergeCell ref="AG143:AG144"/>
    <mergeCell ref="AH143:AH144"/>
    <mergeCell ref="AI143:AI144"/>
    <mergeCell ref="AJ143:AJ144"/>
    <mergeCell ref="AK143:AK144"/>
    <mergeCell ref="AL143:AL144"/>
    <mergeCell ref="AA143:AA144"/>
    <mergeCell ref="AB143:AB144"/>
    <mergeCell ref="AC143:AC144"/>
    <mergeCell ref="AD143:AD144"/>
    <mergeCell ref="AE143:AE144"/>
    <mergeCell ref="AF143:AF144"/>
    <mergeCell ref="U143:U144"/>
    <mergeCell ref="V143:V144"/>
    <mergeCell ref="W143:W144"/>
    <mergeCell ref="X143:X144"/>
    <mergeCell ref="Y143:Y144"/>
    <mergeCell ref="Z143:Z144"/>
    <mergeCell ref="BM135:BM136"/>
    <mergeCell ref="BN135:BN136"/>
    <mergeCell ref="BO135:BO136"/>
    <mergeCell ref="BP135:BP144"/>
    <mergeCell ref="L143:L144"/>
    <mergeCell ref="P143:P144"/>
    <mergeCell ref="Q143:Q144"/>
    <mergeCell ref="R143:R144"/>
    <mergeCell ref="S143:S144"/>
    <mergeCell ref="T143:T144"/>
    <mergeCell ref="BG135:BG136"/>
    <mergeCell ref="BH135:BH136"/>
    <mergeCell ref="BI135:BI136"/>
    <mergeCell ref="BJ135:BJ136"/>
    <mergeCell ref="BK135:BK136"/>
    <mergeCell ref="BL135:BL136"/>
    <mergeCell ref="BA135:BA136"/>
    <mergeCell ref="BB135:BB136"/>
    <mergeCell ref="BC135:BC136"/>
    <mergeCell ref="BD135:BD136"/>
    <mergeCell ref="BE135:BE136"/>
    <mergeCell ref="BF135:BF136"/>
    <mergeCell ref="AU135:AU136"/>
    <mergeCell ref="AV135:AV136"/>
    <mergeCell ref="AW135:AW136"/>
    <mergeCell ref="AX135:AX136"/>
    <mergeCell ref="AY135:AY136"/>
    <mergeCell ref="AZ135:AZ136"/>
    <mergeCell ref="AO135:AO136"/>
    <mergeCell ref="AP135:AP136"/>
    <mergeCell ref="AQ135:AQ136"/>
    <mergeCell ref="AR135:AR136"/>
    <mergeCell ref="AS135:AS136"/>
    <mergeCell ref="AT135:AT136"/>
    <mergeCell ref="AI135:AI136"/>
    <mergeCell ref="AJ135:AJ136"/>
    <mergeCell ref="AK135:AK136"/>
    <mergeCell ref="AL135:AL136"/>
    <mergeCell ref="AM135:AM136"/>
    <mergeCell ref="AN135:AN136"/>
    <mergeCell ref="AC135:AC136"/>
    <mergeCell ref="AD135:AD136"/>
    <mergeCell ref="AE135:AE136"/>
    <mergeCell ref="AF135:AF136"/>
    <mergeCell ref="AG135:AG136"/>
    <mergeCell ref="AH135:AH136"/>
    <mergeCell ref="W135:W136"/>
    <mergeCell ref="X135:X136"/>
    <mergeCell ref="Y135:Y136"/>
    <mergeCell ref="Z135:Z136"/>
    <mergeCell ref="AA135:AA136"/>
    <mergeCell ref="AB135:AB136"/>
    <mergeCell ref="BO128:BO129"/>
    <mergeCell ref="BP133:BP134"/>
    <mergeCell ref="L135:L136"/>
    <mergeCell ref="P135:P136"/>
    <mergeCell ref="Q135:Q136"/>
    <mergeCell ref="R135:R136"/>
    <mergeCell ref="S135:S136"/>
    <mergeCell ref="T135:T136"/>
    <mergeCell ref="U135:U136"/>
    <mergeCell ref="V135:V136"/>
    <mergeCell ref="BE128:BE129"/>
    <mergeCell ref="BF128:BF129"/>
    <mergeCell ref="BG128:BG129"/>
    <mergeCell ref="BH128:BH129"/>
    <mergeCell ref="BI128:BI129"/>
    <mergeCell ref="BJ128:BJ129"/>
    <mergeCell ref="AY128:AY129"/>
    <mergeCell ref="AZ128:AZ129"/>
    <mergeCell ref="BA128:BA129"/>
    <mergeCell ref="BB128:BB129"/>
    <mergeCell ref="AS128:AS129"/>
    <mergeCell ref="AT128:AT129"/>
    <mergeCell ref="AU128:AU129"/>
    <mergeCell ref="AV128:AV129"/>
    <mergeCell ref="AW128:AW129"/>
    <mergeCell ref="AX128:AX129"/>
    <mergeCell ref="AM128:AM129"/>
    <mergeCell ref="AN128:AN129"/>
    <mergeCell ref="AO128:AO129"/>
    <mergeCell ref="AP128:AP129"/>
    <mergeCell ref="AQ128:AQ129"/>
    <mergeCell ref="AR128:AR129"/>
    <mergeCell ref="AG128:AG129"/>
    <mergeCell ref="AH128:AH129"/>
    <mergeCell ref="AI128:AI129"/>
    <mergeCell ref="AJ128:AJ129"/>
    <mergeCell ref="AK128:AK129"/>
    <mergeCell ref="AL128:AL129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Y128:Y129"/>
    <mergeCell ref="Z128:Z129"/>
    <mergeCell ref="L128:L129"/>
    <mergeCell ref="P128:P129"/>
    <mergeCell ref="Q128:Q129"/>
    <mergeCell ref="R128:R129"/>
    <mergeCell ref="S128:S129"/>
    <mergeCell ref="T128:T129"/>
    <mergeCell ref="BK119:BK121"/>
    <mergeCell ref="BL119:BL121"/>
    <mergeCell ref="BM119:BM121"/>
    <mergeCell ref="BN119:BN121"/>
    <mergeCell ref="BO119:BO121"/>
    <mergeCell ref="BP125:BP132"/>
    <mergeCell ref="BK128:BK129"/>
    <mergeCell ref="BL128:BL129"/>
    <mergeCell ref="BM128:BM129"/>
    <mergeCell ref="BN128:BN129"/>
    <mergeCell ref="BE119:BE121"/>
    <mergeCell ref="BF119:BF121"/>
    <mergeCell ref="BG119:BG121"/>
    <mergeCell ref="BH119:BH121"/>
    <mergeCell ref="BI119:BI121"/>
    <mergeCell ref="BJ119:BJ121"/>
    <mergeCell ref="AY119:AY121"/>
    <mergeCell ref="AZ119:AZ121"/>
    <mergeCell ref="BA119:BA121"/>
    <mergeCell ref="BB119:BB121"/>
    <mergeCell ref="BC119:BC121"/>
    <mergeCell ref="BD119:BD121"/>
    <mergeCell ref="BC128:BC129"/>
    <mergeCell ref="BD128:BD129"/>
    <mergeCell ref="AS119:AS121"/>
    <mergeCell ref="AT119:AT121"/>
    <mergeCell ref="AU119:AU121"/>
    <mergeCell ref="AV119:AV121"/>
    <mergeCell ref="AW119:AW121"/>
    <mergeCell ref="AX119:AX121"/>
    <mergeCell ref="AM119:AM121"/>
    <mergeCell ref="AN119:AN121"/>
    <mergeCell ref="AO119:AO121"/>
    <mergeCell ref="AP119:AP121"/>
    <mergeCell ref="AQ119:AQ121"/>
    <mergeCell ref="AR119:AR121"/>
    <mergeCell ref="AG119:AG121"/>
    <mergeCell ref="AH119:AH121"/>
    <mergeCell ref="AI119:AI121"/>
    <mergeCell ref="AJ119:AJ121"/>
    <mergeCell ref="AK119:AK121"/>
    <mergeCell ref="AL119:AL121"/>
    <mergeCell ref="AA119:AA121"/>
    <mergeCell ref="AB119:AB121"/>
    <mergeCell ref="AC119:AC121"/>
    <mergeCell ref="AD119:AD121"/>
    <mergeCell ref="AE119:AE121"/>
    <mergeCell ref="AF119:AF121"/>
    <mergeCell ref="U119:U121"/>
    <mergeCell ref="V119:V121"/>
    <mergeCell ref="W119:W121"/>
    <mergeCell ref="X119:X121"/>
    <mergeCell ref="Y119:Y121"/>
    <mergeCell ref="Z119:Z121"/>
    <mergeCell ref="BM114:BM118"/>
    <mergeCell ref="BN114:BN118"/>
    <mergeCell ref="BO114:BO118"/>
    <mergeCell ref="BP114:BP124"/>
    <mergeCell ref="L119:L121"/>
    <mergeCell ref="P119:P121"/>
    <mergeCell ref="Q119:Q121"/>
    <mergeCell ref="R119:R121"/>
    <mergeCell ref="S119:S121"/>
    <mergeCell ref="T119:T121"/>
    <mergeCell ref="BG114:BG118"/>
    <mergeCell ref="BH114:BH118"/>
    <mergeCell ref="BI114:BI118"/>
    <mergeCell ref="BJ114:BJ118"/>
    <mergeCell ref="BK114:BK118"/>
    <mergeCell ref="BL114:BL118"/>
    <mergeCell ref="BA114:BA118"/>
    <mergeCell ref="BB114:BB118"/>
    <mergeCell ref="BC114:BC118"/>
    <mergeCell ref="BD114:BD118"/>
    <mergeCell ref="BE114:BE118"/>
    <mergeCell ref="BF114:BF118"/>
    <mergeCell ref="AU114:AU118"/>
    <mergeCell ref="AV114:AV118"/>
    <mergeCell ref="AW114:AW118"/>
    <mergeCell ref="AX114:AX118"/>
    <mergeCell ref="AY114:AY118"/>
    <mergeCell ref="AZ114:AZ118"/>
    <mergeCell ref="AO114:AO118"/>
    <mergeCell ref="AP114:AP118"/>
    <mergeCell ref="AQ114:AQ118"/>
    <mergeCell ref="AR114:AR118"/>
    <mergeCell ref="AS114:AS118"/>
    <mergeCell ref="AT114:AT118"/>
    <mergeCell ref="AI114:AI118"/>
    <mergeCell ref="AJ114:AJ118"/>
    <mergeCell ref="AK114:AK118"/>
    <mergeCell ref="AL114:AL118"/>
    <mergeCell ref="AM114:AM118"/>
    <mergeCell ref="AN114:AN118"/>
    <mergeCell ref="AC114:AC118"/>
    <mergeCell ref="AD114:AD118"/>
    <mergeCell ref="AE114:AE118"/>
    <mergeCell ref="AF114:AF118"/>
    <mergeCell ref="AG114:AG118"/>
    <mergeCell ref="AH114:AH118"/>
    <mergeCell ref="W114:W118"/>
    <mergeCell ref="X114:X118"/>
    <mergeCell ref="Y114:Y118"/>
    <mergeCell ref="Z114:Z118"/>
    <mergeCell ref="AA114:AA118"/>
    <mergeCell ref="AB114:AB118"/>
    <mergeCell ref="BP93:BP103"/>
    <mergeCell ref="BP104:BP113"/>
    <mergeCell ref="L114:L118"/>
    <mergeCell ref="P114:P118"/>
    <mergeCell ref="Q114:Q118"/>
    <mergeCell ref="R114:R118"/>
    <mergeCell ref="S114:S118"/>
    <mergeCell ref="T114:T118"/>
    <mergeCell ref="U114:U118"/>
    <mergeCell ref="V114:V118"/>
    <mergeCell ref="BJ93:BJ113"/>
    <mergeCell ref="BK93:BK113"/>
    <mergeCell ref="BL93:BL113"/>
    <mergeCell ref="BM93:BM113"/>
    <mergeCell ref="BN93:BN113"/>
    <mergeCell ref="BO93:BO113"/>
    <mergeCell ref="BD93:BD113"/>
    <mergeCell ref="BE93:BE113"/>
    <mergeCell ref="BF93:BF113"/>
    <mergeCell ref="BG93:BG113"/>
    <mergeCell ref="BH93:BH113"/>
    <mergeCell ref="BI93:BI113"/>
    <mergeCell ref="AX93:AX113"/>
    <mergeCell ref="AY93:AY113"/>
    <mergeCell ref="AZ93:AZ113"/>
    <mergeCell ref="BA93:BA113"/>
    <mergeCell ref="BB93:BB113"/>
    <mergeCell ref="BC93:BC113"/>
    <mergeCell ref="AR93:AR113"/>
    <mergeCell ref="AS93:AS113"/>
    <mergeCell ref="AT93:AT113"/>
    <mergeCell ref="AU93:AU113"/>
    <mergeCell ref="AV93:AV113"/>
    <mergeCell ref="AW93:AW113"/>
    <mergeCell ref="AL93:AL113"/>
    <mergeCell ref="AM93:AM113"/>
    <mergeCell ref="AN93:AN113"/>
    <mergeCell ref="AO93:AO113"/>
    <mergeCell ref="AP93:AP113"/>
    <mergeCell ref="AQ93:AQ113"/>
    <mergeCell ref="AF93:AF113"/>
    <mergeCell ref="AG93:AG113"/>
    <mergeCell ref="AH93:AH113"/>
    <mergeCell ref="AI93:AI113"/>
    <mergeCell ref="AJ93:AJ113"/>
    <mergeCell ref="AK93:AK113"/>
    <mergeCell ref="Z93:Z113"/>
    <mergeCell ref="AA93:AA113"/>
    <mergeCell ref="AB93:AB113"/>
    <mergeCell ref="AC93:AC113"/>
    <mergeCell ref="AD93:AD113"/>
    <mergeCell ref="AE93:AE113"/>
    <mergeCell ref="T93:T113"/>
    <mergeCell ref="U93:U113"/>
    <mergeCell ref="V93:V113"/>
    <mergeCell ref="W93:W113"/>
    <mergeCell ref="X93:X113"/>
    <mergeCell ref="Y93:Y113"/>
    <mergeCell ref="BK86:BK88"/>
    <mergeCell ref="BL86:BL88"/>
    <mergeCell ref="BM86:BM88"/>
    <mergeCell ref="BN86:BN88"/>
    <mergeCell ref="BO86:BO88"/>
    <mergeCell ref="L93:L113"/>
    <mergeCell ref="P93:P113"/>
    <mergeCell ref="Q93:Q113"/>
    <mergeCell ref="R93:R113"/>
    <mergeCell ref="S93:S113"/>
    <mergeCell ref="BE86:BE88"/>
    <mergeCell ref="BF86:BF88"/>
    <mergeCell ref="BG86:BG88"/>
    <mergeCell ref="BH86:BH88"/>
    <mergeCell ref="BI86:BI88"/>
    <mergeCell ref="BJ86:BJ88"/>
    <mergeCell ref="AY86:AY88"/>
    <mergeCell ref="AZ86:AZ88"/>
    <mergeCell ref="BA86:BA88"/>
    <mergeCell ref="BB86:BB88"/>
    <mergeCell ref="BC86:BC88"/>
    <mergeCell ref="BD86:BD88"/>
    <mergeCell ref="AS86:AS88"/>
    <mergeCell ref="AT86:AT88"/>
    <mergeCell ref="AU86:AU88"/>
    <mergeCell ref="AV86:AV88"/>
    <mergeCell ref="AW86:AW88"/>
    <mergeCell ref="AX86:AX88"/>
    <mergeCell ref="AM86:AM88"/>
    <mergeCell ref="AN86:AN88"/>
    <mergeCell ref="AO86:AO88"/>
    <mergeCell ref="AP86:AP88"/>
    <mergeCell ref="AQ86:AQ88"/>
    <mergeCell ref="AR86:AR88"/>
    <mergeCell ref="AG86:AG88"/>
    <mergeCell ref="AH86:AH88"/>
    <mergeCell ref="AI86:AI88"/>
    <mergeCell ref="AJ86:AJ88"/>
    <mergeCell ref="AK86:AK88"/>
    <mergeCell ref="AL86:AL88"/>
    <mergeCell ref="AA86:AA88"/>
    <mergeCell ref="AB86:AB88"/>
    <mergeCell ref="AC86:AC88"/>
    <mergeCell ref="AD86:AD88"/>
    <mergeCell ref="AE86:AE88"/>
    <mergeCell ref="AF86:AF88"/>
    <mergeCell ref="U86:U88"/>
    <mergeCell ref="V86:V88"/>
    <mergeCell ref="W86:W88"/>
    <mergeCell ref="X86:X88"/>
    <mergeCell ref="Y86:Y88"/>
    <mergeCell ref="Z86:Z88"/>
    <mergeCell ref="BM83:BM85"/>
    <mergeCell ref="BN83:BN85"/>
    <mergeCell ref="BO83:BO85"/>
    <mergeCell ref="BP83:BP92"/>
    <mergeCell ref="L86:L88"/>
    <mergeCell ref="P86:P88"/>
    <mergeCell ref="Q86:Q88"/>
    <mergeCell ref="R86:R88"/>
    <mergeCell ref="S86:S88"/>
    <mergeCell ref="T86:T88"/>
    <mergeCell ref="BG83:BG85"/>
    <mergeCell ref="BH83:BH85"/>
    <mergeCell ref="BI83:BI85"/>
    <mergeCell ref="BJ83:BJ85"/>
    <mergeCell ref="BK83:BK85"/>
    <mergeCell ref="BL83:BL85"/>
    <mergeCell ref="BA83:BA85"/>
    <mergeCell ref="BB83:BB85"/>
    <mergeCell ref="BC83:BC85"/>
    <mergeCell ref="BD83:BD85"/>
    <mergeCell ref="BE83:BE85"/>
    <mergeCell ref="BF83:BF85"/>
    <mergeCell ref="AU83:AU85"/>
    <mergeCell ref="AV83:AV85"/>
    <mergeCell ref="AW83:AW85"/>
    <mergeCell ref="AX83:AX85"/>
    <mergeCell ref="AY83:AY85"/>
    <mergeCell ref="AZ83:AZ85"/>
    <mergeCell ref="AO83:AO85"/>
    <mergeCell ref="AP83:AP85"/>
    <mergeCell ref="AQ83:AQ85"/>
    <mergeCell ref="AR83:AR85"/>
    <mergeCell ref="AS83:AS85"/>
    <mergeCell ref="AT83:AT85"/>
    <mergeCell ref="AI83:AI85"/>
    <mergeCell ref="AJ83:AJ85"/>
    <mergeCell ref="AK83:AK85"/>
    <mergeCell ref="AL83:AL85"/>
    <mergeCell ref="AM83:AM85"/>
    <mergeCell ref="AN83:AN85"/>
    <mergeCell ref="AC83:AC85"/>
    <mergeCell ref="AD83:AD85"/>
    <mergeCell ref="AE83:AE85"/>
    <mergeCell ref="AF83:AF85"/>
    <mergeCell ref="AG83:AG85"/>
    <mergeCell ref="AH83:AH85"/>
    <mergeCell ref="W83:W85"/>
    <mergeCell ref="X83:X85"/>
    <mergeCell ref="Y83:Y85"/>
    <mergeCell ref="Z83:Z85"/>
    <mergeCell ref="AA83:AA85"/>
    <mergeCell ref="AB83:AB85"/>
    <mergeCell ref="BN78:BN80"/>
    <mergeCell ref="BO78:BO80"/>
    <mergeCell ref="L83:L85"/>
    <mergeCell ref="P83:P85"/>
    <mergeCell ref="Q83:Q85"/>
    <mergeCell ref="R83:R85"/>
    <mergeCell ref="S83:S85"/>
    <mergeCell ref="T83:T85"/>
    <mergeCell ref="U83:U85"/>
    <mergeCell ref="V83:V85"/>
    <mergeCell ref="BH78:BH80"/>
    <mergeCell ref="BI78:BI80"/>
    <mergeCell ref="BJ78:BJ80"/>
    <mergeCell ref="BK78:BK80"/>
    <mergeCell ref="BL78:BL80"/>
    <mergeCell ref="BM78:BM80"/>
    <mergeCell ref="BB78:BB80"/>
    <mergeCell ref="BC78:BC80"/>
    <mergeCell ref="BD78:BD80"/>
    <mergeCell ref="BE78:BE80"/>
    <mergeCell ref="BF78:BF80"/>
    <mergeCell ref="BG78:BG80"/>
    <mergeCell ref="AV78:AV80"/>
    <mergeCell ref="AW78:AW80"/>
    <mergeCell ref="AX78:AX80"/>
    <mergeCell ref="AY78:AY80"/>
    <mergeCell ref="AZ78:AZ80"/>
    <mergeCell ref="BA78:BA80"/>
    <mergeCell ref="AP78:AP80"/>
    <mergeCell ref="AQ78:AQ80"/>
    <mergeCell ref="AR78:AR80"/>
    <mergeCell ref="AS78:AS80"/>
    <mergeCell ref="AT78:AT80"/>
    <mergeCell ref="AU78:AU80"/>
    <mergeCell ref="AJ78:AJ80"/>
    <mergeCell ref="AK78:AK80"/>
    <mergeCell ref="AL78:AL80"/>
    <mergeCell ref="AM78:AM80"/>
    <mergeCell ref="AN78:AN80"/>
    <mergeCell ref="AO78:AO80"/>
    <mergeCell ref="AD78:AD80"/>
    <mergeCell ref="AE78:AE80"/>
    <mergeCell ref="AF78:AF80"/>
    <mergeCell ref="AG78:AG80"/>
    <mergeCell ref="AH78:AH80"/>
    <mergeCell ref="AI78:AI80"/>
    <mergeCell ref="X78:X80"/>
    <mergeCell ref="Y78:Y80"/>
    <mergeCell ref="Z78:Z80"/>
    <mergeCell ref="AA78:AA80"/>
    <mergeCell ref="AB78:AB80"/>
    <mergeCell ref="AC78:AC80"/>
    <mergeCell ref="BO76:BO77"/>
    <mergeCell ref="L78:L80"/>
    <mergeCell ref="P78:P80"/>
    <mergeCell ref="Q78:Q80"/>
    <mergeCell ref="R78:R80"/>
    <mergeCell ref="S78:S80"/>
    <mergeCell ref="T78:T80"/>
    <mergeCell ref="U78:U80"/>
    <mergeCell ref="V78:V80"/>
    <mergeCell ref="W78:W80"/>
    <mergeCell ref="BE76:BE77"/>
    <mergeCell ref="BF76:BF77"/>
    <mergeCell ref="BG76:BG77"/>
    <mergeCell ref="BH76:BH77"/>
    <mergeCell ref="BI76:BI77"/>
    <mergeCell ref="BJ76:BJ77"/>
    <mergeCell ref="AY76:AY77"/>
    <mergeCell ref="AZ76:AZ77"/>
    <mergeCell ref="BA76:BA77"/>
    <mergeCell ref="BB76:BB77"/>
    <mergeCell ref="BC76:BC77"/>
    <mergeCell ref="BD76:BD77"/>
    <mergeCell ref="AS76:AS77"/>
    <mergeCell ref="AT76:AT77"/>
    <mergeCell ref="AU76:AU77"/>
    <mergeCell ref="AV76:AV77"/>
    <mergeCell ref="AW76:AW77"/>
    <mergeCell ref="AX76:AX77"/>
    <mergeCell ref="AM76:AM77"/>
    <mergeCell ref="AN76:AN77"/>
    <mergeCell ref="AO76:AO77"/>
    <mergeCell ref="AP76:AP77"/>
    <mergeCell ref="AQ76:AQ77"/>
    <mergeCell ref="AR76:AR77"/>
    <mergeCell ref="AG76:AG77"/>
    <mergeCell ref="AH76:AH77"/>
    <mergeCell ref="AI76:AI77"/>
    <mergeCell ref="AJ76:AJ77"/>
    <mergeCell ref="AK76:AK77"/>
    <mergeCell ref="AL76:AL77"/>
    <mergeCell ref="AA76:AA77"/>
    <mergeCell ref="AB76:AB77"/>
    <mergeCell ref="AC76:AC77"/>
    <mergeCell ref="AD76:AD77"/>
    <mergeCell ref="AE76:AE77"/>
    <mergeCell ref="AF76:AF77"/>
    <mergeCell ref="U76:U77"/>
    <mergeCell ref="V76:V77"/>
    <mergeCell ref="W76:W77"/>
    <mergeCell ref="X76:X77"/>
    <mergeCell ref="Y76:Y77"/>
    <mergeCell ref="Z76:Z77"/>
    <mergeCell ref="L76:L77"/>
    <mergeCell ref="P76:P77"/>
    <mergeCell ref="Q76:Q77"/>
    <mergeCell ref="R76:R77"/>
    <mergeCell ref="S76:S77"/>
    <mergeCell ref="T76:T77"/>
    <mergeCell ref="BK63:BK67"/>
    <mergeCell ref="BL63:BL67"/>
    <mergeCell ref="BM63:BM67"/>
    <mergeCell ref="BN63:BN67"/>
    <mergeCell ref="BO63:BO67"/>
    <mergeCell ref="BP72:BP82"/>
    <mergeCell ref="BK76:BK77"/>
    <mergeCell ref="BL76:BL77"/>
    <mergeCell ref="BM76:BM77"/>
    <mergeCell ref="BN76:BN77"/>
    <mergeCell ref="BE63:BE67"/>
    <mergeCell ref="BF63:BF67"/>
    <mergeCell ref="BG63:BG67"/>
    <mergeCell ref="BH63:BH67"/>
    <mergeCell ref="BI63:BI67"/>
    <mergeCell ref="BJ63:BJ67"/>
    <mergeCell ref="AY63:AY67"/>
    <mergeCell ref="AZ63:AZ67"/>
    <mergeCell ref="BA63:BA67"/>
    <mergeCell ref="BB63:BB67"/>
    <mergeCell ref="BC63:BC67"/>
    <mergeCell ref="BD63:BD67"/>
    <mergeCell ref="AS63:AS67"/>
    <mergeCell ref="AT63:AT67"/>
    <mergeCell ref="AU63:AU67"/>
    <mergeCell ref="AV63:AV67"/>
    <mergeCell ref="AW63:AW67"/>
    <mergeCell ref="AX63:AX67"/>
    <mergeCell ref="AM63:AM67"/>
    <mergeCell ref="AN63:AN67"/>
    <mergeCell ref="AO63:AO67"/>
    <mergeCell ref="AP63:AP67"/>
    <mergeCell ref="AQ63:AQ67"/>
    <mergeCell ref="AR63:AR67"/>
    <mergeCell ref="AG63:AG67"/>
    <mergeCell ref="AH63:AH67"/>
    <mergeCell ref="AI63:AI67"/>
    <mergeCell ref="AJ63:AJ67"/>
    <mergeCell ref="AK63:AK67"/>
    <mergeCell ref="AL63:AL67"/>
    <mergeCell ref="AA63:AA67"/>
    <mergeCell ref="AB63:AB67"/>
    <mergeCell ref="AC63:AC67"/>
    <mergeCell ref="AD63:AD67"/>
    <mergeCell ref="AE63:AE67"/>
    <mergeCell ref="AF63:AF67"/>
    <mergeCell ref="U63:U67"/>
    <mergeCell ref="V63:V67"/>
    <mergeCell ref="W63:W67"/>
    <mergeCell ref="X63:X67"/>
    <mergeCell ref="Y63:Y67"/>
    <mergeCell ref="Z63:Z67"/>
    <mergeCell ref="BP45:BP49"/>
    <mergeCell ref="BP50:BP54"/>
    <mergeCell ref="BP55:BP61"/>
    <mergeCell ref="BP62:BP71"/>
    <mergeCell ref="L63:L67"/>
    <mergeCell ref="P63:P67"/>
    <mergeCell ref="Q63:Q67"/>
    <mergeCell ref="R63:R67"/>
    <mergeCell ref="S63:S67"/>
    <mergeCell ref="T63:T67"/>
    <mergeCell ref="BK37:BK44"/>
    <mergeCell ref="BL37:BL44"/>
    <mergeCell ref="BM37:BM44"/>
    <mergeCell ref="BN37:BN44"/>
    <mergeCell ref="BO37:BO44"/>
    <mergeCell ref="BE37:BE44"/>
    <mergeCell ref="BF37:BF44"/>
    <mergeCell ref="BG37:BG44"/>
    <mergeCell ref="BH37:BH44"/>
    <mergeCell ref="BI37:BI44"/>
    <mergeCell ref="BJ37:BJ44"/>
    <mergeCell ref="AY37:AY44"/>
    <mergeCell ref="AZ37:AZ44"/>
    <mergeCell ref="BA37:BA44"/>
    <mergeCell ref="BB37:BB44"/>
    <mergeCell ref="BC37:BC44"/>
    <mergeCell ref="BD37:BD44"/>
    <mergeCell ref="AS37:AS44"/>
    <mergeCell ref="AT37:AT44"/>
    <mergeCell ref="AU37:AU44"/>
    <mergeCell ref="AV37:AV44"/>
    <mergeCell ref="AW37:AW44"/>
    <mergeCell ref="AX37:AX44"/>
    <mergeCell ref="AM37:AM44"/>
    <mergeCell ref="AN37:AN44"/>
    <mergeCell ref="AO37:AO44"/>
    <mergeCell ref="AP37:AP44"/>
    <mergeCell ref="AQ37:AQ44"/>
    <mergeCell ref="AR37:AR44"/>
    <mergeCell ref="AG37:AG44"/>
    <mergeCell ref="AH37:AH44"/>
    <mergeCell ref="AI37:AI44"/>
    <mergeCell ref="AJ37:AJ44"/>
    <mergeCell ref="AK37:AK44"/>
    <mergeCell ref="AL37:AL44"/>
    <mergeCell ref="AA37:AA44"/>
    <mergeCell ref="AB37:AB44"/>
    <mergeCell ref="AC37:AC44"/>
    <mergeCell ref="AD37:AD44"/>
    <mergeCell ref="AE37:AE44"/>
    <mergeCell ref="AF37:AF44"/>
    <mergeCell ref="U37:U44"/>
    <mergeCell ref="V37:V44"/>
    <mergeCell ref="W37:W44"/>
    <mergeCell ref="X37:X44"/>
    <mergeCell ref="Y37:Y44"/>
    <mergeCell ref="Z37:Z44"/>
    <mergeCell ref="L37:L44"/>
    <mergeCell ref="P37:P44"/>
    <mergeCell ref="Q37:Q44"/>
    <mergeCell ref="R37:R44"/>
    <mergeCell ref="S37:S44"/>
    <mergeCell ref="T37:T44"/>
    <mergeCell ref="BK30:BK36"/>
    <mergeCell ref="BL30:BL36"/>
    <mergeCell ref="BM30:BM36"/>
    <mergeCell ref="BN30:BN36"/>
    <mergeCell ref="BO30:BO36"/>
    <mergeCell ref="BE30:BE36"/>
    <mergeCell ref="BF30:BF36"/>
    <mergeCell ref="BG30:BG36"/>
    <mergeCell ref="BH30:BH36"/>
    <mergeCell ref="BI30:BI36"/>
    <mergeCell ref="BJ30:BJ36"/>
    <mergeCell ref="AY30:AY36"/>
    <mergeCell ref="AZ30:AZ36"/>
    <mergeCell ref="BA30:BA36"/>
    <mergeCell ref="BB30:BB36"/>
    <mergeCell ref="BC30:BC36"/>
    <mergeCell ref="BD30:BD36"/>
    <mergeCell ref="AS30:AS36"/>
    <mergeCell ref="AT30:AT36"/>
    <mergeCell ref="AU30:AU36"/>
    <mergeCell ref="AV30:AV36"/>
    <mergeCell ref="AW30:AW36"/>
    <mergeCell ref="AX30:AX36"/>
    <mergeCell ref="AM30:AM36"/>
    <mergeCell ref="AN30:AN36"/>
    <mergeCell ref="AO30:AO36"/>
    <mergeCell ref="AP30:AP36"/>
    <mergeCell ref="AQ30:AQ36"/>
    <mergeCell ref="AR30:AR36"/>
    <mergeCell ref="AG30:AG36"/>
    <mergeCell ref="AH30:AH36"/>
    <mergeCell ref="AI30:AI36"/>
    <mergeCell ref="AJ30:AJ36"/>
    <mergeCell ref="AK30:AK36"/>
    <mergeCell ref="AL30:AL36"/>
    <mergeCell ref="AA30:AA36"/>
    <mergeCell ref="AB30:AB36"/>
    <mergeCell ref="AC30:AC36"/>
    <mergeCell ref="AD30:AD36"/>
    <mergeCell ref="AE30:AE36"/>
    <mergeCell ref="AF30:AF36"/>
    <mergeCell ref="U30:U36"/>
    <mergeCell ref="V30:V36"/>
    <mergeCell ref="W30:W36"/>
    <mergeCell ref="X30:X36"/>
    <mergeCell ref="Y30:Y36"/>
    <mergeCell ref="Z30:Z36"/>
    <mergeCell ref="L30:L36"/>
    <mergeCell ref="P30:P36"/>
    <mergeCell ref="Q30:Q36"/>
    <mergeCell ref="R30:R36"/>
    <mergeCell ref="S30:S36"/>
    <mergeCell ref="T30:T36"/>
    <mergeCell ref="BK26:BK29"/>
    <mergeCell ref="BL26:BL29"/>
    <mergeCell ref="BM26:BM29"/>
    <mergeCell ref="BN26:BN29"/>
    <mergeCell ref="BO26:BO29"/>
    <mergeCell ref="BP26:BP29"/>
    <mergeCell ref="BE26:BE29"/>
    <mergeCell ref="BF26:BF29"/>
    <mergeCell ref="BG26:BG29"/>
    <mergeCell ref="BH26:BH29"/>
    <mergeCell ref="BI26:BI29"/>
    <mergeCell ref="BJ26:BJ29"/>
    <mergeCell ref="AY26:AY29"/>
    <mergeCell ref="AZ26:AZ29"/>
    <mergeCell ref="BA26:BA29"/>
    <mergeCell ref="BB26:BB29"/>
    <mergeCell ref="BC26:BC29"/>
    <mergeCell ref="BD26:BD29"/>
    <mergeCell ref="AS26:AS29"/>
    <mergeCell ref="AT26:AT29"/>
    <mergeCell ref="AU26:AU29"/>
    <mergeCell ref="AV26:AV29"/>
    <mergeCell ref="AW26:AW29"/>
    <mergeCell ref="AX26:AX29"/>
    <mergeCell ref="AM26:AM29"/>
    <mergeCell ref="AN26:AN29"/>
    <mergeCell ref="AO26:AO29"/>
    <mergeCell ref="AP26:AP29"/>
    <mergeCell ref="AQ26:AQ29"/>
    <mergeCell ref="AR26:AR29"/>
    <mergeCell ref="AG26:AG29"/>
    <mergeCell ref="AH26:AH29"/>
    <mergeCell ref="AI26:AI29"/>
    <mergeCell ref="AJ26:AJ29"/>
    <mergeCell ref="AK26:AK29"/>
    <mergeCell ref="AL26:AL29"/>
    <mergeCell ref="AA26:AA29"/>
    <mergeCell ref="AB26:AB29"/>
    <mergeCell ref="AC26:AC29"/>
    <mergeCell ref="AD26:AD29"/>
    <mergeCell ref="AE26:AE29"/>
    <mergeCell ref="AF26:AF29"/>
    <mergeCell ref="U26:U29"/>
    <mergeCell ref="V26:V29"/>
    <mergeCell ref="W26:W29"/>
    <mergeCell ref="X26:X29"/>
    <mergeCell ref="Y26:Y29"/>
    <mergeCell ref="Z26:Z29"/>
    <mergeCell ref="L26:L29"/>
    <mergeCell ref="P26:P29"/>
    <mergeCell ref="Q26:Q29"/>
    <mergeCell ref="R26:R29"/>
    <mergeCell ref="S26:S29"/>
    <mergeCell ref="T26:T29"/>
    <mergeCell ref="BJ20:BJ25"/>
    <mergeCell ref="BK20:BK25"/>
    <mergeCell ref="BL20:BL25"/>
    <mergeCell ref="BM20:BM25"/>
    <mergeCell ref="BN20:BN25"/>
    <mergeCell ref="BO20:BO25"/>
    <mergeCell ref="BD20:BD25"/>
    <mergeCell ref="BE20:BE25"/>
    <mergeCell ref="BF20:BF25"/>
    <mergeCell ref="BG20:BG25"/>
    <mergeCell ref="BH20:BH25"/>
    <mergeCell ref="BI20:BI25"/>
    <mergeCell ref="AX20:AX25"/>
    <mergeCell ref="AY20:AY25"/>
    <mergeCell ref="AZ20:AZ25"/>
    <mergeCell ref="BA20:BA25"/>
    <mergeCell ref="BB20:BB25"/>
    <mergeCell ref="BC20:BC25"/>
    <mergeCell ref="AR20:AR25"/>
    <mergeCell ref="AS20:AS25"/>
    <mergeCell ref="AT20:AT25"/>
    <mergeCell ref="AU20:AU25"/>
    <mergeCell ref="AV20:AV25"/>
    <mergeCell ref="AW20:AW25"/>
    <mergeCell ref="AL20:AL25"/>
    <mergeCell ref="AM20:AM25"/>
    <mergeCell ref="AN20:AN25"/>
    <mergeCell ref="AO20:AO25"/>
    <mergeCell ref="AP20:AP25"/>
    <mergeCell ref="AQ20:AQ25"/>
    <mergeCell ref="AF20:AF25"/>
    <mergeCell ref="AG20:AG25"/>
    <mergeCell ref="AH20:AH25"/>
    <mergeCell ref="AI20:AI25"/>
    <mergeCell ref="AJ20:AJ25"/>
    <mergeCell ref="AK20:AK25"/>
    <mergeCell ref="Z20:Z25"/>
    <mergeCell ref="AA20:AA25"/>
    <mergeCell ref="AB20:AB25"/>
    <mergeCell ref="AC20:AC25"/>
    <mergeCell ref="AD20:AD25"/>
    <mergeCell ref="AE20:AE25"/>
    <mergeCell ref="T20:T25"/>
    <mergeCell ref="U20:U25"/>
    <mergeCell ref="V20:V25"/>
    <mergeCell ref="W20:W25"/>
    <mergeCell ref="X20:X25"/>
    <mergeCell ref="Y20:Y25"/>
    <mergeCell ref="BL15:BL16"/>
    <mergeCell ref="BM15:BM16"/>
    <mergeCell ref="BN15:BN16"/>
    <mergeCell ref="BO15:BO16"/>
    <mergeCell ref="BP18:BP25"/>
    <mergeCell ref="AK15:AK16"/>
    <mergeCell ref="AL15:AL16"/>
    <mergeCell ref="AM15:AM16"/>
    <mergeCell ref="AA15:AA16"/>
    <mergeCell ref="AB15:AB16"/>
    <mergeCell ref="AC15:AC16"/>
    <mergeCell ref="AD15:AD16"/>
    <mergeCell ref="AE15:AE16"/>
    <mergeCell ref="AF15:AF16"/>
    <mergeCell ref="U15:U16"/>
    <mergeCell ref="V15:V16"/>
    <mergeCell ref="W15:W16"/>
    <mergeCell ref="X15:X16"/>
    <mergeCell ref="Y15:Y16"/>
    <mergeCell ref="Z15:Z16"/>
    <mergeCell ref="L20:L25"/>
    <mergeCell ref="P20:P25"/>
    <mergeCell ref="Q20:Q25"/>
    <mergeCell ref="R20:R25"/>
    <mergeCell ref="S20:S25"/>
    <mergeCell ref="BF15:BF16"/>
    <mergeCell ref="BG15:BG16"/>
    <mergeCell ref="BH15:BH16"/>
    <mergeCell ref="BI15:BI16"/>
    <mergeCell ref="BJ15:BJ16"/>
    <mergeCell ref="BK15:BK16"/>
    <mergeCell ref="AZ15:AZ16"/>
    <mergeCell ref="BA15:BA16"/>
    <mergeCell ref="BB15:BB16"/>
    <mergeCell ref="BC15:BC16"/>
    <mergeCell ref="BD15:BD16"/>
    <mergeCell ref="BE15:BE16"/>
    <mergeCell ref="AT15:AT16"/>
    <mergeCell ref="AU15:AU16"/>
    <mergeCell ref="AV15:AV16"/>
    <mergeCell ref="AW15:AW16"/>
    <mergeCell ref="AX15:AX16"/>
    <mergeCell ref="AY15:AY16"/>
    <mergeCell ref="AN15:AN16"/>
    <mergeCell ref="AO15:AO16"/>
    <mergeCell ref="AP15:AP16"/>
    <mergeCell ref="AQ15:AQ16"/>
    <mergeCell ref="AR15:AR16"/>
    <mergeCell ref="AS15:AS16"/>
    <mergeCell ref="AH15:AH16"/>
    <mergeCell ref="AI15:AI16"/>
    <mergeCell ref="AJ15:AJ16"/>
    <mergeCell ref="L15:L16"/>
    <mergeCell ref="P15:P16"/>
    <mergeCell ref="Q15:Q16"/>
    <mergeCell ref="R15:R16"/>
    <mergeCell ref="S15:S16"/>
    <mergeCell ref="T15:T16"/>
    <mergeCell ref="BF12:BF14"/>
    <mergeCell ref="BG12:BG14"/>
    <mergeCell ref="BH12:BH14"/>
    <mergeCell ref="BI12:BI14"/>
    <mergeCell ref="BJ12:BJ14"/>
    <mergeCell ref="BK12:BK14"/>
    <mergeCell ref="AZ12:AZ14"/>
    <mergeCell ref="BA12:BA14"/>
    <mergeCell ref="BB12:BB14"/>
    <mergeCell ref="BC12:BC14"/>
    <mergeCell ref="BD12:BD14"/>
    <mergeCell ref="BE12:BE14"/>
    <mergeCell ref="AT12:AT14"/>
    <mergeCell ref="AU12:AU14"/>
    <mergeCell ref="AV12:AV14"/>
    <mergeCell ref="AW12:AW14"/>
    <mergeCell ref="AX12:AX14"/>
    <mergeCell ref="AY12:AY14"/>
    <mergeCell ref="AN12:AN14"/>
    <mergeCell ref="AO12:AO14"/>
    <mergeCell ref="AP12:AP14"/>
    <mergeCell ref="AQ12:AQ14"/>
    <mergeCell ref="AR12:AR14"/>
    <mergeCell ref="AS12:AS14"/>
    <mergeCell ref="AH12:AH14"/>
    <mergeCell ref="AI12:AI14"/>
    <mergeCell ref="AA12:AA14"/>
    <mergeCell ref="AB12:AB14"/>
    <mergeCell ref="AC12:AC14"/>
    <mergeCell ref="AD12:AD14"/>
    <mergeCell ref="AE12:AE14"/>
    <mergeCell ref="AF12:AF14"/>
    <mergeCell ref="U12:U14"/>
    <mergeCell ref="V12:V14"/>
    <mergeCell ref="W12:W14"/>
    <mergeCell ref="X12:X14"/>
    <mergeCell ref="Y12:Y14"/>
    <mergeCell ref="Z12:Z14"/>
    <mergeCell ref="L12:L14"/>
    <mergeCell ref="P12:P14"/>
    <mergeCell ref="Q12:Q14"/>
    <mergeCell ref="R12:R14"/>
    <mergeCell ref="S12:S14"/>
    <mergeCell ref="T12:T14"/>
    <mergeCell ref="AI5:AI7"/>
    <mergeCell ref="AJ5:AJ7"/>
    <mergeCell ref="AK5:AK7"/>
    <mergeCell ref="AL5:AL7"/>
    <mergeCell ref="AM5:AM7"/>
    <mergeCell ref="BL5:BL7"/>
    <mergeCell ref="BM5:BM7"/>
    <mergeCell ref="BN5:BN7"/>
    <mergeCell ref="BO5:BO7"/>
    <mergeCell ref="BP8:BP14"/>
    <mergeCell ref="BL12:BL14"/>
    <mergeCell ref="BM12:BM14"/>
    <mergeCell ref="BN12:BN14"/>
    <mergeCell ref="BO12:BO14"/>
    <mergeCell ref="BF5:BF7"/>
    <mergeCell ref="BG5:BG7"/>
    <mergeCell ref="BH5:BH7"/>
    <mergeCell ref="BI5:BI7"/>
    <mergeCell ref="BJ5:BJ7"/>
    <mergeCell ref="BK5:BK7"/>
    <mergeCell ref="AZ5:AZ7"/>
    <mergeCell ref="BA5:BA7"/>
    <mergeCell ref="BB5:BB7"/>
    <mergeCell ref="BC5:BC7"/>
    <mergeCell ref="BD5:BD7"/>
    <mergeCell ref="BE5:BE7"/>
    <mergeCell ref="AJ12:AJ14"/>
    <mergeCell ref="AK12:AK14"/>
    <mergeCell ref="AL12:AL14"/>
    <mergeCell ref="AM12:AM14"/>
    <mergeCell ref="BQ8:BQ14"/>
    <mergeCell ref="AA5:AA7"/>
    <mergeCell ref="AB5:AB7"/>
    <mergeCell ref="AC5:AC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L5:L7"/>
    <mergeCell ref="P5:P7"/>
    <mergeCell ref="Q5:Q7"/>
    <mergeCell ref="R5:R7"/>
    <mergeCell ref="S5:S7"/>
    <mergeCell ref="T5:T7"/>
    <mergeCell ref="AT5:AT7"/>
    <mergeCell ref="AU5:AU7"/>
    <mergeCell ref="AV5:AV7"/>
    <mergeCell ref="AW5:AW7"/>
    <mergeCell ref="AX5:AX7"/>
    <mergeCell ref="AY5:AY7"/>
    <mergeCell ref="AN5:AN7"/>
    <mergeCell ref="AO5:AO7"/>
    <mergeCell ref="AP5:AP7"/>
    <mergeCell ref="AQ5:AQ7"/>
    <mergeCell ref="AR5:AR7"/>
    <mergeCell ref="AS5:AS7"/>
    <mergeCell ref="AH5:AH7"/>
    <mergeCell ref="BR151:BR161"/>
    <mergeCell ref="BR162:BR172"/>
    <mergeCell ref="BR173:BR183"/>
    <mergeCell ref="BR184:BR193"/>
    <mergeCell ref="BR194:BR204"/>
    <mergeCell ref="BR205:BR214"/>
    <mergeCell ref="BR215:BR224"/>
    <mergeCell ref="BR225:BR229"/>
    <mergeCell ref="BR230:BR233"/>
    <mergeCell ref="BR26:BR29"/>
    <mergeCell ref="BR30:BR44"/>
    <mergeCell ref="BR18:BR25"/>
    <mergeCell ref="BR45:BR49"/>
    <mergeCell ref="BR50:BR54"/>
    <mergeCell ref="BR55:BR61"/>
    <mergeCell ref="BR62:BR71"/>
    <mergeCell ref="BR72:BR82"/>
    <mergeCell ref="BR83:BR92"/>
    <mergeCell ref="BR93:BR103"/>
    <mergeCell ref="BR104:BR113"/>
    <mergeCell ref="BR114:BR124"/>
    <mergeCell ref="BR125:BR132"/>
    <mergeCell ref="BR133:BR134"/>
    <mergeCell ref="BR135:BR144"/>
    <mergeCell ref="BR145:BR150"/>
  </mergeCells>
  <phoneticPr fontId="3" type="noConversion"/>
  <dataValidations count="1">
    <dataValidation type="list" allowBlank="1" showInputMessage="1" showErrorMessage="1" sqref="F2 S2" xr:uid="{00000000-0002-0000-0000-000000000000}">
      <formula1>"押一,押二,押三,自定义"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1007-5747-4DCF-89F1-240AE4DCE774}">
  <dimension ref="C1:N232"/>
  <sheetViews>
    <sheetView workbookViewId="0">
      <selection activeCell="O13" sqref="O13"/>
    </sheetView>
  </sheetViews>
  <sheetFormatPr defaultRowHeight="14.25" x14ac:dyDescent="0.2"/>
  <sheetData>
    <row r="1" spans="3:14" ht="15" thickBot="1" x14ac:dyDescent="0.25"/>
    <row r="2" spans="3:14" ht="45.75" thickBot="1" x14ac:dyDescent="0.25">
      <c r="C2" s="259" t="s">
        <v>22</v>
      </c>
      <c r="D2" s="260" t="s">
        <v>98</v>
      </c>
      <c r="E2" s="260" t="s">
        <v>100</v>
      </c>
      <c r="F2" s="260" t="s">
        <v>25</v>
      </c>
      <c r="G2" s="260" t="s">
        <v>127</v>
      </c>
      <c r="H2" s="260" t="s">
        <v>27</v>
      </c>
      <c r="I2" s="260" t="s">
        <v>128</v>
      </c>
      <c r="J2" s="265" t="s">
        <v>99</v>
      </c>
      <c r="K2" s="266"/>
    </row>
    <row r="3" spans="3:14" ht="58.5" customHeight="1" thickBot="1" x14ac:dyDescent="0.25">
      <c r="C3" s="261">
        <v>1</v>
      </c>
      <c r="D3" s="262" t="s">
        <v>105</v>
      </c>
      <c r="E3" s="262">
        <v>-1</v>
      </c>
      <c r="F3" s="262">
        <v>-101</v>
      </c>
      <c r="G3" s="262">
        <v>4764.29</v>
      </c>
      <c r="H3" s="262" t="s">
        <v>106</v>
      </c>
      <c r="I3" s="262">
        <v>1328</v>
      </c>
      <c r="J3" s="262" t="s">
        <v>129</v>
      </c>
      <c r="K3" s="267" t="s">
        <v>130</v>
      </c>
    </row>
    <row r="4" spans="3:14" ht="15.75" thickBot="1" x14ac:dyDescent="0.25">
      <c r="C4" s="261">
        <v>2</v>
      </c>
      <c r="D4" s="262" t="s">
        <v>105</v>
      </c>
      <c r="E4" s="262">
        <v>-2</v>
      </c>
      <c r="F4" s="262">
        <v>-201</v>
      </c>
      <c r="G4" s="262">
        <v>4671.58</v>
      </c>
      <c r="H4" s="262" t="s">
        <v>106</v>
      </c>
      <c r="I4" s="262">
        <v>1480</v>
      </c>
      <c r="J4" s="262" t="s">
        <v>131</v>
      </c>
      <c r="K4" s="268"/>
    </row>
    <row r="5" spans="3:14" ht="15.75" thickBot="1" x14ac:dyDescent="0.25">
      <c r="C5" s="261">
        <v>3</v>
      </c>
      <c r="D5" s="262" t="s">
        <v>105</v>
      </c>
      <c r="E5" s="262">
        <v>-3</v>
      </c>
      <c r="F5" s="262">
        <v>-301</v>
      </c>
      <c r="G5" s="262">
        <v>4733.8500000000004</v>
      </c>
      <c r="H5" s="262" t="s">
        <v>106</v>
      </c>
      <c r="I5" s="262">
        <v>1494</v>
      </c>
      <c r="J5" s="262" t="s">
        <v>132</v>
      </c>
      <c r="K5" s="269"/>
    </row>
    <row r="6" spans="3:14" ht="15.75" thickBot="1" x14ac:dyDescent="0.25">
      <c r="C6" s="263">
        <v>4</v>
      </c>
      <c r="D6" s="262" t="s">
        <v>105</v>
      </c>
      <c r="E6" s="267">
        <v>3</v>
      </c>
      <c r="F6" s="264">
        <v>301</v>
      </c>
      <c r="G6" s="264">
        <v>343.47</v>
      </c>
      <c r="H6" s="264" t="s">
        <v>83</v>
      </c>
      <c r="I6" s="267">
        <v>8989</v>
      </c>
      <c r="J6" s="270" t="s">
        <v>133</v>
      </c>
      <c r="K6" s="271"/>
    </row>
    <row r="7" spans="3:14" ht="15.75" thickBot="1" x14ac:dyDescent="0.25">
      <c r="C7" s="263">
        <v>5</v>
      </c>
      <c r="D7" s="262" t="s">
        <v>105</v>
      </c>
      <c r="E7" s="268"/>
      <c r="F7" s="264">
        <v>302</v>
      </c>
      <c r="G7" s="264">
        <v>207.99</v>
      </c>
      <c r="H7" s="264" t="s">
        <v>83</v>
      </c>
      <c r="I7" s="268"/>
      <c r="J7" s="272"/>
      <c r="K7" s="273"/>
    </row>
    <row r="8" spans="3:14" ht="15.75" thickBot="1" x14ac:dyDescent="0.25">
      <c r="C8" s="263">
        <v>6</v>
      </c>
      <c r="D8" s="262" t="s">
        <v>105</v>
      </c>
      <c r="E8" s="268"/>
      <c r="F8" s="264">
        <v>303</v>
      </c>
      <c r="G8" s="264">
        <v>272.14999999999998</v>
      </c>
      <c r="H8" s="264" t="s">
        <v>83</v>
      </c>
      <c r="I8" s="268"/>
      <c r="J8" s="272"/>
      <c r="K8" s="273"/>
    </row>
    <row r="9" spans="3:14" ht="15.75" thickBot="1" x14ac:dyDescent="0.25">
      <c r="C9" s="263">
        <v>7</v>
      </c>
      <c r="D9" s="262" t="s">
        <v>105</v>
      </c>
      <c r="E9" s="268"/>
      <c r="F9" s="264">
        <v>306</v>
      </c>
      <c r="G9" s="264">
        <v>39.54</v>
      </c>
      <c r="H9" s="264" t="s">
        <v>83</v>
      </c>
      <c r="I9" s="268"/>
      <c r="J9" s="272"/>
      <c r="K9" s="273"/>
    </row>
    <row r="10" spans="3:14" ht="15.75" thickBot="1" x14ac:dyDescent="0.25">
      <c r="C10" s="263">
        <v>8</v>
      </c>
      <c r="D10" s="262" t="s">
        <v>105</v>
      </c>
      <c r="E10" s="268"/>
      <c r="F10" s="264">
        <v>307</v>
      </c>
      <c r="G10" s="264">
        <v>39.44</v>
      </c>
      <c r="H10" s="264" t="s">
        <v>83</v>
      </c>
      <c r="I10" s="268"/>
      <c r="J10" s="272"/>
      <c r="K10" s="273"/>
    </row>
    <row r="11" spans="3:14" ht="15.75" thickBot="1" x14ac:dyDescent="0.25">
      <c r="C11" s="263">
        <v>9</v>
      </c>
      <c r="D11" s="262" t="s">
        <v>105</v>
      </c>
      <c r="E11" s="268"/>
      <c r="F11" s="264">
        <v>309</v>
      </c>
      <c r="G11" s="264">
        <v>272.14</v>
      </c>
      <c r="H11" s="264" t="s">
        <v>83</v>
      </c>
      <c r="I11" s="268"/>
      <c r="J11" s="272"/>
      <c r="K11" s="273"/>
    </row>
    <row r="12" spans="3:14" ht="15.75" thickBot="1" x14ac:dyDescent="0.25">
      <c r="C12" s="263">
        <v>10</v>
      </c>
      <c r="D12" s="262" t="s">
        <v>105</v>
      </c>
      <c r="E12" s="269"/>
      <c r="F12" s="264">
        <v>310</v>
      </c>
      <c r="G12" s="264">
        <v>383.05</v>
      </c>
      <c r="H12" s="264" t="s">
        <v>83</v>
      </c>
      <c r="I12" s="269"/>
      <c r="J12" s="274"/>
      <c r="K12" s="275"/>
    </row>
    <row r="13" spans="3:14" ht="15.75" thickBot="1" x14ac:dyDescent="0.25">
      <c r="C13" s="263">
        <v>11</v>
      </c>
      <c r="D13" s="262" t="s">
        <v>105</v>
      </c>
      <c r="E13" s="262">
        <v>4</v>
      </c>
      <c r="F13" s="264">
        <v>501</v>
      </c>
      <c r="G13" s="264">
        <v>1211.45</v>
      </c>
      <c r="H13" s="264" t="s">
        <v>83</v>
      </c>
      <c r="I13" s="262">
        <v>7540</v>
      </c>
      <c r="J13" s="276" t="s">
        <v>133</v>
      </c>
      <c r="K13" s="277"/>
    </row>
    <row r="14" spans="3:14" ht="15.75" thickBot="1" x14ac:dyDescent="0.25">
      <c r="C14" s="263">
        <v>12</v>
      </c>
      <c r="D14" s="262" t="s">
        <v>105</v>
      </c>
      <c r="E14" s="262">
        <v>5</v>
      </c>
      <c r="F14" s="264">
        <v>601</v>
      </c>
      <c r="G14" s="264">
        <v>588.78</v>
      </c>
      <c r="H14" s="264" t="s">
        <v>83</v>
      </c>
      <c r="I14" s="262">
        <v>3665</v>
      </c>
      <c r="J14" s="276" t="s">
        <v>133</v>
      </c>
      <c r="K14" s="277"/>
      <c r="M14">
        <f>SUM(I3:I14)</f>
        <v>24496</v>
      </c>
      <c r="N14">
        <f>SUM(G3:G14)</f>
        <v>17527.729999999996</v>
      </c>
    </row>
    <row r="15" spans="3:14" ht="15" thickBot="1" x14ac:dyDescent="0.25">
      <c r="M15">
        <f>SUM(I17:I232)</f>
        <v>211645</v>
      </c>
      <c r="N15">
        <f>SUM(G17:G232)</f>
        <v>36343.769999999939</v>
      </c>
    </row>
    <row r="16" spans="3:14" ht="26.25" thickBot="1" x14ac:dyDescent="0.25">
      <c r="C16" s="278" t="s">
        <v>22</v>
      </c>
      <c r="D16" s="279" t="s">
        <v>98</v>
      </c>
      <c r="E16" s="280" t="s">
        <v>100</v>
      </c>
      <c r="F16" s="279" t="s">
        <v>25</v>
      </c>
      <c r="G16" s="279" t="s">
        <v>26</v>
      </c>
      <c r="H16" s="279" t="s">
        <v>27</v>
      </c>
      <c r="I16" s="280" t="s">
        <v>134</v>
      </c>
      <c r="J16" s="280" t="s">
        <v>99</v>
      </c>
      <c r="M16" s="299">
        <f>M14+M15</f>
        <v>236141</v>
      </c>
      <c r="N16" s="299">
        <f>N14+N15</f>
        <v>53871.499999999935</v>
      </c>
    </row>
    <row r="17" spans="3:10" ht="15" thickBot="1" x14ac:dyDescent="0.25">
      <c r="C17" s="281">
        <v>1</v>
      </c>
      <c r="D17" s="282" t="s">
        <v>110</v>
      </c>
      <c r="E17" s="287">
        <v>-1</v>
      </c>
      <c r="F17" s="283">
        <v>-105</v>
      </c>
      <c r="G17" s="283">
        <v>82.43</v>
      </c>
      <c r="H17" s="283" t="s">
        <v>86</v>
      </c>
      <c r="I17" s="287">
        <v>2684</v>
      </c>
      <c r="J17" s="287" t="s">
        <v>135</v>
      </c>
    </row>
    <row r="18" spans="3:10" ht="15" thickBot="1" x14ac:dyDescent="0.25">
      <c r="C18" s="281">
        <v>2</v>
      </c>
      <c r="D18" s="282" t="s">
        <v>110</v>
      </c>
      <c r="E18" s="288"/>
      <c r="F18" s="283">
        <v>-106</v>
      </c>
      <c r="G18" s="283">
        <v>113.91</v>
      </c>
      <c r="H18" s="283" t="s">
        <v>86</v>
      </c>
      <c r="I18" s="288"/>
      <c r="J18" s="288"/>
    </row>
    <row r="19" spans="3:10" ht="15" thickBot="1" x14ac:dyDescent="0.25">
      <c r="C19" s="281">
        <v>3</v>
      </c>
      <c r="D19" s="282" t="s">
        <v>110</v>
      </c>
      <c r="E19" s="288"/>
      <c r="F19" s="283">
        <v>-101</v>
      </c>
      <c r="G19" s="283">
        <v>164.93</v>
      </c>
      <c r="H19" s="283" t="s">
        <v>86</v>
      </c>
      <c r="I19" s="288"/>
      <c r="J19" s="288"/>
    </row>
    <row r="20" spans="3:10" ht="15" thickBot="1" x14ac:dyDescent="0.25">
      <c r="C20" s="281">
        <v>4</v>
      </c>
      <c r="D20" s="282" t="s">
        <v>110</v>
      </c>
      <c r="E20" s="288"/>
      <c r="F20" s="283">
        <v>-102</v>
      </c>
      <c r="G20" s="283">
        <v>151.38</v>
      </c>
      <c r="H20" s="283" t="s">
        <v>86</v>
      </c>
      <c r="I20" s="288"/>
      <c r="J20" s="288"/>
    </row>
    <row r="21" spans="3:10" ht="15" thickBot="1" x14ac:dyDescent="0.25">
      <c r="C21" s="281">
        <v>5</v>
      </c>
      <c r="D21" s="282" t="s">
        <v>110</v>
      </c>
      <c r="E21" s="288"/>
      <c r="F21" s="283">
        <v>-103</v>
      </c>
      <c r="G21" s="283">
        <v>177.18</v>
      </c>
      <c r="H21" s="283" t="s">
        <v>86</v>
      </c>
      <c r="I21" s="288"/>
      <c r="J21" s="288"/>
    </row>
    <row r="22" spans="3:10" ht="15" thickBot="1" x14ac:dyDescent="0.25">
      <c r="C22" s="281">
        <v>6</v>
      </c>
      <c r="D22" s="282" t="s">
        <v>110</v>
      </c>
      <c r="E22" s="288"/>
      <c r="F22" s="283">
        <v>-107</v>
      </c>
      <c r="G22" s="283">
        <v>221.06</v>
      </c>
      <c r="H22" s="283" t="s">
        <v>86</v>
      </c>
      <c r="I22" s="288"/>
      <c r="J22" s="288"/>
    </row>
    <row r="23" spans="3:10" ht="15" thickBot="1" x14ac:dyDescent="0.25">
      <c r="C23" s="281">
        <v>7</v>
      </c>
      <c r="D23" s="282" t="s">
        <v>110</v>
      </c>
      <c r="E23" s="288"/>
      <c r="F23" s="283">
        <v>-108</v>
      </c>
      <c r="G23" s="283">
        <v>190.76</v>
      </c>
      <c r="H23" s="283" t="s">
        <v>86</v>
      </c>
      <c r="I23" s="288"/>
      <c r="J23" s="288"/>
    </row>
    <row r="24" spans="3:10" ht="15" thickBot="1" x14ac:dyDescent="0.25">
      <c r="C24" s="281">
        <v>8</v>
      </c>
      <c r="D24" s="282" t="s">
        <v>110</v>
      </c>
      <c r="E24" s="289"/>
      <c r="F24" s="283">
        <v>-109</v>
      </c>
      <c r="G24" s="283">
        <v>287.14</v>
      </c>
      <c r="H24" s="283" t="s">
        <v>86</v>
      </c>
      <c r="I24" s="289"/>
      <c r="J24" s="289"/>
    </row>
    <row r="25" spans="3:10" ht="31.5" customHeight="1" thickBot="1" x14ac:dyDescent="0.25">
      <c r="C25" s="281">
        <v>9</v>
      </c>
      <c r="D25" s="282" t="s">
        <v>110</v>
      </c>
      <c r="E25" s="287">
        <v>1</v>
      </c>
      <c r="F25" s="283">
        <v>102</v>
      </c>
      <c r="G25" s="283">
        <v>155.69</v>
      </c>
      <c r="H25" s="283" t="s">
        <v>87</v>
      </c>
      <c r="I25" s="290">
        <v>7645</v>
      </c>
      <c r="J25" s="287" t="s">
        <v>136</v>
      </c>
    </row>
    <row r="26" spans="3:10" ht="15" thickBot="1" x14ac:dyDescent="0.25">
      <c r="C26" s="281">
        <v>10</v>
      </c>
      <c r="D26" s="282" t="s">
        <v>110</v>
      </c>
      <c r="E26" s="288"/>
      <c r="F26" s="283">
        <v>103</v>
      </c>
      <c r="G26" s="283">
        <v>198.17</v>
      </c>
      <c r="H26" s="283" t="s">
        <v>87</v>
      </c>
      <c r="I26" s="291"/>
      <c r="J26" s="288"/>
    </row>
    <row r="27" spans="3:10" ht="15" thickBot="1" x14ac:dyDescent="0.25">
      <c r="C27" s="281">
        <v>11</v>
      </c>
      <c r="D27" s="282" t="s">
        <v>110</v>
      </c>
      <c r="E27" s="288"/>
      <c r="F27" s="283">
        <v>105</v>
      </c>
      <c r="G27" s="283">
        <v>177.57</v>
      </c>
      <c r="H27" s="283" t="s">
        <v>87</v>
      </c>
      <c r="I27" s="291"/>
      <c r="J27" s="288"/>
    </row>
    <row r="28" spans="3:10" ht="15" thickBot="1" x14ac:dyDescent="0.25">
      <c r="C28" s="281">
        <v>12</v>
      </c>
      <c r="D28" s="282" t="s">
        <v>110</v>
      </c>
      <c r="E28" s="289"/>
      <c r="F28" s="283">
        <v>106</v>
      </c>
      <c r="G28" s="283">
        <v>188.89</v>
      </c>
      <c r="H28" s="283" t="s">
        <v>87</v>
      </c>
      <c r="I28" s="292"/>
      <c r="J28" s="289"/>
    </row>
    <row r="29" spans="3:10" ht="15" thickBot="1" x14ac:dyDescent="0.25">
      <c r="C29" s="284">
        <v>13</v>
      </c>
      <c r="D29" s="285" t="s">
        <v>110</v>
      </c>
      <c r="E29" s="285">
        <v>1</v>
      </c>
      <c r="F29" s="286">
        <v>101</v>
      </c>
      <c r="G29" s="286">
        <v>109.14</v>
      </c>
      <c r="H29" s="286" t="s">
        <v>87</v>
      </c>
      <c r="I29" s="293">
        <v>9052</v>
      </c>
      <c r="J29" s="296" t="s">
        <v>137</v>
      </c>
    </row>
    <row r="30" spans="3:10" ht="15" thickBot="1" x14ac:dyDescent="0.25">
      <c r="C30" s="284">
        <v>14</v>
      </c>
      <c r="D30" s="285" t="s">
        <v>110</v>
      </c>
      <c r="E30" s="285">
        <v>2</v>
      </c>
      <c r="F30" s="286">
        <v>201</v>
      </c>
      <c r="G30" s="286">
        <v>128.76</v>
      </c>
      <c r="H30" s="286" t="s">
        <v>87</v>
      </c>
      <c r="I30" s="294"/>
      <c r="J30" s="297"/>
    </row>
    <row r="31" spans="3:10" ht="15" thickBot="1" x14ac:dyDescent="0.25">
      <c r="C31" s="284">
        <v>15</v>
      </c>
      <c r="D31" s="285" t="s">
        <v>110</v>
      </c>
      <c r="E31" s="285">
        <v>2</v>
      </c>
      <c r="F31" s="286">
        <v>202</v>
      </c>
      <c r="G31" s="286">
        <v>280.61</v>
      </c>
      <c r="H31" s="286" t="s">
        <v>87</v>
      </c>
      <c r="I31" s="294"/>
      <c r="J31" s="297"/>
    </row>
    <row r="32" spans="3:10" ht="15" thickBot="1" x14ac:dyDescent="0.25">
      <c r="C32" s="284">
        <v>16</v>
      </c>
      <c r="D32" s="285" t="s">
        <v>110</v>
      </c>
      <c r="E32" s="285">
        <v>2</v>
      </c>
      <c r="F32" s="286">
        <v>203</v>
      </c>
      <c r="G32" s="286">
        <v>66.989999999999995</v>
      </c>
      <c r="H32" s="286" t="s">
        <v>87</v>
      </c>
      <c r="I32" s="294"/>
      <c r="J32" s="297"/>
    </row>
    <row r="33" spans="3:10" ht="15" thickBot="1" x14ac:dyDescent="0.25">
      <c r="C33" s="284">
        <v>17</v>
      </c>
      <c r="D33" s="285" t="s">
        <v>110</v>
      </c>
      <c r="E33" s="285">
        <v>2</v>
      </c>
      <c r="F33" s="286">
        <v>205</v>
      </c>
      <c r="G33" s="286">
        <v>325.72000000000003</v>
      </c>
      <c r="H33" s="286" t="s">
        <v>87</v>
      </c>
      <c r="I33" s="294"/>
      <c r="J33" s="297"/>
    </row>
    <row r="34" spans="3:10" ht="15" thickBot="1" x14ac:dyDescent="0.25">
      <c r="C34" s="284">
        <v>18</v>
      </c>
      <c r="D34" s="285" t="s">
        <v>110</v>
      </c>
      <c r="E34" s="285">
        <v>2</v>
      </c>
      <c r="F34" s="286">
        <v>206</v>
      </c>
      <c r="G34" s="286">
        <v>186.41</v>
      </c>
      <c r="H34" s="286" t="s">
        <v>87</v>
      </c>
      <c r="I34" s="294"/>
      <c r="J34" s="297"/>
    </row>
    <row r="35" spans="3:10" ht="15" thickBot="1" x14ac:dyDescent="0.25">
      <c r="C35" s="284">
        <v>19</v>
      </c>
      <c r="D35" s="285" t="s">
        <v>110</v>
      </c>
      <c r="E35" s="285">
        <v>2</v>
      </c>
      <c r="F35" s="286">
        <v>207</v>
      </c>
      <c r="G35" s="286">
        <v>137.07</v>
      </c>
      <c r="H35" s="286" t="s">
        <v>87</v>
      </c>
      <c r="I35" s="294"/>
      <c r="J35" s="297"/>
    </row>
    <row r="36" spans="3:10" ht="15" thickBot="1" x14ac:dyDescent="0.25">
      <c r="C36" s="284">
        <v>20</v>
      </c>
      <c r="D36" s="285" t="s">
        <v>110</v>
      </c>
      <c r="E36" s="285">
        <v>3</v>
      </c>
      <c r="F36" s="286">
        <v>301</v>
      </c>
      <c r="G36" s="286">
        <v>133.55000000000001</v>
      </c>
      <c r="H36" s="286" t="s">
        <v>83</v>
      </c>
      <c r="I36" s="294"/>
      <c r="J36" s="297"/>
    </row>
    <row r="37" spans="3:10" ht="15" thickBot="1" x14ac:dyDescent="0.25">
      <c r="C37" s="284">
        <v>21</v>
      </c>
      <c r="D37" s="285" t="s">
        <v>110</v>
      </c>
      <c r="E37" s="285">
        <v>3</v>
      </c>
      <c r="F37" s="286">
        <v>302</v>
      </c>
      <c r="G37" s="286">
        <v>214.7</v>
      </c>
      <c r="H37" s="286" t="s">
        <v>83</v>
      </c>
      <c r="I37" s="294"/>
      <c r="J37" s="297"/>
    </row>
    <row r="38" spans="3:10" ht="15" thickBot="1" x14ac:dyDescent="0.25">
      <c r="C38" s="284">
        <v>22</v>
      </c>
      <c r="D38" s="285" t="s">
        <v>110</v>
      </c>
      <c r="E38" s="285">
        <v>3</v>
      </c>
      <c r="F38" s="286">
        <v>303</v>
      </c>
      <c r="G38" s="286">
        <v>131.69</v>
      </c>
      <c r="H38" s="286" t="s">
        <v>83</v>
      </c>
      <c r="I38" s="294"/>
      <c r="J38" s="297"/>
    </row>
    <row r="39" spans="3:10" ht="15" thickBot="1" x14ac:dyDescent="0.25">
      <c r="C39" s="284">
        <v>23</v>
      </c>
      <c r="D39" s="285" t="s">
        <v>110</v>
      </c>
      <c r="E39" s="285">
        <v>3</v>
      </c>
      <c r="F39" s="286">
        <v>305</v>
      </c>
      <c r="G39" s="286">
        <v>200.45</v>
      </c>
      <c r="H39" s="286" t="s">
        <v>83</v>
      </c>
      <c r="I39" s="294"/>
      <c r="J39" s="297"/>
    </row>
    <row r="40" spans="3:10" ht="15" thickBot="1" x14ac:dyDescent="0.25">
      <c r="C40" s="284">
        <v>24</v>
      </c>
      <c r="D40" s="285" t="s">
        <v>110</v>
      </c>
      <c r="E40" s="285">
        <v>3</v>
      </c>
      <c r="F40" s="286">
        <v>306</v>
      </c>
      <c r="G40" s="286">
        <v>280.99</v>
      </c>
      <c r="H40" s="286" t="s">
        <v>83</v>
      </c>
      <c r="I40" s="294"/>
      <c r="J40" s="297"/>
    </row>
    <row r="41" spans="3:10" ht="15" thickBot="1" x14ac:dyDescent="0.25">
      <c r="C41" s="284">
        <v>25</v>
      </c>
      <c r="D41" s="285" t="s">
        <v>110</v>
      </c>
      <c r="E41" s="285">
        <v>3</v>
      </c>
      <c r="F41" s="286">
        <v>308</v>
      </c>
      <c r="G41" s="286">
        <v>392.71</v>
      </c>
      <c r="H41" s="286" t="s">
        <v>83</v>
      </c>
      <c r="I41" s="294"/>
      <c r="J41" s="297"/>
    </row>
    <row r="42" spans="3:10" ht="15" thickBot="1" x14ac:dyDescent="0.25">
      <c r="C42" s="284">
        <v>26</v>
      </c>
      <c r="D42" s="285" t="s">
        <v>110</v>
      </c>
      <c r="E42" s="285">
        <v>3</v>
      </c>
      <c r="F42" s="286">
        <v>309</v>
      </c>
      <c r="G42" s="286">
        <v>187.73</v>
      </c>
      <c r="H42" s="286" t="s">
        <v>83</v>
      </c>
      <c r="I42" s="294"/>
      <c r="J42" s="297"/>
    </row>
    <row r="43" spans="3:10" ht="15" thickBot="1" x14ac:dyDescent="0.25">
      <c r="C43" s="284">
        <v>27</v>
      </c>
      <c r="D43" s="285" t="s">
        <v>110</v>
      </c>
      <c r="E43" s="285">
        <v>3</v>
      </c>
      <c r="F43" s="286">
        <v>310</v>
      </c>
      <c r="G43" s="286">
        <v>209.42</v>
      </c>
      <c r="H43" s="286" t="s">
        <v>83</v>
      </c>
      <c r="I43" s="295"/>
      <c r="J43" s="298"/>
    </row>
    <row r="44" spans="3:10" ht="15" thickBot="1" x14ac:dyDescent="0.25">
      <c r="C44" s="281">
        <v>28</v>
      </c>
      <c r="D44" s="282" t="s">
        <v>110</v>
      </c>
      <c r="E44" s="287">
        <v>4</v>
      </c>
      <c r="F44" s="283">
        <v>502</v>
      </c>
      <c r="G44" s="283">
        <v>217.39</v>
      </c>
      <c r="H44" s="283" t="s">
        <v>83</v>
      </c>
      <c r="I44" s="287">
        <v>6016</v>
      </c>
      <c r="J44" s="287" t="s">
        <v>133</v>
      </c>
    </row>
    <row r="45" spans="3:10" ht="15" thickBot="1" x14ac:dyDescent="0.25">
      <c r="C45" s="281">
        <v>29</v>
      </c>
      <c r="D45" s="282" t="s">
        <v>110</v>
      </c>
      <c r="E45" s="288"/>
      <c r="F45" s="283">
        <v>505</v>
      </c>
      <c r="G45" s="283">
        <v>245.83</v>
      </c>
      <c r="H45" s="283" t="s">
        <v>83</v>
      </c>
      <c r="I45" s="288"/>
      <c r="J45" s="288"/>
    </row>
    <row r="46" spans="3:10" ht="15" thickBot="1" x14ac:dyDescent="0.25">
      <c r="C46" s="281">
        <v>30</v>
      </c>
      <c r="D46" s="282" t="s">
        <v>110</v>
      </c>
      <c r="E46" s="288"/>
      <c r="F46" s="283">
        <v>507</v>
      </c>
      <c r="G46" s="283">
        <v>139.52000000000001</v>
      </c>
      <c r="H46" s="283" t="s">
        <v>83</v>
      </c>
      <c r="I46" s="288"/>
      <c r="J46" s="288"/>
    </row>
    <row r="47" spans="3:10" ht="15" thickBot="1" x14ac:dyDescent="0.25">
      <c r="C47" s="281">
        <v>31</v>
      </c>
      <c r="D47" s="282" t="s">
        <v>110</v>
      </c>
      <c r="E47" s="288"/>
      <c r="F47" s="283">
        <v>508</v>
      </c>
      <c r="G47" s="283">
        <v>177.56</v>
      </c>
      <c r="H47" s="283" t="s">
        <v>83</v>
      </c>
      <c r="I47" s="288"/>
      <c r="J47" s="288"/>
    </row>
    <row r="48" spans="3:10" ht="15" thickBot="1" x14ac:dyDescent="0.25">
      <c r="C48" s="281">
        <v>32</v>
      </c>
      <c r="D48" s="282" t="s">
        <v>110</v>
      </c>
      <c r="E48" s="289"/>
      <c r="F48" s="283">
        <v>509</v>
      </c>
      <c r="G48" s="283">
        <v>197.21</v>
      </c>
      <c r="H48" s="283" t="s">
        <v>83</v>
      </c>
      <c r="I48" s="289"/>
      <c r="J48" s="289"/>
    </row>
    <row r="49" spans="3:10" ht="15" thickBot="1" x14ac:dyDescent="0.25">
      <c r="C49" s="281">
        <v>33</v>
      </c>
      <c r="D49" s="282" t="s">
        <v>110</v>
      </c>
      <c r="E49" s="287">
        <v>5</v>
      </c>
      <c r="F49" s="283">
        <v>602</v>
      </c>
      <c r="G49" s="283">
        <v>216.1</v>
      </c>
      <c r="H49" s="283" t="s">
        <v>83</v>
      </c>
      <c r="I49" s="287">
        <v>6622</v>
      </c>
      <c r="J49" s="287" t="s">
        <v>133</v>
      </c>
    </row>
    <row r="50" spans="3:10" ht="15" thickBot="1" x14ac:dyDescent="0.25">
      <c r="C50" s="281">
        <v>34</v>
      </c>
      <c r="D50" s="282" t="s">
        <v>110</v>
      </c>
      <c r="E50" s="288"/>
      <c r="F50" s="283">
        <v>605</v>
      </c>
      <c r="G50" s="283">
        <v>196.75</v>
      </c>
      <c r="H50" s="283" t="s">
        <v>83</v>
      </c>
      <c r="I50" s="288"/>
      <c r="J50" s="288"/>
    </row>
    <row r="51" spans="3:10" ht="15" thickBot="1" x14ac:dyDescent="0.25">
      <c r="C51" s="281">
        <v>35</v>
      </c>
      <c r="D51" s="282" t="s">
        <v>110</v>
      </c>
      <c r="E51" s="288"/>
      <c r="F51" s="283">
        <v>607</v>
      </c>
      <c r="G51" s="283">
        <v>235.3</v>
      </c>
      <c r="H51" s="283" t="s">
        <v>83</v>
      </c>
      <c r="I51" s="288"/>
      <c r="J51" s="288"/>
    </row>
    <row r="52" spans="3:10" ht="15" thickBot="1" x14ac:dyDescent="0.25">
      <c r="C52" s="281">
        <v>36</v>
      </c>
      <c r="D52" s="282" t="s">
        <v>110</v>
      </c>
      <c r="E52" s="288"/>
      <c r="F52" s="283">
        <v>608</v>
      </c>
      <c r="G52" s="283">
        <v>245.69</v>
      </c>
      <c r="H52" s="283" t="s">
        <v>83</v>
      </c>
      <c r="I52" s="288"/>
      <c r="J52" s="288"/>
    </row>
    <row r="53" spans="3:10" ht="15" thickBot="1" x14ac:dyDescent="0.25">
      <c r="C53" s="281">
        <v>37</v>
      </c>
      <c r="D53" s="282" t="s">
        <v>110</v>
      </c>
      <c r="E53" s="289"/>
      <c r="F53" s="283">
        <v>609</v>
      </c>
      <c r="G53" s="283">
        <v>189.13</v>
      </c>
      <c r="H53" s="283" t="s">
        <v>83</v>
      </c>
      <c r="I53" s="289"/>
      <c r="J53" s="289"/>
    </row>
    <row r="54" spans="3:10" ht="15" thickBot="1" x14ac:dyDescent="0.25">
      <c r="C54" s="281">
        <v>38</v>
      </c>
      <c r="D54" s="282" t="s">
        <v>110</v>
      </c>
      <c r="E54" s="287">
        <v>6</v>
      </c>
      <c r="F54" s="283">
        <v>701</v>
      </c>
      <c r="G54" s="283">
        <v>133.94999999999999</v>
      </c>
      <c r="H54" s="283" t="s">
        <v>83</v>
      </c>
      <c r="I54" s="287">
        <v>8619</v>
      </c>
      <c r="J54" s="287" t="s">
        <v>133</v>
      </c>
    </row>
    <row r="55" spans="3:10" ht="15" thickBot="1" x14ac:dyDescent="0.25">
      <c r="C55" s="281">
        <v>39</v>
      </c>
      <c r="D55" s="282" t="s">
        <v>110</v>
      </c>
      <c r="E55" s="288"/>
      <c r="F55" s="283">
        <v>702</v>
      </c>
      <c r="G55" s="283">
        <v>215.21</v>
      </c>
      <c r="H55" s="283" t="s">
        <v>83</v>
      </c>
      <c r="I55" s="288"/>
      <c r="J55" s="288"/>
    </row>
    <row r="56" spans="3:10" ht="15" thickBot="1" x14ac:dyDescent="0.25">
      <c r="C56" s="281">
        <v>40</v>
      </c>
      <c r="D56" s="282" t="s">
        <v>110</v>
      </c>
      <c r="E56" s="288"/>
      <c r="F56" s="283">
        <v>705</v>
      </c>
      <c r="G56" s="283">
        <v>245.95</v>
      </c>
      <c r="H56" s="283" t="s">
        <v>83</v>
      </c>
      <c r="I56" s="288"/>
      <c r="J56" s="288"/>
    </row>
    <row r="57" spans="3:10" ht="15" thickBot="1" x14ac:dyDescent="0.25">
      <c r="C57" s="281">
        <v>41</v>
      </c>
      <c r="D57" s="282" t="s">
        <v>110</v>
      </c>
      <c r="E57" s="288"/>
      <c r="F57" s="283">
        <v>706</v>
      </c>
      <c r="G57" s="283">
        <v>145.26</v>
      </c>
      <c r="H57" s="283" t="s">
        <v>83</v>
      </c>
      <c r="I57" s="288"/>
      <c r="J57" s="288"/>
    </row>
    <row r="58" spans="3:10" ht="15" thickBot="1" x14ac:dyDescent="0.25">
      <c r="C58" s="281">
        <v>42</v>
      </c>
      <c r="D58" s="282" t="s">
        <v>110</v>
      </c>
      <c r="E58" s="288"/>
      <c r="F58" s="283">
        <v>707</v>
      </c>
      <c r="G58" s="283">
        <v>235.3</v>
      </c>
      <c r="H58" s="283" t="s">
        <v>83</v>
      </c>
      <c r="I58" s="288"/>
      <c r="J58" s="288"/>
    </row>
    <row r="59" spans="3:10" ht="15" thickBot="1" x14ac:dyDescent="0.25">
      <c r="C59" s="281">
        <v>43</v>
      </c>
      <c r="D59" s="282" t="s">
        <v>110</v>
      </c>
      <c r="E59" s="288"/>
      <c r="F59" s="283">
        <v>708</v>
      </c>
      <c r="G59" s="283">
        <v>245.69</v>
      </c>
      <c r="H59" s="283" t="s">
        <v>83</v>
      </c>
      <c r="I59" s="288"/>
      <c r="J59" s="288"/>
    </row>
    <row r="60" spans="3:10" ht="15" thickBot="1" x14ac:dyDescent="0.25">
      <c r="C60" s="281">
        <v>44</v>
      </c>
      <c r="D60" s="282" t="s">
        <v>110</v>
      </c>
      <c r="E60" s="289"/>
      <c r="F60" s="283">
        <v>709</v>
      </c>
      <c r="G60" s="283">
        <v>189.13</v>
      </c>
      <c r="H60" s="283" t="s">
        <v>83</v>
      </c>
      <c r="I60" s="289"/>
      <c r="J60" s="289"/>
    </row>
    <row r="61" spans="3:10" ht="15" thickBot="1" x14ac:dyDescent="0.25">
      <c r="C61" s="281">
        <v>45</v>
      </c>
      <c r="D61" s="282" t="s">
        <v>110</v>
      </c>
      <c r="E61" s="287">
        <v>7</v>
      </c>
      <c r="F61" s="283">
        <v>801</v>
      </c>
      <c r="G61" s="283">
        <v>134.94</v>
      </c>
      <c r="H61" s="283" t="s">
        <v>83</v>
      </c>
      <c r="I61" s="287">
        <v>12154</v>
      </c>
      <c r="J61" s="287" t="s">
        <v>133</v>
      </c>
    </row>
    <row r="62" spans="3:10" ht="15" thickBot="1" x14ac:dyDescent="0.25">
      <c r="C62" s="281">
        <v>46</v>
      </c>
      <c r="D62" s="282" t="s">
        <v>110</v>
      </c>
      <c r="E62" s="288"/>
      <c r="F62" s="283">
        <v>802</v>
      </c>
      <c r="G62" s="283">
        <v>216.1</v>
      </c>
      <c r="H62" s="283" t="s">
        <v>83</v>
      </c>
      <c r="I62" s="288"/>
      <c r="J62" s="288"/>
    </row>
    <row r="63" spans="3:10" ht="15" thickBot="1" x14ac:dyDescent="0.25">
      <c r="C63" s="281">
        <v>47</v>
      </c>
      <c r="D63" s="282" t="s">
        <v>110</v>
      </c>
      <c r="E63" s="288"/>
      <c r="F63" s="283">
        <v>803</v>
      </c>
      <c r="G63" s="283">
        <v>133.08000000000001</v>
      </c>
      <c r="H63" s="283" t="s">
        <v>83</v>
      </c>
      <c r="I63" s="288"/>
      <c r="J63" s="288"/>
    </row>
    <row r="64" spans="3:10" ht="15" thickBot="1" x14ac:dyDescent="0.25">
      <c r="C64" s="281">
        <v>48</v>
      </c>
      <c r="D64" s="282" t="s">
        <v>110</v>
      </c>
      <c r="E64" s="288"/>
      <c r="F64" s="283">
        <v>805</v>
      </c>
      <c r="G64" s="283">
        <v>196.75</v>
      </c>
      <c r="H64" s="283" t="s">
        <v>83</v>
      </c>
      <c r="I64" s="288"/>
      <c r="J64" s="288"/>
    </row>
    <row r="65" spans="3:10" ht="15" thickBot="1" x14ac:dyDescent="0.25">
      <c r="C65" s="281">
        <v>49</v>
      </c>
      <c r="D65" s="282" t="s">
        <v>110</v>
      </c>
      <c r="E65" s="288"/>
      <c r="F65" s="283">
        <v>806</v>
      </c>
      <c r="G65" s="283">
        <v>145.26</v>
      </c>
      <c r="H65" s="283" t="s">
        <v>83</v>
      </c>
      <c r="I65" s="288"/>
      <c r="J65" s="288"/>
    </row>
    <row r="66" spans="3:10" ht="15" thickBot="1" x14ac:dyDescent="0.25">
      <c r="C66" s="281">
        <v>50</v>
      </c>
      <c r="D66" s="282" t="s">
        <v>110</v>
      </c>
      <c r="E66" s="288"/>
      <c r="F66" s="283">
        <v>807</v>
      </c>
      <c r="G66" s="283">
        <v>317.08</v>
      </c>
      <c r="H66" s="283" t="s">
        <v>83</v>
      </c>
      <c r="I66" s="288"/>
      <c r="J66" s="288"/>
    </row>
    <row r="67" spans="3:10" ht="15" thickBot="1" x14ac:dyDescent="0.25">
      <c r="C67" s="281">
        <v>51</v>
      </c>
      <c r="D67" s="282" t="s">
        <v>110</v>
      </c>
      <c r="E67" s="288"/>
      <c r="F67" s="283">
        <v>808</v>
      </c>
      <c r="G67" s="283">
        <v>208.27</v>
      </c>
      <c r="H67" s="283" t="s">
        <v>83</v>
      </c>
      <c r="I67" s="288"/>
      <c r="J67" s="288"/>
    </row>
    <row r="68" spans="3:10" ht="15" thickBot="1" x14ac:dyDescent="0.25">
      <c r="C68" s="281">
        <v>52</v>
      </c>
      <c r="D68" s="282" t="s">
        <v>110</v>
      </c>
      <c r="E68" s="288"/>
      <c r="F68" s="283">
        <v>809</v>
      </c>
      <c r="G68" s="283">
        <v>189.13</v>
      </c>
      <c r="H68" s="283" t="s">
        <v>83</v>
      </c>
      <c r="I68" s="288"/>
      <c r="J68" s="288"/>
    </row>
    <row r="69" spans="3:10" ht="15" thickBot="1" x14ac:dyDescent="0.25">
      <c r="C69" s="281">
        <v>53</v>
      </c>
      <c r="D69" s="282" t="s">
        <v>110</v>
      </c>
      <c r="E69" s="288"/>
      <c r="F69" s="283">
        <v>810</v>
      </c>
      <c r="G69" s="283">
        <v>203.74</v>
      </c>
      <c r="H69" s="283" t="s">
        <v>83</v>
      </c>
      <c r="I69" s="288"/>
      <c r="J69" s="288"/>
    </row>
    <row r="70" spans="3:10" ht="15" thickBot="1" x14ac:dyDescent="0.25">
      <c r="C70" s="281">
        <v>54</v>
      </c>
      <c r="D70" s="282" t="s">
        <v>110</v>
      </c>
      <c r="E70" s="289"/>
      <c r="F70" s="283">
        <v>811</v>
      </c>
      <c r="G70" s="283">
        <v>210.67</v>
      </c>
      <c r="H70" s="283" t="s">
        <v>83</v>
      </c>
      <c r="I70" s="289"/>
      <c r="J70" s="289"/>
    </row>
    <row r="71" spans="3:10" ht="15" thickBot="1" x14ac:dyDescent="0.25">
      <c r="C71" s="281">
        <v>55</v>
      </c>
      <c r="D71" s="282" t="s">
        <v>110</v>
      </c>
      <c r="E71" s="287">
        <v>8</v>
      </c>
      <c r="F71" s="283">
        <v>901</v>
      </c>
      <c r="G71" s="283">
        <v>134.94</v>
      </c>
      <c r="H71" s="283" t="s">
        <v>83</v>
      </c>
      <c r="I71" s="287">
        <v>10767</v>
      </c>
      <c r="J71" s="287" t="s">
        <v>133</v>
      </c>
    </row>
    <row r="72" spans="3:10" ht="15" thickBot="1" x14ac:dyDescent="0.25">
      <c r="C72" s="281">
        <v>56</v>
      </c>
      <c r="D72" s="282" t="s">
        <v>110</v>
      </c>
      <c r="E72" s="288"/>
      <c r="F72" s="283">
        <v>902</v>
      </c>
      <c r="G72" s="283">
        <v>216.1</v>
      </c>
      <c r="H72" s="283" t="s">
        <v>83</v>
      </c>
      <c r="I72" s="288"/>
      <c r="J72" s="288"/>
    </row>
    <row r="73" spans="3:10" ht="15" thickBot="1" x14ac:dyDescent="0.25">
      <c r="C73" s="281">
        <v>57</v>
      </c>
      <c r="D73" s="282" t="s">
        <v>110</v>
      </c>
      <c r="E73" s="288"/>
      <c r="F73" s="283">
        <v>903</v>
      </c>
      <c r="G73" s="283">
        <v>129.54</v>
      </c>
      <c r="H73" s="283" t="s">
        <v>83</v>
      </c>
      <c r="I73" s="288"/>
      <c r="J73" s="288"/>
    </row>
    <row r="74" spans="3:10" ht="15" thickBot="1" x14ac:dyDescent="0.25">
      <c r="C74" s="281">
        <v>58</v>
      </c>
      <c r="D74" s="282" t="s">
        <v>110</v>
      </c>
      <c r="E74" s="288"/>
      <c r="F74" s="283">
        <v>905</v>
      </c>
      <c r="G74" s="283">
        <v>196.75</v>
      </c>
      <c r="H74" s="283" t="s">
        <v>83</v>
      </c>
      <c r="I74" s="288"/>
      <c r="J74" s="288"/>
    </row>
    <row r="75" spans="3:10" ht="15" thickBot="1" x14ac:dyDescent="0.25">
      <c r="C75" s="281">
        <v>59</v>
      </c>
      <c r="D75" s="282" t="s">
        <v>110</v>
      </c>
      <c r="E75" s="288"/>
      <c r="F75" s="283">
        <v>906</v>
      </c>
      <c r="G75" s="283">
        <v>145.26</v>
      </c>
      <c r="H75" s="283" t="s">
        <v>83</v>
      </c>
      <c r="I75" s="288"/>
      <c r="J75" s="288"/>
    </row>
    <row r="76" spans="3:10" ht="15" thickBot="1" x14ac:dyDescent="0.25">
      <c r="C76" s="281">
        <v>60</v>
      </c>
      <c r="D76" s="282" t="s">
        <v>110</v>
      </c>
      <c r="E76" s="288"/>
      <c r="F76" s="283">
        <v>907</v>
      </c>
      <c r="G76" s="283">
        <v>139.97999999999999</v>
      </c>
      <c r="H76" s="283" t="s">
        <v>83</v>
      </c>
      <c r="I76" s="288"/>
      <c r="J76" s="288"/>
    </row>
    <row r="77" spans="3:10" ht="15" thickBot="1" x14ac:dyDescent="0.25">
      <c r="C77" s="281">
        <v>61</v>
      </c>
      <c r="D77" s="282" t="s">
        <v>110</v>
      </c>
      <c r="E77" s="288"/>
      <c r="F77" s="283">
        <v>908</v>
      </c>
      <c r="G77" s="283">
        <v>135.16999999999999</v>
      </c>
      <c r="H77" s="283" t="s">
        <v>83</v>
      </c>
      <c r="I77" s="288"/>
      <c r="J77" s="288"/>
    </row>
    <row r="78" spans="3:10" ht="15" thickBot="1" x14ac:dyDescent="0.25">
      <c r="C78" s="281">
        <v>62</v>
      </c>
      <c r="D78" s="282" t="s">
        <v>110</v>
      </c>
      <c r="E78" s="288"/>
      <c r="F78" s="283">
        <v>909</v>
      </c>
      <c r="G78" s="283">
        <v>135.16999999999999</v>
      </c>
      <c r="H78" s="283" t="s">
        <v>83</v>
      </c>
      <c r="I78" s="288"/>
      <c r="J78" s="288"/>
    </row>
    <row r="79" spans="3:10" ht="15" thickBot="1" x14ac:dyDescent="0.25">
      <c r="C79" s="281">
        <v>63</v>
      </c>
      <c r="D79" s="282" t="s">
        <v>110</v>
      </c>
      <c r="E79" s="288"/>
      <c r="F79" s="283">
        <v>910</v>
      </c>
      <c r="G79" s="283">
        <v>139.97999999999999</v>
      </c>
      <c r="H79" s="283" t="s">
        <v>83</v>
      </c>
      <c r="I79" s="288"/>
      <c r="J79" s="288"/>
    </row>
    <row r="80" spans="3:10" ht="15" thickBot="1" x14ac:dyDescent="0.25">
      <c r="C80" s="281">
        <v>64</v>
      </c>
      <c r="D80" s="282" t="s">
        <v>110</v>
      </c>
      <c r="E80" s="288"/>
      <c r="F80" s="283">
        <v>911</v>
      </c>
      <c r="G80" s="283">
        <v>140.79</v>
      </c>
      <c r="H80" s="283" t="s">
        <v>83</v>
      </c>
      <c r="I80" s="288"/>
      <c r="J80" s="288"/>
    </row>
    <row r="81" spans="3:10" ht="15" thickBot="1" x14ac:dyDescent="0.25">
      <c r="C81" s="281">
        <v>65</v>
      </c>
      <c r="D81" s="282" t="s">
        <v>110</v>
      </c>
      <c r="E81" s="289"/>
      <c r="F81" s="283">
        <v>912</v>
      </c>
      <c r="G81" s="283">
        <v>210.76</v>
      </c>
      <c r="H81" s="283" t="s">
        <v>83</v>
      </c>
      <c r="I81" s="289"/>
      <c r="J81" s="289"/>
    </row>
    <row r="82" spans="3:10" ht="15" thickBot="1" x14ac:dyDescent="0.25">
      <c r="C82" s="281">
        <v>66</v>
      </c>
      <c r="D82" s="282" t="s">
        <v>110</v>
      </c>
      <c r="E82" s="287">
        <v>9</v>
      </c>
      <c r="F82" s="283">
        <v>1012</v>
      </c>
      <c r="G82" s="283">
        <v>210.76</v>
      </c>
      <c r="H82" s="283" t="s">
        <v>83</v>
      </c>
      <c r="I82" s="290">
        <v>10224</v>
      </c>
      <c r="J82" s="287" t="s">
        <v>133</v>
      </c>
    </row>
    <row r="83" spans="3:10" ht="15" thickBot="1" x14ac:dyDescent="0.25">
      <c r="C83" s="281">
        <v>67</v>
      </c>
      <c r="D83" s="282" t="s">
        <v>110</v>
      </c>
      <c r="E83" s="288"/>
      <c r="F83" s="283">
        <v>1001</v>
      </c>
      <c r="G83" s="283">
        <v>134.94</v>
      </c>
      <c r="H83" s="283" t="s">
        <v>83</v>
      </c>
      <c r="I83" s="291"/>
      <c r="J83" s="288"/>
    </row>
    <row r="84" spans="3:10" ht="15" thickBot="1" x14ac:dyDescent="0.25">
      <c r="C84" s="281">
        <v>68</v>
      </c>
      <c r="D84" s="282" t="s">
        <v>110</v>
      </c>
      <c r="E84" s="288"/>
      <c r="F84" s="283">
        <v>1002</v>
      </c>
      <c r="G84" s="283">
        <v>216.1</v>
      </c>
      <c r="H84" s="283" t="s">
        <v>83</v>
      </c>
      <c r="I84" s="291"/>
      <c r="J84" s="288"/>
    </row>
    <row r="85" spans="3:10" ht="15" thickBot="1" x14ac:dyDescent="0.25">
      <c r="C85" s="281">
        <v>69</v>
      </c>
      <c r="D85" s="282" t="s">
        <v>110</v>
      </c>
      <c r="E85" s="288"/>
      <c r="F85" s="283">
        <v>1005</v>
      </c>
      <c r="G85" s="283">
        <v>241.13</v>
      </c>
      <c r="H85" s="283" t="s">
        <v>83</v>
      </c>
      <c r="I85" s="291"/>
      <c r="J85" s="288"/>
    </row>
    <row r="86" spans="3:10" ht="15" thickBot="1" x14ac:dyDescent="0.25">
      <c r="C86" s="281">
        <v>70</v>
      </c>
      <c r="D86" s="282" t="s">
        <v>110</v>
      </c>
      <c r="E86" s="288"/>
      <c r="F86" s="283">
        <v>1006</v>
      </c>
      <c r="G86" s="283">
        <v>145.26</v>
      </c>
      <c r="H86" s="283" t="s">
        <v>83</v>
      </c>
      <c r="I86" s="291"/>
      <c r="J86" s="288"/>
    </row>
    <row r="87" spans="3:10" ht="15" thickBot="1" x14ac:dyDescent="0.25">
      <c r="C87" s="281">
        <v>71</v>
      </c>
      <c r="D87" s="282" t="s">
        <v>110</v>
      </c>
      <c r="E87" s="288"/>
      <c r="F87" s="283">
        <v>1007</v>
      </c>
      <c r="G87" s="283">
        <v>139.97999999999999</v>
      </c>
      <c r="H87" s="283" t="s">
        <v>83</v>
      </c>
      <c r="I87" s="291"/>
      <c r="J87" s="288"/>
    </row>
    <row r="88" spans="3:10" ht="15" thickBot="1" x14ac:dyDescent="0.25">
      <c r="C88" s="281">
        <v>72</v>
      </c>
      <c r="D88" s="282" t="s">
        <v>110</v>
      </c>
      <c r="E88" s="288"/>
      <c r="F88" s="283">
        <v>1008</v>
      </c>
      <c r="G88" s="283">
        <v>135.16999999999999</v>
      </c>
      <c r="H88" s="283" t="s">
        <v>83</v>
      </c>
      <c r="I88" s="291"/>
      <c r="J88" s="288"/>
    </row>
    <row r="89" spans="3:10" ht="15" thickBot="1" x14ac:dyDescent="0.25">
      <c r="C89" s="281">
        <v>73</v>
      </c>
      <c r="D89" s="282" t="s">
        <v>110</v>
      </c>
      <c r="E89" s="288"/>
      <c r="F89" s="283">
        <v>1009</v>
      </c>
      <c r="G89" s="283">
        <v>135.16999999999999</v>
      </c>
      <c r="H89" s="283" t="s">
        <v>83</v>
      </c>
      <c r="I89" s="291"/>
      <c r="J89" s="288"/>
    </row>
    <row r="90" spans="3:10" ht="15" thickBot="1" x14ac:dyDescent="0.25">
      <c r="C90" s="281">
        <v>74</v>
      </c>
      <c r="D90" s="282" t="s">
        <v>110</v>
      </c>
      <c r="E90" s="288"/>
      <c r="F90" s="283">
        <v>1010</v>
      </c>
      <c r="G90" s="283">
        <v>139.97999999999999</v>
      </c>
      <c r="H90" s="283" t="s">
        <v>83</v>
      </c>
      <c r="I90" s="291"/>
      <c r="J90" s="288"/>
    </row>
    <row r="91" spans="3:10" ht="15" thickBot="1" x14ac:dyDescent="0.25">
      <c r="C91" s="281">
        <v>75</v>
      </c>
      <c r="D91" s="282" t="s">
        <v>110</v>
      </c>
      <c r="E91" s="289"/>
      <c r="F91" s="283">
        <v>1011</v>
      </c>
      <c r="G91" s="283">
        <v>140.79</v>
      </c>
      <c r="H91" s="283" t="s">
        <v>83</v>
      </c>
      <c r="I91" s="292"/>
      <c r="J91" s="289"/>
    </row>
    <row r="92" spans="3:10" ht="15" thickBot="1" x14ac:dyDescent="0.25">
      <c r="C92" s="281">
        <v>76</v>
      </c>
      <c r="D92" s="282" t="s">
        <v>110</v>
      </c>
      <c r="E92" s="287">
        <v>10</v>
      </c>
      <c r="F92" s="283">
        <v>1101</v>
      </c>
      <c r="G92" s="283">
        <v>134.94</v>
      </c>
      <c r="H92" s="283" t="s">
        <v>83</v>
      </c>
      <c r="I92" s="290">
        <v>8348</v>
      </c>
      <c r="J92" s="287" t="s">
        <v>138</v>
      </c>
    </row>
    <row r="93" spans="3:10" ht="15" thickBot="1" x14ac:dyDescent="0.25">
      <c r="C93" s="281">
        <v>77</v>
      </c>
      <c r="D93" s="282" t="s">
        <v>110</v>
      </c>
      <c r="E93" s="288"/>
      <c r="F93" s="283">
        <v>1102</v>
      </c>
      <c r="G93" s="283">
        <v>215.59</v>
      </c>
      <c r="H93" s="283" t="s">
        <v>83</v>
      </c>
      <c r="I93" s="291"/>
      <c r="J93" s="288"/>
    </row>
    <row r="94" spans="3:10" ht="15" thickBot="1" x14ac:dyDescent="0.25">
      <c r="C94" s="281">
        <v>78</v>
      </c>
      <c r="D94" s="282" t="s">
        <v>110</v>
      </c>
      <c r="E94" s="288"/>
      <c r="F94" s="283">
        <v>1103</v>
      </c>
      <c r="G94" s="283">
        <v>124.16</v>
      </c>
      <c r="H94" s="283" t="s">
        <v>83</v>
      </c>
      <c r="I94" s="291"/>
      <c r="J94" s="288"/>
    </row>
    <row r="95" spans="3:10" ht="15" thickBot="1" x14ac:dyDescent="0.25">
      <c r="C95" s="281">
        <v>79</v>
      </c>
      <c r="D95" s="282" t="s">
        <v>110</v>
      </c>
      <c r="E95" s="288"/>
      <c r="F95" s="283">
        <v>1105</v>
      </c>
      <c r="G95" s="283">
        <v>194.83</v>
      </c>
      <c r="H95" s="283" t="s">
        <v>83</v>
      </c>
      <c r="I95" s="291"/>
      <c r="J95" s="288"/>
    </row>
    <row r="96" spans="3:10" ht="15" thickBot="1" x14ac:dyDescent="0.25">
      <c r="C96" s="281">
        <v>80</v>
      </c>
      <c r="D96" s="282" t="s">
        <v>110</v>
      </c>
      <c r="E96" s="288"/>
      <c r="F96" s="283">
        <v>1106</v>
      </c>
      <c r="G96" s="283">
        <v>145.26</v>
      </c>
      <c r="H96" s="283" t="s">
        <v>83</v>
      </c>
      <c r="I96" s="291"/>
      <c r="J96" s="288"/>
    </row>
    <row r="97" spans="3:10" ht="15" thickBot="1" x14ac:dyDescent="0.25">
      <c r="C97" s="281">
        <v>81</v>
      </c>
      <c r="D97" s="282" t="s">
        <v>110</v>
      </c>
      <c r="E97" s="288"/>
      <c r="F97" s="283">
        <v>1107</v>
      </c>
      <c r="G97" s="283">
        <v>139.97999999999999</v>
      </c>
      <c r="H97" s="283" t="s">
        <v>83</v>
      </c>
      <c r="I97" s="291"/>
      <c r="J97" s="288"/>
    </row>
    <row r="98" spans="3:10" ht="15" thickBot="1" x14ac:dyDescent="0.25">
      <c r="C98" s="281">
        <v>82</v>
      </c>
      <c r="D98" s="282" t="s">
        <v>110</v>
      </c>
      <c r="E98" s="288"/>
      <c r="F98" s="283">
        <v>1108</v>
      </c>
      <c r="G98" s="283">
        <v>135.16999999999999</v>
      </c>
      <c r="H98" s="283" t="s">
        <v>83</v>
      </c>
      <c r="I98" s="291"/>
      <c r="J98" s="288"/>
    </row>
    <row r="99" spans="3:10" ht="15" thickBot="1" x14ac:dyDescent="0.25">
      <c r="C99" s="281">
        <v>83</v>
      </c>
      <c r="D99" s="282" t="s">
        <v>110</v>
      </c>
      <c r="E99" s="288"/>
      <c r="F99" s="283">
        <v>1109</v>
      </c>
      <c r="G99" s="283">
        <v>135.16999999999999</v>
      </c>
      <c r="H99" s="283" t="s">
        <v>83</v>
      </c>
      <c r="I99" s="291"/>
      <c r="J99" s="288"/>
    </row>
    <row r="100" spans="3:10" ht="15" thickBot="1" x14ac:dyDescent="0.25">
      <c r="C100" s="281">
        <v>84</v>
      </c>
      <c r="D100" s="282" t="s">
        <v>110</v>
      </c>
      <c r="E100" s="288"/>
      <c r="F100" s="283">
        <v>1110</v>
      </c>
      <c r="G100" s="283">
        <v>139.97999999999999</v>
      </c>
      <c r="H100" s="283" t="s">
        <v>83</v>
      </c>
      <c r="I100" s="291"/>
      <c r="J100" s="288"/>
    </row>
    <row r="101" spans="3:10" ht="15" thickBot="1" x14ac:dyDescent="0.25">
      <c r="C101" s="281">
        <v>85</v>
      </c>
      <c r="D101" s="282" t="s">
        <v>110</v>
      </c>
      <c r="E101" s="288"/>
      <c r="F101" s="283">
        <v>1111</v>
      </c>
      <c r="G101" s="283">
        <v>140.79</v>
      </c>
      <c r="H101" s="283" t="s">
        <v>83</v>
      </c>
      <c r="I101" s="291"/>
      <c r="J101" s="288"/>
    </row>
    <row r="102" spans="3:10" ht="15" thickBot="1" x14ac:dyDescent="0.25">
      <c r="C102" s="281">
        <v>86</v>
      </c>
      <c r="D102" s="282" t="s">
        <v>110</v>
      </c>
      <c r="E102" s="289"/>
      <c r="F102" s="283">
        <v>1112</v>
      </c>
      <c r="G102" s="283">
        <v>208.48</v>
      </c>
      <c r="H102" s="283" t="s">
        <v>83</v>
      </c>
      <c r="I102" s="292"/>
      <c r="J102" s="289"/>
    </row>
    <row r="103" spans="3:10" ht="15" thickBot="1" x14ac:dyDescent="0.25">
      <c r="C103" s="281">
        <v>87</v>
      </c>
      <c r="D103" s="282" t="s">
        <v>110</v>
      </c>
      <c r="E103" s="287">
        <v>18</v>
      </c>
      <c r="F103" s="283">
        <v>2101</v>
      </c>
      <c r="G103" s="283">
        <v>134.94</v>
      </c>
      <c r="H103" s="283" t="s">
        <v>83</v>
      </c>
      <c r="I103" s="290">
        <v>8154</v>
      </c>
      <c r="J103" s="287" t="s">
        <v>133</v>
      </c>
    </row>
    <row r="104" spans="3:10" ht="15" thickBot="1" x14ac:dyDescent="0.25">
      <c r="C104" s="281">
        <v>88</v>
      </c>
      <c r="D104" s="282" t="s">
        <v>110</v>
      </c>
      <c r="E104" s="288"/>
      <c r="F104" s="283">
        <v>2102</v>
      </c>
      <c r="G104" s="283">
        <v>215.21</v>
      </c>
      <c r="H104" s="283" t="s">
        <v>83</v>
      </c>
      <c r="I104" s="291"/>
      <c r="J104" s="288"/>
    </row>
    <row r="105" spans="3:10" ht="15" thickBot="1" x14ac:dyDescent="0.25">
      <c r="C105" s="281">
        <v>89</v>
      </c>
      <c r="D105" s="282" t="s">
        <v>110</v>
      </c>
      <c r="E105" s="288"/>
      <c r="F105" s="283">
        <v>2105</v>
      </c>
      <c r="G105" s="283">
        <v>245.12</v>
      </c>
      <c r="H105" s="283" t="s">
        <v>83</v>
      </c>
      <c r="I105" s="291"/>
      <c r="J105" s="288"/>
    </row>
    <row r="106" spans="3:10" ht="15" thickBot="1" x14ac:dyDescent="0.25">
      <c r="C106" s="281">
        <v>90</v>
      </c>
      <c r="D106" s="282" t="s">
        <v>110</v>
      </c>
      <c r="E106" s="288"/>
      <c r="F106" s="283">
        <v>2106</v>
      </c>
      <c r="G106" s="283">
        <v>145.26</v>
      </c>
      <c r="H106" s="283" t="s">
        <v>83</v>
      </c>
      <c r="I106" s="291"/>
      <c r="J106" s="288"/>
    </row>
    <row r="107" spans="3:10" ht="15" thickBot="1" x14ac:dyDescent="0.25">
      <c r="C107" s="281">
        <v>91</v>
      </c>
      <c r="D107" s="282" t="s">
        <v>110</v>
      </c>
      <c r="E107" s="288"/>
      <c r="F107" s="283">
        <v>2107</v>
      </c>
      <c r="G107" s="283">
        <v>139.97999999999999</v>
      </c>
      <c r="H107" s="283" t="s">
        <v>83</v>
      </c>
      <c r="I107" s="291"/>
      <c r="J107" s="288"/>
    </row>
    <row r="108" spans="3:10" ht="15" thickBot="1" x14ac:dyDescent="0.25">
      <c r="C108" s="281">
        <v>92</v>
      </c>
      <c r="D108" s="282" t="s">
        <v>110</v>
      </c>
      <c r="E108" s="288"/>
      <c r="F108" s="283">
        <v>2108</v>
      </c>
      <c r="G108" s="283">
        <v>135.16999999999999</v>
      </c>
      <c r="H108" s="283" t="s">
        <v>83</v>
      </c>
      <c r="I108" s="291"/>
      <c r="J108" s="288"/>
    </row>
    <row r="109" spans="3:10" ht="15" thickBot="1" x14ac:dyDescent="0.25">
      <c r="C109" s="281">
        <v>93</v>
      </c>
      <c r="D109" s="282" t="s">
        <v>110</v>
      </c>
      <c r="E109" s="288"/>
      <c r="F109" s="283">
        <v>2109</v>
      </c>
      <c r="G109" s="283">
        <v>135.16999999999999</v>
      </c>
      <c r="H109" s="283" t="s">
        <v>83</v>
      </c>
      <c r="I109" s="291"/>
      <c r="J109" s="288"/>
    </row>
    <row r="110" spans="3:10" ht="15" thickBot="1" x14ac:dyDescent="0.25">
      <c r="C110" s="281">
        <v>94</v>
      </c>
      <c r="D110" s="282" t="s">
        <v>110</v>
      </c>
      <c r="E110" s="288"/>
      <c r="F110" s="283">
        <v>2110</v>
      </c>
      <c r="G110" s="283">
        <v>139.97999999999999</v>
      </c>
      <c r="H110" s="283" t="s">
        <v>83</v>
      </c>
      <c r="I110" s="291"/>
      <c r="J110" s="288"/>
    </row>
    <row r="111" spans="3:10" ht="15" thickBot="1" x14ac:dyDescent="0.25">
      <c r="C111" s="281">
        <v>95</v>
      </c>
      <c r="D111" s="282" t="s">
        <v>110</v>
      </c>
      <c r="E111" s="288"/>
      <c r="F111" s="283">
        <v>2111</v>
      </c>
      <c r="G111" s="283">
        <v>140.18</v>
      </c>
      <c r="H111" s="283" t="s">
        <v>83</v>
      </c>
      <c r="I111" s="291"/>
      <c r="J111" s="288"/>
    </row>
    <row r="112" spans="3:10" ht="15" thickBot="1" x14ac:dyDescent="0.25">
      <c r="C112" s="281">
        <v>96</v>
      </c>
      <c r="D112" s="282" t="s">
        <v>110</v>
      </c>
      <c r="E112" s="289"/>
      <c r="F112" s="283">
        <v>2112</v>
      </c>
      <c r="G112" s="283">
        <v>210.76</v>
      </c>
      <c r="H112" s="283" t="s">
        <v>83</v>
      </c>
      <c r="I112" s="292"/>
      <c r="J112" s="289"/>
    </row>
    <row r="113" spans="3:10" ht="15" thickBot="1" x14ac:dyDescent="0.25">
      <c r="C113" s="281">
        <v>97</v>
      </c>
      <c r="D113" s="282" t="s">
        <v>110</v>
      </c>
      <c r="E113" s="287">
        <v>11</v>
      </c>
      <c r="F113" s="283">
        <v>1201</v>
      </c>
      <c r="G113" s="283">
        <v>243.71</v>
      </c>
      <c r="H113" s="283" t="s">
        <v>83</v>
      </c>
      <c r="I113" s="290">
        <v>10721</v>
      </c>
      <c r="J113" s="287" t="s">
        <v>133</v>
      </c>
    </row>
    <row r="114" spans="3:10" ht="15" thickBot="1" x14ac:dyDescent="0.25">
      <c r="C114" s="281">
        <v>98</v>
      </c>
      <c r="D114" s="282" t="s">
        <v>110</v>
      </c>
      <c r="E114" s="288"/>
      <c r="F114" s="283">
        <v>1202</v>
      </c>
      <c r="G114" s="283">
        <v>234.16</v>
      </c>
      <c r="H114" s="283" t="s">
        <v>83</v>
      </c>
      <c r="I114" s="291"/>
      <c r="J114" s="288"/>
    </row>
    <row r="115" spans="3:10" ht="15" thickBot="1" x14ac:dyDescent="0.25">
      <c r="C115" s="281">
        <v>99</v>
      </c>
      <c r="D115" s="282" t="s">
        <v>110</v>
      </c>
      <c r="E115" s="288"/>
      <c r="F115" s="283">
        <v>1211</v>
      </c>
      <c r="G115" s="283">
        <v>140.79</v>
      </c>
      <c r="H115" s="283" t="s">
        <v>83</v>
      </c>
      <c r="I115" s="291"/>
      <c r="J115" s="288"/>
    </row>
    <row r="116" spans="3:10" ht="15" thickBot="1" x14ac:dyDescent="0.25">
      <c r="C116" s="281">
        <v>100</v>
      </c>
      <c r="D116" s="282" t="s">
        <v>110</v>
      </c>
      <c r="E116" s="288"/>
      <c r="F116" s="283">
        <v>1212</v>
      </c>
      <c r="G116" s="283">
        <v>204.62</v>
      </c>
      <c r="H116" s="283" t="s">
        <v>83</v>
      </c>
      <c r="I116" s="291"/>
      <c r="J116" s="288"/>
    </row>
    <row r="117" spans="3:10" ht="15" thickBot="1" x14ac:dyDescent="0.25">
      <c r="C117" s="281">
        <v>101</v>
      </c>
      <c r="D117" s="282" t="s">
        <v>110</v>
      </c>
      <c r="E117" s="288"/>
      <c r="F117" s="283" t="s">
        <v>113</v>
      </c>
      <c r="G117" s="283">
        <v>61.47</v>
      </c>
      <c r="H117" s="283" t="s">
        <v>83</v>
      </c>
      <c r="I117" s="291"/>
      <c r="J117" s="288"/>
    </row>
    <row r="118" spans="3:10" ht="15" thickBot="1" x14ac:dyDescent="0.25">
      <c r="C118" s="281">
        <v>102</v>
      </c>
      <c r="D118" s="282" t="s">
        <v>110</v>
      </c>
      <c r="E118" s="288"/>
      <c r="F118" s="283" t="s">
        <v>114</v>
      </c>
      <c r="G118" s="283">
        <v>136.37</v>
      </c>
      <c r="H118" s="283" t="s">
        <v>83</v>
      </c>
      <c r="I118" s="291"/>
      <c r="J118" s="288"/>
    </row>
    <row r="119" spans="3:10" ht="15" thickBot="1" x14ac:dyDescent="0.25">
      <c r="C119" s="281">
        <v>103</v>
      </c>
      <c r="D119" s="282" t="s">
        <v>110</v>
      </c>
      <c r="E119" s="288"/>
      <c r="F119" s="283">
        <v>1206</v>
      </c>
      <c r="G119" s="283">
        <v>145.26</v>
      </c>
      <c r="H119" s="283" t="s">
        <v>83</v>
      </c>
      <c r="I119" s="291"/>
      <c r="J119" s="288"/>
    </row>
    <row r="120" spans="3:10" ht="15" thickBot="1" x14ac:dyDescent="0.25">
      <c r="C120" s="281">
        <v>104</v>
      </c>
      <c r="D120" s="282" t="s">
        <v>110</v>
      </c>
      <c r="E120" s="288"/>
      <c r="F120" s="283">
        <v>1207</v>
      </c>
      <c r="G120" s="283">
        <v>139.97999999999999</v>
      </c>
      <c r="H120" s="283" t="s">
        <v>83</v>
      </c>
      <c r="I120" s="291"/>
      <c r="J120" s="288"/>
    </row>
    <row r="121" spans="3:10" ht="15" thickBot="1" x14ac:dyDescent="0.25">
      <c r="C121" s="281">
        <v>105</v>
      </c>
      <c r="D121" s="282" t="s">
        <v>110</v>
      </c>
      <c r="E121" s="288"/>
      <c r="F121" s="283">
        <v>1208</v>
      </c>
      <c r="G121" s="283">
        <v>135.16999999999999</v>
      </c>
      <c r="H121" s="283" t="s">
        <v>83</v>
      </c>
      <c r="I121" s="291"/>
      <c r="J121" s="288"/>
    </row>
    <row r="122" spans="3:10" ht="15" thickBot="1" x14ac:dyDescent="0.25">
      <c r="C122" s="281">
        <v>106</v>
      </c>
      <c r="D122" s="282" t="s">
        <v>110</v>
      </c>
      <c r="E122" s="288"/>
      <c r="F122" s="283">
        <v>1209</v>
      </c>
      <c r="G122" s="283">
        <v>135.16999999999999</v>
      </c>
      <c r="H122" s="283" t="s">
        <v>83</v>
      </c>
      <c r="I122" s="291"/>
      <c r="J122" s="288"/>
    </row>
    <row r="123" spans="3:10" ht="15" thickBot="1" x14ac:dyDescent="0.25">
      <c r="C123" s="281">
        <v>107</v>
      </c>
      <c r="D123" s="282" t="s">
        <v>110</v>
      </c>
      <c r="E123" s="289"/>
      <c r="F123" s="283">
        <v>1210</v>
      </c>
      <c r="G123" s="283">
        <v>139.97999999999999</v>
      </c>
      <c r="H123" s="283" t="s">
        <v>83</v>
      </c>
      <c r="I123" s="292"/>
      <c r="J123" s="289"/>
    </row>
    <row r="124" spans="3:10" ht="15" thickBot="1" x14ac:dyDescent="0.25">
      <c r="C124" s="281">
        <v>108</v>
      </c>
      <c r="D124" s="282" t="s">
        <v>110</v>
      </c>
      <c r="E124" s="287">
        <v>12</v>
      </c>
      <c r="F124" s="283">
        <v>1501</v>
      </c>
      <c r="G124" s="283">
        <v>242.71</v>
      </c>
      <c r="H124" s="283" t="s">
        <v>83</v>
      </c>
      <c r="I124" s="287">
        <v>8090</v>
      </c>
      <c r="J124" s="287" t="s">
        <v>133</v>
      </c>
    </row>
    <row r="125" spans="3:10" ht="15" thickBot="1" x14ac:dyDescent="0.25">
      <c r="C125" s="281">
        <v>109</v>
      </c>
      <c r="D125" s="282" t="s">
        <v>110</v>
      </c>
      <c r="E125" s="288"/>
      <c r="F125" s="283">
        <v>1502</v>
      </c>
      <c r="G125" s="283">
        <v>106.44</v>
      </c>
      <c r="H125" s="283" t="s">
        <v>83</v>
      </c>
      <c r="I125" s="288"/>
      <c r="J125" s="288"/>
    </row>
    <row r="126" spans="3:10" ht="15" thickBot="1" x14ac:dyDescent="0.25">
      <c r="C126" s="281">
        <v>110</v>
      </c>
      <c r="D126" s="282" t="s">
        <v>110</v>
      </c>
      <c r="E126" s="288"/>
      <c r="F126" s="283">
        <v>1505</v>
      </c>
      <c r="G126" s="283">
        <v>245.92</v>
      </c>
      <c r="H126" s="283" t="s">
        <v>83</v>
      </c>
      <c r="I126" s="288"/>
      <c r="J126" s="288"/>
    </row>
    <row r="127" spans="3:10" ht="15" thickBot="1" x14ac:dyDescent="0.25">
      <c r="C127" s="281">
        <v>111</v>
      </c>
      <c r="D127" s="282" t="s">
        <v>110</v>
      </c>
      <c r="E127" s="288"/>
      <c r="F127" s="283">
        <v>1506</v>
      </c>
      <c r="G127" s="283">
        <v>145.26</v>
      </c>
      <c r="H127" s="283" t="s">
        <v>83</v>
      </c>
      <c r="I127" s="288"/>
      <c r="J127" s="288"/>
    </row>
    <row r="128" spans="3:10" ht="15" thickBot="1" x14ac:dyDescent="0.25">
      <c r="C128" s="281">
        <v>112</v>
      </c>
      <c r="D128" s="282" t="s">
        <v>110</v>
      </c>
      <c r="E128" s="288"/>
      <c r="F128" s="283">
        <v>1507</v>
      </c>
      <c r="G128" s="283">
        <v>139.97999999999999</v>
      </c>
      <c r="H128" s="283" t="s">
        <v>83</v>
      </c>
      <c r="I128" s="288"/>
      <c r="J128" s="288"/>
    </row>
    <row r="129" spans="3:10" ht="15" thickBot="1" x14ac:dyDescent="0.25">
      <c r="C129" s="281">
        <v>113</v>
      </c>
      <c r="D129" s="282" t="s">
        <v>110</v>
      </c>
      <c r="E129" s="288"/>
      <c r="F129" s="283">
        <v>1508</v>
      </c>
      <c r="G129" s="283">
        <v>135.16999999999999</v>
      </c>
      <c r="H129" s="283" t="s">
        <v>83</v>
      </c>
      <c r="I129" s="288"/>
      <c r="J129" s="288"/>
    </row>
    <row r="130" spans="3:10" ht="15" thickBot="1" x14ac:dyDescent="0.25">
      <c r="C130" s="281">
        <v>114</v>
      </c>
      <c r="D130" s="282" t="s">
        <v>110</v>
      </c>
      <c r="E130" s="288"/>
      <c r="F130" s="283">
        <v>1509</v>
      </c>
      <c r="G130" s="283">
        <v>135.16999999999999</v>
      </c>
      <c r="H130" s="283" t="s">
        <v>83</v>
      </c>
      <c r="I130" s="288"/>
      <c r="J130" s="288"/>
    </row>
    <row r="131" spans="3:10" ht="15" thickBot="1" x14ac:dyDescent="0.25">
      <c r="C131" s="281">
        <v>115</v>
      </c>
      <c r="D131" s="282" t="s">
        <v>110</v>
      </c>
      <c r="E131" s="289"/>
      <c r="F131" s="283">
        <v>1510</v>
      </c>
      <c r="G131" s="283">
        <v>139.97999999999999</v>
      </c>
      <c r="H131" s="283" t="s">
        <v>83</v>
      </c>
      <c r="I131" s="289"/>
      <c r="J131" s="289"/>
    </row>
    <row r="132" spans="3:10" ht="15" thickBot="1" x14ac:dyDescent="0.25">
      <c r="C132" s="281">
        <v>116</v>
      </c>
      <c r="D132" s="282" t="s">
        <v>110</v>
      </c>
      <c r="E132" s="287">
        <v>13</v>
      </c>
      <c r="F132" s="283">
        <v>1608</v>
      </c>
      <c r="G132" s="283">
        <v>135.16999999999999</v>
      </c>
      <c r="H132" s="283" t="s">
        <v>83</v>
      </c>
      <c r="I132" s="287">
        <v>1682</v>
      </c>
      <c r="J132" s="287" t="s">
        <v>133</v>
      </c>
    </row>
    <row r="133" spans="3:10" ht="15" thickBot="1" x14ac:dyDescent="0.25">
      <c r="C133" s="281">
        <v>117</v>
      </c>
      <c r="D133" s="282" t="s">
        <v>110</v>
      </c>
      <c r="E133" s="289"/>
      <c r="F133" s="283">
        <v>1609</v>
      </c>
      <c r="G133" s="283">
        <v>135.16999999999999</v>
      </c>
      <c r="H133" s="283" t="s">
        <v>83</v>
      </c>
      <c r="I133" s="289"/>
      <c r="J133" s="289"/>
    </row>
    <row r="134" spans="3:10" ht="15" thickBot="1" x14ac:dyDescent="0.25">
      <c r="C134" s="281">
        <v>118</v>
      </c>
      <c r="D134" s="282" t="s">
        <v>110</v>
      </c>
      <c r="E134" s="287">
        <v>15</v>
      </c>
      <c r="F134" s="283">
        <v>1801</v>
      </c>
      <c r="G134" s="283">
        <v>134.94</v>
      </c>
      <c r="H134" s="283" t="s">
        <v>83</v>
      </c>
      <c r="I134" s="290">
        <v>10276</v>
      </c>
      <c r="J134" s="287" t="s">
        <v>133</v>
      </c>
    </row>
    <row r="135" spans="3:10" ht="15" thickBot="1" x14ac:dyDescent="0.25">
      <c r="C135" s="281">
        <v>119</v>
      </c>
      <c r="D135" s="282" t="s">
        <v>110</v>
      </c>
      <c r="E135" s="288"/>
      <c r="F135" s="283">
        <v>1812</v>
      </c>
      <c r="G135" s="283">
        <v>210.76</v>
      </c>
      <c r="H135" s="283" t="s">
        <v>83</v>
      </c>
      <c r="I135" s="291"/>
      <c r="J135" s="288"/>
    </row>
    <row r="136" spans="3:10" ht="15" thickBot="1" x14ac:dyDescent="0.25">
      <c r="C136" s="281">
        <v>120</v>
      </c>
      <c r="D136" s="282" t="s">
        <v>110</v>
      </c>
      <c r="E136" s="288"/>
      <c r="F136" s="283">
        <v>1802</v>
      </c>
      <c r="G136" s="283">
        <v>215.21</v>
      </c>
      <c r="H136" s="283" t="s">
        <v>83</v>
      </c>
      <c r="I136" s="291"/>
      <c r="J136" s="288"/>
    </row>
    <row r="137" spans="3:10" ht="15" thickBot="1" x14ac:dyDescent="0.25">
      <c r="C137" s="281">
        <v>121</v>
      </c>
      <c r="D137" s="282" t="s">
        <v>110</v>
      </c>
      <c r="E137" s="288"/>
      <c r="F137" s="283">
        <v>1805</v>
      </c>
      <c r="G137" s="283">
        <v>245.92</v>
      </c>
      <c r="H137" s="283" t="s">
        <v>83</v>
      </c>
      <c r="I137" s="291"/>
      <c r="J137" s="288"/>
    </row>
    <row r="138" spans="3:10" ht="15" thickBot="1" x14ac:dyDescent="0.25">
      <c r="C138" s="281">
        <v>122</v>
      </c>
      <c r="D138" s="282" t="s">
        <v>110</v>
      </c>
      <c r="E138" s="288"/>
      <c r="F138" s="283">
        <v>1806</v>
      </c>
      <c r="G138" s="283">
        <v>145.26</v>
      </c>
      <c r="H138" s="283" t="s">
        <v>83</v>
      </c>
      <c r="I138" s="291"/>
      <c r="J138" s="288"/>
    </row>
    <row r="139" spans="3:10" ht="15" thickBot="1" x14ac:dyDescent="0.25">
      <c r="C139" s="281">
        <v>123</v>
      </c>
      <c r="D139" s="282" t="s">
        <v>110</v>
      </c>
      <c r="E139" s="288"/>
      <c r="F139" s="283">
        <v>1807</v>
      </c>
      <c r="G139" s="283">
        <v>139.97999999999999</v>
      </c>
      <c r="H139" s="283" t="s">
        <v>83</v>
      </c>
      <c r="I139" s="291"/>
      <c r="J139" s="288"/>
    </row>
    <row r="140" spans="3:10" ht="15" thickBot="1" x14ac:dyDescent="0.25">
      <c r="C140" s="281">
        <v>124</v>
      </c>
      <c r="D140" s="282" t="s">
        <v>110</v>
      </c>
      <c r="E140" s="288"/>
      <c r="F140" s="283">
        <v>1808</v>
      </c>
      <c r="G140" s="283">
        <v>135.16999999999999</v>
      </c>
      <c r="H140" s="283" t="s">
        <v>83</v>
      </c>
      <c r="I140" s="291"/>
      <c r="J140" s="288"/>
    </row>
    <row r="141" spans="3:10" ht="15" thickBot="1" x14ac:dyDescent="0.25">
      <c r="C141" s="281">
        <v>125</v>
      </c>
      <c r="D141" s="282" t="s">
        <v>110</v>
      </c>
      <c r="E141" s="288"/>
      <c r="F141" s="283">
        <v>1809</v>
      </c>
      <c r="G141" s="283">
        <v>135.16999999999999</v>
      </c>
      <c r="H141" s="283" t="s">
        <v>83</v>
      </c>
      <c r="I141" s="291"/>
      <c r="J141" s="288"/>
    </row>
    <row r="142" spans="3:10" ht="15" thickBot="1" x14ac:dyDescent="0.25">
      <c r="C142" s="281">
        <v>126</v>
      </c>
      <c r="D142" s="282" t="s">
        <v>110</v>
      </c>
      <c r="E142" s="288"/>
      <c r="F142" s="283">
        <v>1810</v>
      </c>
      <c r="G142" s="283">
        <v>139.97999999999999</v>
      </c>
      <c r="H142" s="283" t="s">
        <v>83</v>
      </c>
      <c r="I142" s="291"/>
      <c r="J142" s="288"/>
    </row>
    <row r="143" spans="3:10" ht="15" thickBot="1" x14ac:dyDescent="0.25">
      <c r="C143" s="281">
        <v>127</v>
      </c>
      <c r="D143" s="282" t="s">
        <v>110</v>
      </c>
      <c r="E143" s="289"/>
      <c r="F143" s="283">
        <v>1811</v>
      </c>
      <c r="G143" s="283">
        <v>140.79</v>
      </c>
      <c r="H143" s="283" t="s">
        <v>83</v>
      </c>
      <c r="I143" s="292"/>
      <c r="J143" s="289"/>
    </row>
    <row r="144" spans="3:10" ht="15" thickBot="1" x14ac:dyDescent="0.25">
      <c r="C144" s="281">
        <v>128</v>
      </c>
      <c r="D144" s="282" t="s">
        <v>110</v>
      </c>
      <c r="E144" s="287">
        <v>16</v>
      </c>
      <c r="F144" s="283">
        <v>1907</v>
      </c>
      <c r="G144" s="283">
        <v>139.97999999999999</v>
      </c>
      <c r="H144" s="283" t="s">
        <v>83</v>
      </c>
      <c r="I144" s="287">
        <v>5777</v>
      </c>
      <c r="J144" s="287" t="s">
        <v>133</v>
      </c>
    </row>
    <row r="145" spans="3:10" ht="15" thickBot="1" x14ac:dyDescent="0.25">
      <c r="C145" s="281">
        <v>129</v>
      </c>
      <c r="D145" s="282" t="s">
        <v>110</v>
      </c>
      <c r="E145" s="288"/>
      <c r="F145" s="283">
        <v>1908</v>
      </c>
      <c r="G145" s="283">
        <v>135.16999999999999</v>
      </c>
      <c r="H145" s="283" t="s">
        <v>83</v>
      </c>
      <c r="I145" s="288"/>
      <c r="J145" s="288"/>
    </row>
    <row r="146" spans="3:10" ht="15" thickBot="1" x14ac:dyDescent="0.25">
      <c r="C146" s="281">
        <v>130</v>
      </c>
      <c r="D146" s="282" t="s">
        <v>110</v>
      </c>
      <c r="E146" s="288"/>
      <c r="F146" s="283">
        <v>1909</v>
      </c>
      <c r="G146" s="283">
        <v>135.16999999999999</v>
      </c>
      <c r="H146" s="283" t="s">
        <v>83</v>
      </c>
      <c r="I146" s="288"/>
      <c r="J146" s="288"/>
    </row>
    <row r="147" spans="3:10" ht="15" thickBot="1" x14ac:dyDescent="0.25">
      <c r="C147" s="281">
        <v>131</v>
      </c>
      <c r="D147" s="282" t="s">
        <v>110</v>
      </c>
      <c r="E147" s="288"/>
      <c r="F147" s="283">
        <v>1910</v>
      </c>
      <c r="G147" s="283">
        <v>139.97999999999999</v>
      </c>
      <c r="H147" s="283" t="s">
        <v>83</v>
      </c>
      <c r="I147" s="288"/>
      <c r="J147" s="288"/>
    </row>
    <row r="148" spans="3:10" ht="15" thickBot="1" x14ac:dyDescent="0.25">
      <c r="C148" s="281">
        <v>132</v>
      </c>
      <c r="D148" s="282" t="s">
        <v>110</v>
      </c>
      <c r="E148" s="288"/>
      <c r="F148" s="283">
        <v>1911</v>
      </c>
      <c r="G148" s="283">
        <v>140.79</v>
      </c>
      <c r="H148" s="283" t="s">
        <v>83</v>
      </c>
      <c r="I148" s="288"/>
      <c r="J148" s="288"/>
    </row>
    <row r="149" spans="3:10" ht="15" thickBot="1" x14ac:dyDescent="0.25">
      <c r="C149" s="281">
        <v>133</v>
      </c>
      <c r="D149" s="282" t="s">
        <v>110</v>
      </c>
      <c r="E149" s="289"/>
      <c r="F149" s="283">
        <v>1912</v>
      </c>
      <c r="G149" s="283">
        <v>210.76</v>
      </c>
      <c r="H149" s="283" t="s">
        <v>83</v>
      </c>
      <c r="I149" s="289"/>
      <c r="J149" s="289"/>
    </row>
    <row r="150" spans="3:10" ht="15" thickBot="1" x14ac:dyDescent="0.25">
      <c r="C150" s="281">
        <v>134</v>
      </c>
      <c r="D150" s="282" t="s">
        <v>110</v>
      </c>
      <c r="E150" s="287">
        <v>17</v>
      </c>
      <c r="F150" s="283">
        <v>2001</v>
      </c>
      <c r="G150" s="283">
        <v>134.94</v>
      </c>
      <c r="H150" s="283" t="s">
        <v>83</v>
      </c>
      <c r="I150" s="290">
        <v>11169</v>
      </c>
      <c r="J150" s="287" t="s">
        <v>133</v>
      </c>
    </row>
    <row r="151" spans="3:10" ht="15" thickBot="1" x14ac:dyDescent="0.25">
      <c r="C151" s="281">
        <v>135</v>
      </c>
      <c r="D151" s="282" t="s">
        <v>110</v>
      </c>
      <c r="E151" s="288"/>
      <c r="F151" s="283">
        <v>2006</v>
      </c>
      <c r="G151" s="283">
        <v>145.26</v>
      </c>
      <c r="H151" s="283" t="s">
        <v>83</v>
      </c>
      <c r="I151" s="291"/>
      <c r="J151" s="288"/>
    </row>
    <row r="152" spans="3:10" ht="15" thickBot="1" x14ac:dyDescent="0.25">
      <c r="C152" s="281">
        <v>136</v>
      </c>
      <c r="D152" s="282" t="s">
        <v>110</v>
      </c>
      <c r="E152" s="288"/>
      <c r="F152" s="283">
        <v>2007</v>
      </c>
      <c r="G152" s="283">
        <v>139.97999999999999</v>
      </c>
      <c r="H152" s="283" t="s">
        <v>83</v>
      </c>
      <c r="I152" s="291"/>
      <c r="J152" s="288"/>
    </row>
    <row r="153" spans="3:10" ht="15" thickBot="1" x14ac:dyDescent="0.25">
      <c r="C153" s="281">
        <v>137</v>
      </c>
      <c r="D153" s="282" t="s">
        <v>110</v>
      </c>
      <c r="E153" s="288"/>
      <c r="F153" s="283">
        <v>2008</v>
      </c>
      <c r="G153" s="283">
        <v>135.16999999999999</v>
      </c>
      <c r="H153" s="283" t="s">
        <v>83</v>
      </c>
      <c r="I153" s="291"/>
      <c r="J153" s="288"/>
    </row>
    <row r="154" spans="3:10" ht="15" thickBot="1" x14ac:dyDescent="0.25">
      <c r="C154" s="281">
        <v>138</v>
      </c>
      <c r="D154" s="282" t="s">
        <v>110</v>
      </c>
      <c r="E154" s="288"/>
      <c r="F154" s="283">
        <v>2008</v>
      </c>
      <c r="G154" s="283">
        <v>135.16999999999999</v>
      </c>
      <c r="H154" s="283" t="s">
        <v>83</v>
      </c>
      <c r="I154" s="291"/>
      <c r="J154" s="288"/>
    </row>
    <row r="155" spans="3:10" ht="15" thickBot="1" x14ac:dyDescent="0.25">
      <c r="C155" s="281">
        <v>139</v>
      </c>
      <c r="D155" s="282" t="s">
        <v>110</v>
      </c>
      <c r="E155" s="288"/>
      <c r="F155" s="283">
        <v>2010</v>
      </c>
      <c r="G155" s="283">
        <v>139.97999999999999</v>
      </c>
      <c r="H155" s="283" t="s">
        <v>83</v>
      </c>
      <c r="I155" s="291"/>
      <c r="J155" s="288"/>
    </row>
    <row r="156" spans="3:10" ht="15" thickBot="1" x14ac:dyDescent="0.25">
      <c r="C156" s="281">
        <v>140</v>
      </c>
      <c r="D156" s="282" t="s">
        <v>110</v>
      </c>
      <c r="E156" s="288"/>
      <c r="F156" s="283">
        <v>2011</v>
      </c>
      <c r="G156" s="283">
        <v>140.66999999999999</v>
      </c>
      <c r="H156" s="283" t="s">
        <v>83</v>
      </c>
      <c r="I156" s="291"/>
      <c r="J156" s="288"/>
    </row>
    <row r="157" spans="3:10" ht="15" thickBot="1" x14ac:dyDescent="0.25">
      <c r="C157" s="281">
        <v>141</v>
      </c>
      <c r="D157" s="282" t="s">
        <v>110</v>
      </c>
      <c r="E157" s="288"/>
      <c r="F157" s="283">
        <v>2012</v>
      </c>
      <c r="G157" s="283">
        <v>210.76</v>
      </c>
      <c r="H157" s="283" t="s">
        <v>83</v>
      </c>
      <c r="I157" s="291"/>
      <c r="J157" s="288"/>
    </row>
    <row r="158" spans="3:10" ht="15" thickBot="1" x14ac:dyDescent="0.25">
      <c r="C158" s="281">
        <v>142</v>
      </c>
      <c r="D158" s="282" t="s">
        <v>110</v>
      </c>
      <c r="E158" s="288"/>
      <c r="F158" s="283">
        <v>2002</v>
      </c>
      <c r="G158" s="283">
        <v>216.1</v>
      </c>
      <c r="H158" s="283" t="s">
        <v>83</v>
      </c>
      <c r="I158" s="291"/>
      <c r="J158" s="288"/>
    </row>
    <row r="159" spans="3:10" ht="15" thickBot="1" x14ac:dyDescent="0.25">
      <c r="C159" s="281">
        <v>143</v>
      </c>
      <c r="D159" s="282" t="s">
        <v>110</v>
      </c>
      <c r="E159" s="288"/>
      <c r="F159" s="283">
        <v>2003</v>
      </c>
      <c r="G159" s="283">
        <v>133.08000000000001</v>
      </c>
      <c r="H159" s="283" t="s">
        <v>83</v>
      </c>
      <c r="I159" s="291"/>
      <c r="J159" s="288"/>
    </row>
    <row r="160" spans="3:10" ht="15" thickBot="1" x14ac:dyDescent="0.25">
      <c r="C160" s="281">
        <v>144</v>
      </c>
      <c r="D160" s="282" t="s">
        <v>110</v>
      </c>
      <c r="E160" s="289"/>
      <c r="F160" s="283">
        <v>2005</v>
      </c>
      <c r="G160" s="283">
        <v>196.54</v>
      </c>
      <c r="H160" s="283" t="s">
        <v>83</v>
      </c>
      <c r="I160" s="292"/>
      <c r="J160" s="289"/>
    </row>
    <row r="161" spans="3:10" ht="15" thickBot="1" x14ac:dyDescent="0.25">
      <c r="C161" s="281">
        <v>145</v>
      </c>
      <c r="D161" s="282" t="s">
        <v>110</v>
      </c>
      <c r="E161" s="287">
        <v>19</v>
      </c>
      <c r="F161" s="283">
        <v>2201</v>
      </c>
      <c r="G161" s="283">
        <v>134.94</v>
      </c>
      <c r="H161" s="283" t="s">
        <v>83</v>
      </c>
      <c r="I161" s="287">
        <v>11033</v>
      </c>
      <c r="J161" s="287" t="s">
        <v>135</v>
      </c>
    </row>
    <row r="162" spans="3:10" ht="15" thickBot="1" x14ac:dyDescent="0.25">
      <c r="C162" s="281">
        <v>146</v>
      </c>
      <c r="D162" s="282" t="s">
        <v>110</v>
      </c>
      <c r="E162" s="288"/>
      <c r="F162" s="283">
        <v>2202</v>
      </c>
      <c r="G162" s="283">
        <v>216.1</v>
      </c>
      <c r="H162" s="283" t="s">
        <v>83</v>
      </c>
      <c r="I162" s="288"/>
      <c r="J162" s="288"/>
    </row>
    <row r="163" spans="3:10" ht="15" thickBot="1" x14ac:dyDescent="0.25">
      <c r="C163" s="281">
        <v>147</v>
      </c>
      <c r="D163" s="282" t="s">
        <v>110</v>
      </c>
      <c r="E163" s="288"/>
      <c r="F163" s="283">
        <v>2203</v>
      </c>
      <c r="G163" s="283">
        <v>133.08000000000001</v>
      </c>
      <c r="H163" s="283" t="s">
        <v>83</v>
      </c>
      <c r="I163" s="288"/>
      <c r="J163" s="288"/>
    </row>
    <row r="164" spans="3:10" ht="15" thickBot="1" x14ac:dyDescent="0.25">
      <c r="C164" s="281">
        <v>148</v>
      </c>
      <c r="D164" s="282" t="s">
        <v>110</v>
      </c>
      <c r="E164" s="288"/>
      <c r="F164" s="283">
        <v>2205</v>
      </c>
      <c r="G164" s="283">
        <v>195.34</v>
      </c>
      <c r="H164" s="283" t="s">
        <v>83</v>
      </c>
      <c r="I164" s="288"/>
      <c r="J164" s="288"/>
    </row>
    <row r="165" spans="3:10" ht="15" thickBot="1" x14ac:dyDescent="0.25">
      <c r="C165" s="281">
        <v>149</v>
      </c>
      <c r="D165" s="282" t="s">
        <v>110</v>
      </c>
      <c r="E165" s="288"/>
      <c r="F165" s="283">
        <v>2206</v>
      </c>
      <c r="G165" s="283">
        <v>145.26</v>
      </c>
      <c r="H165" s="283" t="s">
        <v>83</v>
      </c>
      <c r="I165" s="288"/>
      <c r="J165" s="288"/>
    </row>
    <row r="166" spans="3:10" ht="15" thickBot="1" x14ac:dyDescent="0.25">
      <c r="C166" s="281">
        <v>150</v>
      </c>
      <c r="D166" s="282" t="s">
        <v>110</v>
      </c>
      <c r="E166" s="288"/>
      <c r="F166" s="283">
        <v>2207</v>
      </c>
      <c r="G166" s="283">
        <v>139.97999999999999</v>
      </c>
      <c r="H166" s="283" t="s">
        <v>83</v>
      </c>
      <c r="I166" s="288"/>
      <c r="J166" s="288"/>
    </row>
    <row r="167" spans="3:10" ht="15" thickBot="1" x14ac:dyDescent="0.25">
      <c r="C167" s="281">
        <v>151</v>
      </c>
      <c r="D167" s="282" t="s">
        <v>110</v>
      </c>
      <c r="E167" s="288"/>
      <c r="F167" s="283">
        <v>2208</v>
      </c>
      <c r="G167" s="283">
        <v>135.16999999999999</v>
      </c>
      <c r="H167" s="283" t="s">
        <v>83</v>
      </c>
      <c r="I167" s="288"/>
      <c r="J167" s="288"/>
    </row>
    <row r="168" spans="3:10" ht="15" thickBot="1" x14ac:dyDescent="0.25">
      <c r="C168" s="281">
        <v>152</v>
      </c>
      <c r="D168" s="282" t="s">
        <v>110</v>
      </c>
      <c r="E168" s="288"/>
      <c r="F168" s="283">
        <v>2209</v>
      </c>
      <c r="G168" s="283">
        <v>135.16999999999999</v>
      </c>
      <c r="H168" s="283" t="s">
        <v>83</v>
      </c>
      <c r="I168" s="288"/>
      <c r="J168" s="288"/>
    </row>
    <row r="169" spans="3:10" ht="15" thickBot="1" x14ac:dyDescent="0.25">
      <c r="C169" s="281">
        <v>153</v>
      </c>
      <c r="D169" s="282" t="s">
        <v>110</v>
      </c>
      <c r="E169" s="288"/>
      <c r="F169" s="283">
        <v>2210</v>
      </c>
      <c r="G169" s="283">
        <v>139.97999999999999</v>
      </c>
      <c r="H169" s="283" t="s">
        <v>83</v>
      </c>
      <c r="I169" s="288"/>
      <c r="J169" s="288"/>
    </row>
    <row r="170" spans="3:10" ht="15" thickBot="1" x14ac:dyDescent="0.25">
      <c r="C170" s="281">
        <v>154</v>
      </c>
      <c r="D170" s="282" t="s">
        <v>110</v>
      </c>
      <c r="E170" s="288"/>
      <c r="F170" s="283">
        <v>2211</v>
      </c>
      <c r="G170" s="283">
        <v>139.68</v>
      </c>
      <c r="H170" s="283" t="s">
        <v>83</v>
      </c>
      <c r="I170" s="288"/>
      <c r="J170" s="288"/>
    </row>
    <row r="171" spans="3:10" ht="15" thickBot="1" x14ac:dyDescent="0.25">
      <c r="C171" s="281">
        <v>155</v>
      </c>
      <c r="D171" s="282" t="s">
        <v>110</v>
      </c>
      <c r="E171" s="289"/>
      <c r="F171" s="283">
        <v>2212</v>
      </c>
      <c r="G171" s="283">
        <v>210.76</v>
      </c>
      <c r="H171" s="283" t="s">
        <v>83</v>
      </c>
      <c r="I171" s="289"/>
      <c r="J171" s="289"/>
    </row>
    <row r="172" spans="3:10" ht="15" thickBot="1" x14ac:dyDescent="0.25">
      <c r="C172" s="281">
        <v>156</v>
      </c>
      <c r="D172" s="282" t="s">
        <v>110</v>
      </c>
      <c r="E172" s="287">
        <v>20</v>
      </c>
      <c r="F172" s="283">
        <v>2301</v>
      </c>
      <c r="G172" s="283">
        <v>134.94</v>
      </c>
      <c r="H172" s="283" t="s">
        <v>83</v>
      </c>
      <c r="I172" s="287">
        <v>11069</v>
      </c>
      <c r="J172" s="287" t="s">
        <v>139</v>
      </c>
    </row>
    <row r="173" spans="3:10" ht="15" thickBot="1" x14ac:dyDescent="0.25">
      <c r="C173" s="281">
        <v>157</v>
      </c>
      <c r="D173" s="282" t="s">
        <v>110</v>
      </c>
      <c r="E173" s="288"/>
      <c r="F173" s="283">
        <v>2302</v>
      </c>
      <c r="G173" s="283">
        <v>216.1</v>
      </c>
      <c r="H173" s="283" t="s">
        <v>83</v>
      </c>
      <c r="I173" s="288"/>
      <c r="J173" s="288"/>
    </row>
    <row r="174" spans="3:10" ht="15" thickBot="1" x14ac:dyDescent="0.25">
      <c r="C174" s="281">
        <v>158</v>
      </c>
      <c r="D174" s="282" t="s">
        <v>110</v>
      </c>
      <c r="E174" s="288"/>
      <c r="F174" s="283">
        <v>2303</v>
      </c>
      <c r="G174" s="283">
        <v>133.08000000000001</v>
      </c>
      <c r="H174" s="283" t="s">
        <v>83</v>
      </c>
      <c r="I174" s="288"/>
      <c r="J174" s="288"/>
    </row>
    <row r="175" spans="3:10" ht="15" thickBot="1" x14ac:dyDescent="0.25">
      <c r="C175" s="281">
        <v>159</v>
      </c>
      <c r="D175" s="282" t="s">
        <v>110</v>
      </c>
      <c r="E175" s="288"/>
      <c r="F175" s="283">
        <v>2305</v>
      </c>
      <c r="G175" s="283">
        <v>194.77</v>
      </c>
      <c r="H175" s="283" t="s">
        <v>83</v>
      </c>
      <c r="I175" s="288"/>
      <c r="J175" s="288"/>
    </row>
    <row r="176" spans="3:10" ht="15" thickBot="1" x14ac:dyDescent="0.25">
      <c r="C176" s="281">
        <v>160</v>
      </c>
      <c r="D176" s="282" t="s">
        <v>110</v>
      </c>
      <c r="E176" s="288"/>
      <c r="F176" s="283">
        <v>2306</v>
      </c>
      <c r="G176" s="283">
        <v>145.26</v>
      </c>
      <c r="H176" s="283" t="s">
        <v>83</v>
      </c>
      <c r="I176" s="288"/>
      <c r="J176" s="288"/>
    </row>
    <row r="177" spans="3:10" ht="15" thickBot="1" x14ac:dyDescent="0.25">
      <c r="C177" s="281">
        <v>161</v>
      </c>
      <c r="D177" s="282" t="s">
        <v>110</v>
      </c>
      <c r="E177" s="288"/>
      <c r="F177" s="283">
        <v>2307</v>
      </c>
      <c r="G177" s="283">
        <v>139.97999999999999</v>
      </c>
      <c r="H177" s="283" t="s">
        <v>83</v>
      </c>
      <c r="I177" s="288"/>
      <c r="J177" s="288"/>
    </row>
    <row r="178" spans="3:10" ht="15" thickBot="1" x14ac:dyDescent="0.25">
      <c r="C178" s="281">
        <v>162</v>
      </c>
      <c r="D178" s="282" t="s">
        <v>110</v>
      </c>
      <c r="E178" s="288"/>
      <c r="F178" s="283">
        <v>2308</v>
      </c>
      <c r="G178" s="283">
        <v>135.16999999999999</v>
      </c>
      <c r="H178" s="283" t="s">
        <v>83</v>
      </c>
      <c r="I178" s="288"/>
      <c r="J178" s="288"/>
    </row>
    <row r="179" spans="3:10" ht="15" thickBot="1" x14ac:dyDescent="0.25">
      <c r="C179" s="281">
        <v>163</v>
      </c>
      <c r="D179" s="282" t="s">
        <v>110</v>
      </c>
      <c r="E179" s="288"/>
      <c r="F179" s="283">
        <v>2309</v>
      </c>
      <c r="G179" s="283">
        <v>135.16999999999999</v>
      </c>
      <c r="H179" s="283" t="s">
        <v>83</v>
      </c>
      <c r="I179" s="288"/>
      <c r="J179" s="288"/>
    </row>
    <row r="180" spans="3:10" ht="15" thickBot="1" x14ac:dyDescent="0.25">
      <c r="C180" s="281">
        <v>164</v>
      </c>
      <c r="D180" s="282" t="s">
        <v>110</v>
      </c>
      <c r="E180" s="288"/>
      <c r="F180" s="283">
        <v>2310</v>
      </c>
      <c r="G180" s="283">
        <v>139.97999999999999</v>
      </c>
      <c r="H180" s="283" t="s">
        <v>83</v>
      </c>
      <c r="I180" s="288"/>
      <c r="J180" s="288"/>
    </row>
    <row r="181" spans="3:10" ht="15" thickBot="1" x14ac:dyDescent="0.25">
      <c r="C181" s="281">
        <v>165</v>
      </c>
      <c r="D181" s="282" t="s">
        <v>110</v>
      </c>
      <c r="E181" s="288"/>
      <c r="F181" s="283">
        <v>2311</v>
      </c>
      <c r="G181" s="283">
        <v>138.9</v>
      </c>
      <c r="H181" s="283" t="s">
        <v>83</v>
      </c>
      <c r="I181" s="288"/>
      <c r="J181" s="288"/>
    </row>
    <row r="182" spans="3:10" ht="15" thickBot="1" x14ac:dyDescent="0.25">
      <c r="C182" s="281">
        <v>166</v>
      </c>
      <c r="D182" s="282" t="s">
        <v>110</v>
      </c>
      <c r="E182" s="289"/>
      <c r="F182" s="283">
        <v>2312</v>
      </c>
      <c r="G182" s="283">
        <v>210.76</v>
      </c>
      <c r="H182" s="283" t="s">
        <v>83</v>
      </c>
      <c r="I182" s="289"/>
      <c r="J182" s="289"/>
    </row>
    <row r="183" spans="3:10" ht="15" thickBot="1" x14ac:dyDescent="0.25">
      <c r="C183" s="281">
        <v>167</v>
      </c>
      <c r="D183" s="282" t="s">
        <v>110</v>
      </c>
      <c r="E183" s="287">
        <v>21</v>
      </c>
      <c r="F183" s="283">
        <v>2510</v>
      </c>
      <c r="G183" s="283">
        <v>139.77000000000001</v>
      </c>
      <c r="H183" s="283" t="s">
        <v>83</v>
      </c>
      <c r="I183" s="290">
        <v>10420</v>
      </c>
      <c r="J183" s="287" t="s">
        <v>135</v>
      </c>
    </row>
    <row r="184" spans="3:10" ht="15" thickBot="1" x14ac:dyDescent="0.25">
      <c r="C184" s="281">
        <v>168</v>
      </c>
      <c r="D184" s="282" t="s">
        <v>110</v>
      </c>
      <c r="E184" s="288"/>
      <c r="F184" s="283">
        <v>2511</v>
      </c>
      <c r="G184" s="283">
        <v>138.9</v>
      </c>
      <c r="H184" s="283" t="s">
        <v>83</v>
      </c>
      <c r="I184" s="291"/>
      <c r="J184" s="288"/>
    </row>
    <row r="185" spans="3:10" ht="15" thickBot="1" x14ac:dyDescent="0.25">
      <c r="C185" s="281">
        <v>169</v>
      </c>
      <c r="D185" s="282" t="s">
        <v>110</v>
      </c>
      <c r="E185" s="288"/>
      <c r="F185" s="283">
        <v>2512</v>
      </c>
      <c r="G185" s="283">
        <v>210.76</v>
      </c>
      <c r="H185" s="283" t="s">
        <v>83</v>
      </c>
      <c r="I185" s="291"/>
      <c r="J185" s="288"/>
    </row>
    <row r="186" spans="3:10" ht="15" thickBot="1" x14ac:dyDescent="0.25">
      <c r="C186" s="281">
        <v>170</v>
      </c>
      <c r="D186" s="282" t="s">
        <v>110</v>
      </c>
      <c r="E186" s="288"/>
      <c r="F186" s="283">
        <v>2501</v>
      </c>
      <c r="G186" s="283">
        <v>134.94</v>
      </c>
      <c r="H186" s="283" t="s">
        <v>83</v>
      </c>
      <c r="I186" s="291"/>
      <c r="J186" s="288"/>
    </row>
    <row r="187" spans="3:10" ht="15" thickBot="1" x14ac:dyDescent="0.25">
      <c r="C187" s="281">
        <v>171</v>
      </c>
      <c r="D187" s="282" t="s">
        <v>110</v>
      </c>
      <c r="E187" s="288"/>
      <c r="F187" s="283">
        <v>2502</v>
      </c>
      <c r="G187" s="283">
        <v>209.77</v>
      </c>
      <c r="H187" s="283" t="s">
        <v>83</v>
      </c>
      <c r="I187" s="291"/>
      <c r="J187" s="288"/>
    </row>
    <row r="188" spans="3:10" ht="15" thickBot="1" x14ac:dyDescent="0.25">
      <c r="C188" s="281">
        <v>172</v>
      </c>
      <c r="D188" s="282" t="s">
        <v>110</v>
      </c>
      <c r="E188" s="288"/>
      <c r="F188" s="283">
        <v>2505</v>
      </c>
      <c r="G188" s="283">
        <v>243.41</v>
      </c>
      <c r="H188" s="283" t="s">
        <v>83</v>
      </c>
      <c r="I188" s="291"/>
      <c r="J188" s="288"/>
    </row>
    <row r="189" spans="3:10" ht="15" thickBot="1" x14ac:dyDescent="0.25">
      <c r="C189" s="281">
        <v>173</v>
      </c>
      <c r="D189" s="282" t="s">
        <v>110</v>
      </c>
      <c r="E189" s="288"/>
      <c r="F189" s="283">
        <v>2506</v>
      </c>
      <c r="G189" s="283">
        <v>145.26</v>
      </c>
      <c r="H189" s="283" t="s">
        <v>83</v>
      </c>
      <c r="I189" s="291"/>
      <c r="J189" s="288"/>
    </row>
    <row r="190" spans="3:10" ht="15" thickBot="1" x14ac:dyDescent="0.25">
      <c r="C190" s="281">
        <v>174</v>
      </c>
      <c r="D190" s="282" t="s">
        <v>110</v>
      </c>
      <c r="E190" s="288"/>
      <c r="F190" s="283">
        <v>2507</v>
      </c>
      <c r="G190" s="283">
        <v>139.97999999999999</v>
      </c>
      <c r="H190" s="283" t="s">
        <v>83</v>
      </c>
      <c r="I190" s="291"/>
      <c r="J190" s="288"/>
    </row>
    <row r="191" spans="3:10" ht="15" thickBot="1" x14ac:dyDescent="0.25">
      <c r="C191" s="281">
        <v>175</v>
      </c>
      <c r="D191" s="282" t="s">
        <v>110</v>
      </c>
      <c r="E191" s="288"/>
      <c r="F191" s="283">
        <v>2508</v>
      </c>
      <c r="G191" s="283">
        <v>135.16999999999999</v>
      </c>
      <c r="H191" s="283" t="s">
        <v>83</v>
      </c>
      <c r="I191" s="291"/>
      <c r="J191" s="288"/>
    </row>
    <row r="192" spans="3:10" ht="15" thickBot="1" x14ac:dyDescent="0.25">
      <c r="C192" s="281">
        <v>176</v>
      </c>
      <c r="D192" s="282" t="s">
        <v>110</v>
      </c>
      <c r="E192" s="289"/>
      <c r="F192" s="283">
        <v>2509</v>
      </c>
      <c r="G192" s="283">
        <v>135.16999999999999</v>
      </c>
      <c r="H192" s="283" t="s">
        <v>83</v>
      </c>
      <c r="I192" s="292"/>
      <c r="J192" s="289"/>
    </row>
    <row r="193" spans="3:10" ht="15" thickBot="1" x14ac:dyDescent="0.25">
      <c r="C193" s="281">
        <v>177</v>
      </c>
      <c r="D193" s="282" t="s">
        <v>110</v>
      </c>
      <c r="E193" s="287">
        <v>22</v>
      </c>
      <c r="F193" s="283">
        <v>2601</v>
      </c>
      <c r="G193" s="283">
        <v>134.94</v>
      </c>
      <c r="H193" s="283" t="s">
        <v>83</v>
      </c>
      <c r="I193" s="290">
        <v>10896</v>
      </c>
      <c r="J193" s="287" t="s">
        <v>140</v>
      </c>
    </row>
    <row r="194" spans="3:10" ht="15" thickBot="1" x14ac:dyDescent="0.25">
      <c r="C194" s="281">
        <v>178</v>
      </c>
      <c r="D194" s="282" t="s">
        <v>110</v>
      </c>
      <c r="E194" s="288"/>
      <c r="F194" s="283">
        <v>2602</v>
      </c>
      <c r="G194" s="283">
        <v>208.66</v>
      </c>
      <c r="H194" s="283" t="s">
        <v>83</v>
      </c>
      <c r="I194" s="291"/>
      <c r="J194" s="288"/>
    </row>
    <row r="195" spans="3:10" ht="15" thickBot="1" x14ac:dyDescent="0.25">
      <c r="C195" s="281">
        <v>179</v>
      </c>
      <c r="D195" s="282" t="s">
        <v>110</v>
      </c>
      <c r="E195" s="288"/>
      <c r="F195" s="283">
        <v>2603</v>
      </c>
      <c r="G195" s="283">
        <v>133.68</v>
      </c>
      <c r="H195" s="283" t="s">
        <v>83</v>
      </c>
      <c r="I195" s="291"/>
      <c r="J195" s="288"/>
    </row>
    <row r="196" spans="3:10" ht="15" thickBot="1" x14ac:dyDescent="0.25">
      <c r="C196" s="281">
        <v>180</v>
      </c>
      <c r="D196" s="282" t="s">
        <v>110</v>
      </c>
      <c r="E196" s="288"/>
      <c r="F196" s="283">
        <v>2606</v>
      </c>
      <c r="G196" s="283">
        <v>145.26</v>
      </c>
      <c r="H196" s="283" t="s">
        <v>83</v>
      </c>
      <c r="I196" s="291"/>
      <c r="J196" s="288"/>
    </row>
    <row r="197" spans="3:10" ht="15" thickBot="1" x14ac:dyDescent="0.25">
      <c r="C197" s="281">
        <v>181</v>
      </c>
      <c r="D197" s="282" t="s">
        <v>110</v>
      </c>
      <c r="E197" s="288"/>
      <c r="F197" s="283">
        <v>2607</v>
      </c>
      <c r="G197" s="283">
        <v>139.97999999999999</v>
      </c>
      <c r="H197" s="283" t="s">
        <v>83</v>
      </c>
      <c r="I197" s="291"/>
      <c r="J197" s="288"/>
    </row>
    <row r="198" spans="3:10" ht="15" thickBot="1" x14ac:dyDescent="0.25">
      <c r="C198" s="281">
        <v>182</v>
      </c>
      <c r="D198" s="282" t="s">
        <v>110</v>
      </c>
      <c r="E198" s="288"/>
      <c r="F198" s="283">
        <v>2608</v>
      </c>
      <c r="G198" s="283">
        <v>135.16999999999999</v>
      </c>
      <c r="H198" s="283" t="s">
        <v>83</v>
      </c>
      <c r="I198" s="291"/>
      <c r="J198" s="288"/>
    </row>
    <row r="199" spans="3:10" ht="15" thickBot="1" x14ac:dyDescent="0.25">
      <c r="C199" s="281">
        <v>183</v>
      </c>
      <c r="D199" s="282" t="s">
        <v>110</v>
      </c>
      <c r="E199" s="288"/>
      <c r="F199" s="283">
        <v>2605</v>
      </c>
      <c r="G199" s="283">
        <v>193.75</v>
      </c>
      <c r="H199" s="283" t="s">
        <v>83</v>
      </c>
      <c r="I199" s="291"/>
      <c r="J199" s="288"/>
    </row>
    <row r="200" spans="3:10" ht="15" thickBot="1" x14ac:dyDescent="0.25">
      <c r="C200" s="281">
        <v>184</v>
      </c>
      <c r="D200" s="282" t="s">
        <v>110</v>
      </c>
      <c r="E200" s="288"/>
      <c r="F200" s="283">
        <v>2609</v>
      </c>
      <c r="G200" s="283">
        <v>135.16999999999999</v>
      </c>
      <c r="H200" s="283" t="s">
        <v>83</v>
      </c>
      <c r="I200" s="291"/>
      <c r="J200" s="288"/>
    </row>
    <row r="201" spans="3:10" ht="15" thickBot="1" x14ac:dyDescent="0.25">
      <c r="C201" s="281">
        <v>185</v>
      </c>
      <c r="D201" s="282" t="s">
        <v>110</v>
      </c>
      <c r="E201" s="288"/>
      <c r="F201" s="283">
        <v>2610</v>
      </c>
      <c r="G201" s="283">
        <v>139.28</v>
      </c>
      <c r="H201" s="283" t="s">
        <v>83</v>
      </c>
      <c r="I201" s="291"/>
      <c r="J201" s="288"/>
    </row>
    <row r="202" spans="3:10" ht="15" thickBot="1" x14ac:dyDescent="0.25">
      <c r="C202" s="281">
        <v>186</v>
      </c>
      <c r="D202" s="282" t="s">
        <v>110</v>
      </c>
      <c r="E202" s="288"/>
      <c r="F202" s="283">
        <v>2611</v>
      </c>
      <c r="G202" s="283">
        <v>138.9</v>
      </c>
      <c r="H202" s="283" t="s">
        <v>83</v>
      </c>
      <c r="I202" s="291"/>
      <c r="J202" s="288"/>
    </row>
    <row r="203" spans="3:10" ht="15" thickBot="1" x14ac:dyDescent="0.25">
      <c r="C203" s="281">
        <v>187</v>
      </c>
      <c r="D203" s="282" t="s">
        <v>110</v>
      </c>
      <c r="E203" s="289"/>
      <c r="F203" s="283">
        <v>2612</v>
      </c>
      <c r="G203" s="283">
        <v>210.76</v>
      </c>
      <c r="H203" s="283" t="s">
        <v>83</v>
      </c>
      <c r="I203" s="292"/>
      <c r="J203" s="289"/>
    </row>
    <row r="204" spans="3:10" ht="15" thickBot="1" x14ac:dyDescent="0.25">
      <c r="C204" s="281">
        <v>188</v>
      </c>
      <c r="D204" s="282" t="s">
        <v>110</v>
      </c>
      <c r="E204" s="287">
        <v>23</v>
      </c>
      <c r="F204" s="283">
        <v>2701</v>
      </c>
      <c r="G204" s="283">
        <v>134.94</v>
      </c>
      <c r="H204" s="283" t="s">
        <v>83</v>
      </c>
      <c r="I204" s="290">
        <v>10400</v>
      </c>
      <c r="J204" s="287" t="s">
        <v>140</v>
      </c>
    </row>
    <row r="205" spans="3:10" ht="15" thickBot="1" x14ac:dyDescent="0.25">
      <c r="C205" s="281">
        <v>189</v>
      </c>
      <c r="D205" s="282" t="s">
        <v>110</v>
      </c>
      <c r="E205" s="288"/>
      <c r="F205" s="283">
        <v>2702</v>
      </c>
      <c r="G205" s="283">
        <v>216.1</v>
      </c>
      <c r="H205" s="283" t="s">
        <v>83</v>
      </c>
      <c r="I205" s="291"/>
      <c r="J205" s="288"/>
    </row>
    <row r="206" spans="3:10" ht="15" thickBot="1" x14ac:dyDescent="0.25">
      <c r="C206" s="281">
        <v>190</v>
      </c>
      <c r="D206" s="282" t="s">
        <v>110</v>
      </c>
      <c r="E206" s="288"/>
      <c r="F206" s="283">
        <v>2703</v>
      </c>
      <c r="G206" s="283">
        <v>218.02</v>
      </c>
      <c r="H206" s="283" t="s">
        <v>83</v>
      </c>
      <c r="I206" s="291"/>
      <c r="J206" s="288"/>
    </row>
    <row r="207" spans="3:10" ht="15" thickBot="1" x14ac:dyDescent="0.25">
      <c r="C207" s="281">
        <v>191</v>
      </c>
      <c r="D207" s="282" t="s">
        <v>110</v>
      </c>
      <c r="E207" s="288"/>
      <c r="F207" s="283">
        <v>2706</v>
      </c>
      <c r="G207" s="283">
        <v>160.22</v>
      </c>
      <c r="H207" s="283" t="s">
        <v>83</v>
      </c>
      <c r="I207" s="291"/>
      <c r="J207" s="288"/>
    </row>
    <row r="208" spans="3:10" ht="15" thickBot="1" x14ac:dyDescent="0.25">
      <c r="C208" s="281">
        <v>192</v>
      </c>
      <c r="D208" s="282" t="s">
        <v>110</v>
      </c>
      <c r="E208" s="288"/>
      <c r="F208" s="283">
        <v>2707</v>
      </c>
      <c r="G208" s="283">
        <v>139.97999999999999</v>
      </c>
      <c r="H208" s="283" t="s">
        <v>83</v>
      </c>
      <c r="I208" s="291"/>
      <c r="J208" s="288"/>
    </row>
    <row r="209" spans="3:10" ht="15" thickBot="1" x14ac:dyDescent="0.25">
      <c r="C209" s="281">
        <v>193</v>
      </c>
      <c r="D209" s="282" t="s">
        <v>110</v>
      </c>
      <c r="E209" s="288"/>
      <c r="F209" s="283">
        <v>2708</v>
      </c>
      <c r="G209" s="283">
        <v>135.16999999999999</v>
      </c>
      <c r="H209" s="283" t="s">
        <v>83</v>
      </c>
      <c r="I209" s="291"/>
      <c r="J209" s="288"/>
    </row>
    <row r="210" spans="3:10" ht="15" thickBot="1" x14ac:dyDescent="0.25">
      <c r="C210" s="281">
        <v>194</v>
      </c>
      <c r="D210" s="282" t="s">
        <v>110</v>
      </c>
      <c r="E210" s="288"/>
      <c r="F210" s="283">
        <v>2709</v>
      </c>
      <c r="G210" s="283">
        <v>135.16999999999999</v>
      </c>
      <c r="H210" s="283" t="s">
        <v>83</v>
      </c>
      <c r="I210" s="291"/>
      <c r="J210" s="288"/>
    </row>
    <row r="211" spans="3:10" ht="15" thickBot="1" x14ac:dyDescent="0.25">
      <c r="C211" s="281">
        <v>195</v>
      </c>
      <c r="D211" s="282" t="s">
        <v>110</v>
      </c>
      <c r="E211" s="288"/>
      <c r="F211" s="283">
        <v>2710</v>
      </c>
      <c r="G211" s="283">
        <v>138.78</v>
      </c>
      <c r="H211" s="283" t="s">
        <v>83</v>
      </c>
      <c r="I211" s="291"/>
      <c r="J211" s="288"/>
    </row>
    <row r="212" spans="3:10" ht="15" thickBot="1" x14ac:dyDescent="0.25">
      <c r="C212" s="281">
        <v>196</v>
      </c>
      <c r="D212" s="282" t="s">
        <v>110</v>
      </c>
      <c r="E212" s="288"/>
      <c r="F212" s="283">
        <v>2711</v>
      </c>
      <c r="G212" s="283">
        <v>138.9</v>
      </c>
      <c r="H212" s="283" t="s">
        <v>83</v>
      </c>
      <c r="I212" s="291"/>
      <c r="J212" s="288"/>
    </row>
    <row r="213" spans="3:10" ht="15" thickBot="1" x14ac:dyDescent="0.25">
      <c r="C213" s="281">
        <v>197</v>
      </c>
      <c r="D213" s="282" t="s">
        <v>110</v>
      </c>
      <c r="E213" s="289"/>
      <c r="F213" s="283">
        <v>2712</v>
      </c>
      <c r="G213" s="283">
        <v>210.76</v>
      </c>
      <c r="H213" s="283" t="s">
        <v>83</v>
      </c>
      <c r="I213" s="292"/>
      <c r="J213" s="289"/>
    </row>
    <row r="214" spans="3:10" ht="15" thickBot="1" x14ac:dyDescent="0.25">
      <c r="C214" s="281">
        <v>198</v>
      </c>
      <c r="D214" s="282" t="s">
        <v>110</v>
      </c>
      <c r="E214" s="287">
        <v>24</v>
      </c>
      <c r="F214" s="283">
        <v>2802</v>
      </c>
      <c r="G214" s="283">
        <v>216.1</v>
      </c>
      <c r="H214" s="283" t="s">
        <v>83</v>
      </c>
      <c r="I214" s="290">
        <v>9961</v>
      </c>
      <c r="J214" s="287" t="s">
        <v>135</v>
      </c>
    </row>
    <row r="215" spans="3:10" ht="15" thickBot="1" x14ac:dyDescent="0.25">
      <c r="C215" s="281">
        <v>199</v>
      </c>
      <c r="D215" s="282" t="s">
        <v>110</v>
      </c>
      <c r="E215" s="288"/>
      <c r="F215" s="283">
        <v>2803</v>
      </c>
      <c r="G215" s="283">
        <v>176.64</v>
      </c>
      <c r="H215" s="283" t="s">
        <v>83</v>
      </c>
      <c r="I215" s="291"/>
      <c r="J215" s="288"/>
    </row>
    <row r="216" spans="3:10" ht="15" thickBot="1" x14ac:dyDescent="0.25">
      <c r="C216" s="281">
        <v>200</v>
      </c>
      <c r="D216" s="282" t="s">
        <v>110</v>
      </c>
      <c r="E216" s="288"/>
      <c r="F216" s="283">
        <v>2806</v>
      </c>
      <c r="G216" s="283">
        <v>155.54</v>
      </c>
      <c r="H216" s="283" t="s">
        <v>83</v>
      </c>
      <c r="I216" s="291"/>
      <c r="J216" s="288"/>
    </row>
    <row r="217" spans="3:10" ht="15" thickBot="1" x14ac:dyDescent="0.25">
      <c r="C217" s="281">
        <v>201</v>
      </c>
      <c r="D217" s="282" t="s">
        <v>110</v>
      </c>
      <c r="E217" s="288"/>
      <c r="F217" s="283">
        <v>2807</v>
      </c>
      <c r="G217" s="283">
        <v>139.97999999999999</v>
      </c>
      <c r="H217" s="283" t="s">
        <v>83</v>
      </c>
      <c r="I217" s="291"/>
      <c r="J217" s="288"/>
    </row>
    <row r="218" spans="3:10" ht="15" thickBot="1" x14ac:dyDescent="0.25">
      <c r="C218" s="281">
        <v>202</v>
      </c>
      <c r="D218" s="282" t="s">
        <v>110</v>
      </c>
      <c r="E218" s="288"/>
      <c r="F218" s="283">
        <v>2808</v>
      </c>
      <c r="G218" s="283">
        <v>135.16999999999999</v>
      </c>
      <c r="H218" s="283" t="s">
        <v>83</v>
      </c>
      <c r="I218" s="291"/>
      <c r="J218" s="288"/>
    </row>
    <row r="219" spans="3:10" ht="15" thickBot="1" x14ac:dyDescent="0.25">
      <c r="C219" s="281">
        <v>203</v>
      </c>
      <c r="D219" s="282" t="s">
        <v>110</v>
      </c>
      <c r="E219" s="288"/>
      <c r="F219" s="283">
        <v>2809</v>
      </c>
      <c r="G219" s="283">
        <v>135.16999999999999</v>
      </c>
      <c r="H219" s="283" t="s">
        <v>83</v>
      </c>
      <c r="I219" s="291"/>
      <c r="J219" s="288"/>
    </row>
    <row r="220" spans="3:10" ht="15" thickBot="1" x14ac:dyDescent="0.25">
      <c r="C220" s="281">
        <v>204</v>
      </c>
      <c r="D220" s="282" t="s">
        <v>110</v>
      </c>
      <c r="E220" s="288"/>
      <c r="F220" s="283">
        <v>2810</v>
      </c>
      <c r="G220" s="283">
        <v>138.29</v>
      </c>
      <c r="H220" s="283" t="s">
        <v>83</v>
      </c>
      <c r="I220" s="291"/>
      <c r="J220" s="288"/>
    </row>
    <row r="221" spans="3:10" ht="15" thickBot="1" x14ac:dyDescent="0.25">
      <c r="C221" s="281">
        <v>205</v>
      </c>
      <c r="D221" s="282" t="s">
        <v>110</v>
      </c>
      <c r="E221" s="288"/>
      <c r="F221" s="283">
        <v>2811</v>
      </c>
      <c r="G221" s="283">
        <v>138.9</v>
      </c>
      <c r="H221" s="283" t="s">
        <v>83</v>
      </c>
      <c r="I221" s="291"/>
      <c r="J221" s="288"/>
    </row>
    <row r="222" spans="3:10" ht="15" thickBot="1" x14ac:dyDescent="0.25">
      <c r="C222" s="281">
        <v>206</v>
      </c>
      <c r="D222" s="282" t="s">
        <v>110</v>
      </c>
      <c r="E222" s="288"/>
      <c r="F222" s="283">
        <v>2801</v>
      </c>
      <c r="G222" s="283">
        <v>134.94</v>
      </c>
      <c r="H222" s="283" t="s">
        <v>83</v>
      </c>
      <c r="I222" s="291"/>
      <c r="J222" s="288"/>
    </row>
    <row r="223" spans="3:10" ht="15" thickBot="1" x14ac:dyDescent="0.25">
      <c r="C223" s="281">
        <v>207</v>
      </c>
      <c r="D223" s="282" t="s">
        <v>110</v>
      </c>
      <c r="E223" s="289"/>
      <c r="F223" s="283">
        <v>2812</v>
      </c>
      <c r="G223" s="283">
        <v>207.98</v>
      </c>
      <c r="H223" s="283" t="s">
        <v>83</v>
      </c>
      <c r="I223" s="292"/>
      <c r="J223" s="289"/>
    </row>
    <row r="224" spans="3:10" ht="15" thickBot="1" x14ac:dyDescent="0.25">
      <c r="C224" s="281">
        <v>208</v>
      </c>
      <c r="D224" s="282" t="s">
        <v>110</v>
      </c>
      <c r="E224" s="287">
        <v>25</v>
      </c>
      <c r="F224" s="283">
        <v>2901</v>
      </c>
      <c r="G224" s="283">
        <v>134.94</v>
      </c>
      <c r="H224" s="283" t="s">
        <v>83</v>
      </c>
      <c r="I224" s="290">
        <v>4815</v>
      </c>
      <c r="J224" s="287" t="s">
        <v>140</v>
      </c>
    </row>
    <row r="225" spans="3:10" ht="15" thickBot="1" x14ac:dyDescent="0.25">
      <c r="C225" s="281">
        <v>209</v>
      </c>
      <c r="D225" s="282" t="s">
        <v>110</v>
      </c>
      <c r="E225" s="288"/>
      <c r="F225" s="283">
        <v>2902</v>
      </c>
      <c r="G225" s="283">
        <v>215.08</v>
      </c>
      <c r="H225" s="283" t="s">
        <v>83</v>
      </c>
      <c r="I225" s="291"/>
      <c r="J225" s="288"/>
    </row>
    <row r="226" spans="3:10" ht="15" thickBot="1" x14ac:dyDescent="0.25">
      <c r="C226" s="281">
        <v>210</v>
      </c>
      <c r="D226" s="282" t="s">
        <v>110</v>
      </c>
      <c r="E226" s="288"/>
      <c r="F226" s="283">
        <v>2905</v>
      </c>
      <c r="G226" s="283">
        <v>131.43</v>
      </c>
      <c r="H226" s="283" t="s">
        <v>83</v>
      </c>
      <c r="I226" s="291"/>
      <c r="J226" s="288"/>
    </row>
    <row r="227" spans="3:10" ht="15" thickBot="1" x14ac:dyDescent="0.25">
      <c r="C227" s="281">
        <v>211</v>
      </c>
      <c r="D227" s="282" t="s">
        <v>110</v>
      </c>
      <c r="E227" s="288"/>
      <c r="F227" s="283">
        <v>2906</v>
      </c>
      <c r="G227" s="283">
        <v>206.18</v>
      </c>
      <c r="H227" s="283" t="s">
        <v>83</v>
      </c>
      <c r="I227" s="291"/>
      <c r="J227" s="288"/>
    </row>
    <row r="228" spans="3:10" ht="15" thickBot="1" x14ac:dyDescent="0.25">
      <c r="C228" s="281">
        <v>212</v>
      </c>
      <c r="D228" s="282" t="s">
        <v>110</v>
      </c>
      <c r="E228" s="289"/>
      <c r="F228" s="283">
        <v>2903</v>
      </c>
      <c r="G228" s="283">
        <v>73.13</v>
      </c>
      <c r="H228" s="283" t="s">
        <v>83</v>
      </c>
      <c r="I228" s="292"/>
      <c r="J228" s="289"/>
    </row>
    <row r="229" spans="3:10" ht="15" thickBot="1" x14ac:dyDescent="0.25">
      <c r="C229" s="281">
        <v>213</v>
      </c>
      <c r="D229" s="282" t="s">
        <v>110</v>
      </c>
      <c r="E229" s="287">
        <v>26</v>
      </c>
      <c r="F229" s="283">
        <v>3001</v>
      </c>
      <c r="G229" s="283">
        <v>243.26</v>
      </c>
      <c r="H229" s="283" t="s">
        <v>83</v>
      </c>
      <c r="I229" s="290">
        <v>5051</v>
      </c>
      <c r="J229" s="287" t="s">
        <v>139</v>
      </c>
    </row>
    <row r="230" spans="3:10" ht="15" thickBot="1" x14ac:dyDescent="0.25">
      <c r="C230" s="281">
        <v>214</v>
      </c>
      <c r="D230" s="282" t="s">
        <v>110</v>
      </c>
      <c r="E230" s="288"/>
      <c r="F230" s="283">
        <v>3002</v>
      </c>
      <c r="G230" s="283">
        <v>203.56</v>
      </c>
      <c r="H230" s="283" t="s">
        <v>83</v>
      </c>
      <c r="I230" s="291"/>
      <c r="J230" s="288"/>
    </row>
    <row r="231" spans="3:10" ht="15" thickBot="1" x14ac:dyDescent="0.25">
      <c r="C231" s="281">
        <v>215</v>
      </c>
      <c r="D231" s="282" t="s">
        <v>110</v>
      </c>
      <c r="E231" s="288"/>
      <c r="F231" s="283">
        <v>3003</v>
      </c>
      <c r="G231" s="283">
        <v>131.43</v>
      </c>
      <c r="H231" s="283" t="s">
        <v>83</v>
      </c>
      <c r="I231" s="291"/>
      <c r="J231" s="288"/>
    </row>
    <row r="232" spans="3:10" ht="15" thickBot="1" x14ac:dyDescent="0.25">
      <c r="C232" s="281">
        <v>216</v>
      </c>
      <c r="D232" s="282" t="s">
        <v>110</v>
      </c>
      <c r="E232" s="289"/>
      <c r="F232" s="283">
        <v>3005</v>
      </c>
      <c r="G232" s="283">
        <v>208.55</v>
      </c>
      <c r="H232" s="283" t="s">
        <v>83</v>
      </c>
      <c r="I232" s="292"/>
      <c r="J232" s="289"/>
    </row>
  </sheetData>
  <mergeCells count="81">
    <mergeCell ref="E224:E228"/>
    <mergeCell ref="I224:I228"/>
    <mergeCell ref="J224:J228"/>
    <mergeCell ref="E229:E232"/>
    <mergeCell ref="I229:I232"/>
    <mergeCell ref="J229:J232"/>
    <mergeCell ref="E204:E213"/>
    <mergeCell ref="I204:I213"/>
    <mergeCell ref="J204:J213"/>
    <mergeCell ref="E214:E223"/>
    <mergeCell ref="I214:I223"/>
    <mergeCell ref="J214:J223"/>
    <mergeCell ref="E183:E192"/>
    <mergeCell ref="I183:I192"/>
    <mergeCell ref="J183:J192"/>
    <mergeCell ref="E193:E203"/>
    <mergeCell ref="I193:I203"/>
    <mergeCell ref="J193:J203"/>
    <mergeCell ref="E161:E171"/>
    <mergeCell ref="I161:I171"/>
    <mergeCell ref="J161:J171"/>
    <mergeCell ref="E172:E182"/>
    <mergeCell ref="I172:I182"/>
    <mergeCell ref="J172:J182"/>
    <mergeCell ref="E144:E149"/>
    <mergeCell ref="I144:I149"/>
    <mergeCell ref="J144:J149"/>
    <mergeCell ref="E150:E160"/>
    <mergeCell ref="I150:I160"/>
    <mergeCell ref="J150:J160"/>
    <mergeCell ref="E132:E133"/>
    <mergeCell ref="I132:I133"/>
    <mergeCell ref="J132:J133"/>
    <mergeCell ref="E134:E143"/>
    <mergeCell ref="I134:I143"/>
    <mergeCell ref="J134:J143"/>
    <mergeCell ref="E113:E123"/>
    <mergeCell ref="I113:I123"/>
    <mergeCell ref="J113:J123"/>
    <mergeCell ref="E124:E131"/>
    <mergeCell ref="I124:I131"/>
    <mergeCell ref="J124:J131"/>
    <mergeCell ref="E92:E102"/>
    <mergeCell ref="I92:I102"/>
    <mergeCell ref="J92:J102"/>
    <mergeCell ref="E103:E112"/>
    <mergeCell ref="I103:I112"/>
    <mergeCell ref="J103:J112"/>
    <mergeCell ref="E71:E81"/>
    <mergeCell ref="I71:I81"/>
    <mergeCell ref="J71:J81"/>
    <mergeCell ref="E82:E91"/>
    <mergeCell ref="I82:I91"/>
    <mergeCell ref="J82:J91"/>
    <mergeCell ref="E54:E60"/>
    <mergeCell ref="I54:I60"/>
    <mergeCell ref="J54:J60"/>
    <mergeCell ref="E61:E70"/>
    <mergeCell ref="I61:I70"/>
    <mergeCell ref="J61:J70"/>
    <mergeCell ref="I29:I43"/>
    <mergeCell ref="J29:J43"/>
    <mergeCell ref="E44:E48"/>
    <mergeCell ref="I44:I48"/>
    <mergeCell ref="J44:J48"/>
    <mergeCell ref="E49:E53"/>
    <mergeCell ref="I49:I53"/>
    <mergeCell ref="J49:J53"/>
    <mergeCell ref="J14:K14"/>
    <mergeCell ref="E17:E24"/>
    <mergeCell ref="I17:I24"/>
    <mergeCell ref="J17:J24"/>
    <mergeCell ref="E25:E28"/>
    <mergeCell ref="I25:I28"/>
    <mergeCell ref="J25:J28"/>
    <mergeCell ref="J2:K2"/>
    <mergeCell ref="K3:K5"/>
    <mergeCell ref="E6:E12"/>
    <mergeCell ref="I6:I12"/>
    <mergeCell ref="J6:K12"/>
    <mergeCell ref="J13:K1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35"/>
  <sheetViews>
    <sheetView topLeftCell="A216" workbookViewId="0">
      <selection activeCell="M231" sqref="M231"/>
    </sheetView>
  </sheetViews>
  <sheetFormatPr defaultRowHeight="14.25" x14ac:dyDescent="0.2"/>
  <cols>
    <col min="1" max="1" width="5.25" style="100" bestFit="1" customWidth="1"/>
    <col min="2" max="2" width="18.375" style="100" bestFit="1" customWidth="1"/>
    <col min="3" max="3" width="6.25" style="100" bestFit="1" customWidth="1"/>
    <col min="4" max="4" width="7.5" style="100" bestFit="1" customWidth="1"/>
    <col min="5" max="5" width="11" style="100" bestFit="1" customWidth="1"/>
    <col min="6" max="6" width="11" style="100" customWidth="1"/>
    <col min="7" max="7" width="13" style="100" bestFit="1" customWidth="1"/>
    <col min="8" max="8" width="9" style="100"/>
    <col min="9" max="9" width="9" style="103"/>
    <col min="10" max="10" width="5.25" style="101" bestFit="1" customWidth="1"/>
    <col min="11" max="11" width="19.25" style="101" customWidth="1"/>
    <col min="12" max="12" width="13" style="101" hidden="1" customWidth="1"/>
    <col min="13" max="14" width="12.75" style="103" bestFit="1" customWidth="1"/>
    <col min="15" max="15" width="25.5" style="100" customWidth="1"/>
    <col min="16" max="16384" width="9" style="115"/>
  </cols>
  <sheetData>
    <row r="1" spans="1:15" x14ac:dyDescent="0.2">
      <c r="A1" s="104" t="s">
        <v>22</v>
      </c>
      <c r="B1" s="104" t="s">
        <v>97</v>
      </c>
      <c r="C1" s="104" t="s">
        <v>98</v>
      </c>
      <c r="D1" s="104" t="s">
        <v>25</v>
      </c>
      <c r="E1" s="104" t="s">
        <v>26</v>
      </c>
      <c r="F1" s="104"/>
      <c r="G1" s="104" t="s">
        <v>27</v>
      </c>
      <c r="H1" s="104" t="s">
        <v>99</v>
      </c>
      <c r="I1" s="105" t="s">
        <v>100</v>
      </c>
      <c r="J1" s="106" t="s">
        <v>101</v>
      </c>
      <c r="K1" s="106" t="s">
        <v>102</v>
      </c>
      <c r="L1" s="106" t="s">
        <v>103</v>
      </c>
      <c r="M1" s="105" t="s">
        <v>104</v>
      </c>
      <c r="N1" s="112" t="s">
        <v>118</v>
      </c>
      <c r="O1" s="102" t="s">
        <v>28</v>
      </c>
    </row>
    <row r="2" spans="1:15" x14ac:dyDescent="0.2">
      <c r="A2" s="107">
        <v>1</v>
      </c>
      <c r="B2" s="107" t="s">
        <v>82</v>
      </c>
      <c r="C2" s="107" t="s">
        <v>105</v>
      </c>
      <c r="D2" s="107">
        <v>-101</v>
      </c>
      <c r="E2" s="107">
        <v>4764.29</v>
      </c>
      <c r="F2" s="248">
        <f>SUM(E2:E4)</f>
        <v>14169.72</v>
      </c>
      <c r="G2" s="107" t="s">
        <v>106</v>
      </c>
      <c r="H2" s="107" t="s">
        <v>107</v>
      </c>
      <c r="I2" s="108">
        <v>-1</v>
      </c>
      <c r="J2" s="109" t="s">
        <v>107</v>
      </c>
      <c r="K2" s="257">
        <v>3096.87</v>
      </c>
      <c r="L2" s="258">
        <f>ROUND(4301.9426072915,0)</f>
        <v>4302</v>
      </c>
      <c r="M2" s="123">
        <f>ROUND(4301.9426072915,0)</f>
        <v>4302</v>
      </c>
      <c r="N2" s="243">
        <f>ROUND(M2*10000/F2,0)</f>
        <v>3036</v>
      </c>
    </row>
    <row r="3" spans="1:15" x14ac:dyDescent="0.2">
      <c r="A3" s="107">
        <v>2</v>
      </c>
      <c r="B3" s="107" t="s">
        <v>82</v>
      </c>
      <c r="C3" s="107" t="s">
        <v>105</v>
      </c>
      <c r="D3" s="107">
        <v>-201</v>
      </c>
      <c r="E3" s="107">
        <v>4671.58</v>
      </c>
      <c r="F3" s="249"/>
      <c r="G3" s="107" t="s">
        <v>106</v>
      </c>
      <c r="H3" s="107" t="s">
        <v>107</v>
      </c>
      <c r="I3" s="108">
        <v>-2</v>
      </c>
      <c r="J3" s="109" t="s">
        <v>107</v>
      </c>
      <c r="K3" s="257"/>
      <c r="L3" s="257"/>
      <c r="M3" s="123"/>
      <c r="N3" s="243"/>
    </row>
    <row r="4" spans="1:15" x14ac:dyDescent="0.2">
      <c r="A4" s="107">
        <v>3</v>
      </c>
      <c r="B4" s="107" t="s">
        <v>82</v>
      </c>
      <c r="C4" s="107" t="s">
        <v>105</v>
      </c>
      <c r="D4" s="107">
        <v>-301</v>
      </c>
      <c r="E4" s="107">
        <v>4733.8500000000004</v>
      </c>
      <c r="F4" s="250"/>
      <c r="G4" s="107" t="s">
        <v>106</v>
      </c>
      <c r="H4" s="107" t="s">
        <v>107</v>
      </c>
      <c r="I4" s="108">
        <v>-3</v>
      </c>
      <c r="J4" s="109" t="s">
        <v>107</v>
      </c>
      <c r="K4" s="257"/>
      <c r="L4" s="257"/>
      <c r="M4" s="123"/>
      <c r="N4" s="243"/>
    </row>
    <row r="5" spans="1:15" x14ac:dyDescent="0.2">
      <c r="A5" s="104">
        <v>4</v>
      </c>
      <c r="B5" s="104" t="s">
        <v>82</v>
      </c>
      <c r="C5" s="104" t="s">
        <v>105</v>
      </c>
      <c r="D5" s="104">
        <v>301</v>
      </c>
      <c r="E5" s="104">
        <v>343.47</v>
      </c>
      <c r="F5" s="245">
        <f>SUM(E5:E11)</f>
        <v>1557.78</v>
      </c>
      <c r="G5" s="104" t="s">
        <v>83</v>
      </c>
      <c r="H5" s="104" t="s">
        <v>108</v>
      </c>
      <c r="I5" s="105">
        <v>3</v>
      </c>
      <c r="J5" s="106" t="s">
        <v>109</v>
      </c>
      <c r="K5" s="106">
        <v>1521.65</v>
      </c>
      <c r="L5" s="111">
        <f>ROUND(2113.76356398076,0)</f>
        <v>2114</v>
      </c>
      <c r="M5" s="251">
        <f>ROUND(8988.65922278924,0)</f>
        <v>8989</v>
      </c>
      <c r="N5" s="251">
        <f>ROUND(M5*10000/F5,0)</f>
        <v>57704</v>
      </c>
    </row>
    <row r="6" spans="1:15" x14ac:dyDescent="0.2">
      <c r="A6" s="104">
        <v>5</v>
      </c>
      <c r="B6" s="104" t="s">
        <v>82</v>
      </c>
      <c r="C6" s="104" t="s">
        <v>105</v>
      </c>
      <c r="D6" s="104">
        <v>302</v>
      </c>
      <c r="E6" s="104">
        <v>207.99</v>
      </c>
      <c r="F6" s="246"/>
      <c r="G6" s="104" t="s">
        <v>83</v>
      </c>
      <c r="H6" s="104" t="s">
        <v>108</v>
      </c>
      <c r="I6" s="105">
        <v>3</v>
      </c>
      <c r="J6" s="106" t="s">
        <v>109</v>
      </c>
      <c r="K6" s="106">
        <v>921.44</v>
      </c>
      <c r="L6" s="106">
        <f>ROUND(1279.99625301116,0)</f>
        <v>1280</v>
      </c>
      <c r="M6" s="242"/>
      <c r="N6" s="242"/>
    </row>
    <row r="7" spans="1:15" x14ac:dyDescent="0.2">
      <c r="A7" s="104">
        <v>6</v>
      </c>
      <c r="B7" s="104" t="s">
        <v>82</v>
      </c>
      <c r="C7" s="104" t="s">
        <v>105</v>
      </c>
      <c r="D7" s="104">
        <v>303</v>
      </c>
      <c r="E7" s="104">
        <v>272.14999999999998</v>
      </c>
      <c r="F7" s="246"/>
      <c r="G7" s="104" t="s">
        <v>83</v>
      </c>
      <c r="H7" s="104" t="s">
        <v>108</v>
      </c>
      <c r="I7" s="105">
        <v>3</v>
      </c>
      <c r="J7" s="106" t="s">
        <v>109</v>
      </c>
      <c r="K7" s="106">
        <v>1205.69</v>
      </c>
      <c r="L7" s="106">
        <f>ROUND(1674.855315911,0)</f>
        <v>1675</v>
      </c>
      <c r="M7" s="242"/>
      <c r="N7" s="242"/>
    </row>
    <row r="8" spans="1:15" x14ac:dyDescent="0.2">
      <c r="A8" s="104">
        <v>7</v>
      </c>
      <c r="B8" s="104" t="s">
        <v>82</v>
      </c>
      <c r="C8" s="104" t="s">
        <v>105</v>
      </c>
      <c r="D8" s="104">
        <v>306</v>
      </c>
      <c r="E8" s="104">
        <v>39.54</v>
      </c>
      <c r="F8" s="246"/>
      <c r="G8" s="104" t="s">
        <v>83</v>
      </c>
      <c r="H8" s="104" t="s">
        <v>108</v>
      </c>
      <c r="I8" s="105">
        <v>3</v>
      </c>
      <c r="J8" s="106" t="s">
        <v>109</v>
      </c>
      <c r="K8" s="106">
        <v>175.17</v>
      </c>
      <c r="L8" s="106">
        <f>ROUND(243.333199817639,0)</f>
        <v>243</v>
      </c>
      <c r="M8" s="242"/>
      <c r="N8" s="242"/>
    </row>
    <row r="9" spans="1:15" x14ac:dyDescent="0.2">
      <c r="A9" s="104">
        <v>8</v>
      </c>
      <c r="B9" s="104" t="s">
        <v>82</v>
      </c>
      <c r="C9" s="104" t="s">
        <v>105</v>
      </c>
      <c r="D9" s="104">
        <v>307</v>
      </c>
      <c r="E9" s="104">
        <v>39.44</v>
      </c>
      <c r="F9" s="246"/>
      <c r="G9" s="104" t="s">
        <v>83</v>
      </c>
      <c r="H9" s="104" t="s">
        <v>108</v>
      </c>
      <c r="I9" s="105">
        <v>3</v>
      </c>
      <c r="J9" s="106" t="s">
        <v>109</v>
      </c>
      <c r="K9" s="256">
        <v>2646.78</v>
      </c>
      <c r="L9" s="256">
        <f>ROUND(3676.71089006868,0)</f>
        <v>3677</v>
      </c>
      <c r="M9" s="242"/>
      <c r="N9" s="242"/>
    </row>
    <row r="10" spans="1:15" x14ac:dyDescent="0.2">
      <c r="A10" s="104">
        <v>9</v>
      </c>
      <c r="B10" s="104" t="s">
        <v>82</v>
      </c>
      <c r="C10" s="104" t="s">
        <v>105</v>
      </c>
      <c r="D10" s="104">
        <v>309</v>
      </c>
      <c r="E10" s="104">
        <v>272.14</v>
      </c>
      <c r="F10" s="246"/>
      <c r="G10" s="104" t="s">
        <v>83</v>
      </c>
      <c r="H10" s="104" t="s">
        <v>108</v>
      </c>
      <c r="I10" s="105">
        <v>3</v>
      </c>
      <c r="J10" s="106" t="s">
        <v>109</v>
      </c>
      <c r="K10" s="256"/>
      <c r="L10" s="256"/>
      <c r="M10" s="242"/>
      <c r="N10" s="242"/>
    </row>
    <row r="11" spans="1:15" x14ac:dyDescent="0.2">
      <c r="A11" s="104">
        <v>10</v>
      </c>
      <c r="B11" s="104" t="s">
        <v>82</v>
      </c>
      <c r="C11" s="104" t="s">
        <v>105</v>
      </c>
      <c r="D11" s="104">
        <v>310</v>
      </c>
      <c r="E11" s="104">
        <v>383.05</v>
      </c>
      <c r="F11" s="247"/>
      <c r="G11" s="104" t="s">
        <v>83</v>
      </c>
      <c r="H11" s="104" t="s">
        <v>108</v>
      </c>
      <c r="I11" s="105">
        <v>3</v>
      </c>
      <c r="J11" s="106" t="s">
        <v>109</v>
      </c>
      <c r="K11" s="256"/>
      <c r="L11" s="256"/>
      <c r="M11" s="242"/>
      <c r="N11" s="242"/>
    </row>
    <row r="12" spans="1:15" x14ac:dyDescent="0.2">
      <c r="A12" s="107">
        <v>11</v>
      </c>
      <c r="B12" s="107" t="s">
        <v>82</v>
      </c>
      <c r="C12" s="107" t="s">
        <v>105</v>
      </c>
      <c r="D12" s="107">
        <v>501</v>
      </c>
      <c r="E12" s="107">
        <v>1211.45</v>
      </c>
      <c r="F12" s="107">
        <f>E12</f>
        <v>1211.45</v>
      </c>
      <c r="G12" s="107" t="s">
        <v>83</v>
      </c>
      <c r="H12" s="107" t="s">
        <v>108</v>
      </c>
      <c r="I12" s="108">
        <v>4</v>
      </c>
      <c r="J12" s="109" t="s">
        <v>109</v>
      </c>
      <c r="K12" s="256">
        <v>8066.09</v>
      </c>
      <c r="L12" s="256">
        <f>ROUND(11204.8152635557,0)</f>
        <v>11205</v>
      </c>
      <c r="M12" s="108">
        <f>ROUND(7540.18844871744,0)</f>
        <v>7540</v>
      </c>
      <c r="N12" s="110">
        <f>ROUND(M12*10000/F12,0)</f>
        <v>62239</v>
      </c>
      <c r="O12" s="114" t="s">
        <v>117</v>
      </c>
    </row>
    <row r="13" spans="1:15" x14ac:dyDescent="0.2">
      <c r="A13" s="104">
        <v>12</v>
      </c>
      <c r="B13" s="104" t="s">
        <v>82</v>
      </c>
      <c r="C13" s="104" t="s">
        <v>105</v>
      </c>
      <c r="D13" s="104">
        <v>601</v>
      </c>
      <c r="E13" s="104">
        <v>588.78</v>
      </c>
      <c r="F13" s="104">
        <f>E13</f>
        <v>588.78</v>
      </c>
      <c r="G13" s="104" t="s">
        <v>83</v>
      </c>
      <c r="H13" s="104" t="s">
        <v>108</v>
      </c>
      <c r="I13" s="105">
        <v>5</v>
      </c>
      <c r="J13" s="106" t="s">
        <v>109</v>
      </c>
      <c r="K13" s="256"/>
      <c r="L13" s="256"/>
      <c r="M13" s="105">
        <f>ROUND(3664.6268148383,0)</f>
        <v>3665</v>
      </c>
      <c r="N13" s="112">
        <f>ROUND(M13*10000/F13,0)</f>
        <v>62247</v>
      </c>
      <c r="O13" s="114" t="s">
        <v>117</v>
      </c>
    </row>
    <row r="14" spans="1:15" x14ac:dyDescent="0.2">
      <c r="A14" s="107">
        <v>13</v>
      </c>
      <c r="B14" s="107" t="s">
        <v>82</v>
      </c>
      <c r="C14" s="107" t="s">
        <v>110</v>
      </c>
      <c r="D14" s="107">
        <v>-105</v>
      </c>
      <c r="E14" s="107">
        <v>82.43</v>
      </c>
      <c r="F14" s="248">
        <f>SUM(E14:E21)</f>
        <v>1388.79</v>
      </c>
      <c r="G14" s="107" t="s">
        <v>86</v>
      </c>
      <c r="H14" s="107" t="s">
        <v>107</v>
      </c>
      <c r="I14" s="108">
        <v>-1</v>
      </c>
      <c r="J14" s="109"/>
      <c r="K14" s="109">
        <v>85.38</v>
      </c>
      <c r="L14" s="109">
        <f>ROUND(118.60357709899,0)</f>
        <v>119</v>
      </c>
      <c r="M14" s="243">
        <f>ROUND(2683.41635030957,0)</f>
        <v>2683</v>
      </c>
      <c r="N14" s="243">
        <f>ROUND(M14*10000/F14,0)</f>
        <v>19319</v>
      </c>
    </row>
    <row r="15" spans="1:15" x14ac:dyDescent="0.2">
      <c r="A15" s="107">
        <v>14</v>
      </c>
      <c r="B15" s="107" t="s">
        <v>82</v>
      </c>
      <c r="C15" s="107" t="s">
        <v>110</v>
      </c>
      <c r="D15" s="107">
        <v>-106</v>
      </c>
      <c r="E15" s="107">
        <v>113.91</v>
      </c>
      <c r="F15" s="249"/>
      <c r="G15" s="107" t="s">
        <v>86</v>
      </c>
      <c r="H15" s="107" t="s">
        <v>107</v>
      </c>
      <c r="I15" s="108">
        <v>-1</v>
      </c>
      <c r="J15" s="109"/>
      <c r="K15" s="109">
        <v>163.19999999999999</v>
      </c>
      <c r="L15" s="109">
        <f>ROUND(226.705361707134,0)</f>
        <v>227</v>
      </c>
      <c r="M15" s="243"/>
      <c r="N15" s="243"/>
    </row>
    <row r="16" spans="1:15" x14ac:dyDescent="0.2">
      <c r="A16" s="107">
        <v>15</v>
      </c>
      <c r="B16" s="107" t="s">
        <v>82</v>
      </c>
      <c r="C16" s="107" t="s">
        <v>110</v>
      </c>
      <c r="D16" s="107">
        <v>-101</v>
      </c>
      <c r="E16" s="107">
        <v>164.93</v>
      </c>
      <c r="F16" s="249"/>
      <c r="G16" s="107" t="s">
        <v>86</v>
      </c>
      <c r="H16" s="107" t="s">
        <v>107</v>
      </c>
      <c r="I16" s="108">
        <v>-1</v>
      </c>
      <c r="J16" s="109" t="s">
        <v>107</v>
      </c>
      <c r="K16" s="257">
        <v>1683.15</v>
      </c>
      <c r="L16" s="257">
        <f>ROUND(2338.10741150345,0)</f>
        <v>2338</v>
      </c>
      <c r="M16" s="243"/>
      <c r="N16" s="243"/>
    </row>
    <row r="17" spans="1:15" x14ac:dyDescent="0.2">
      <c r="A17" s="107">
        <v>16</v>
      </c>
      <c r="B17" s="107" t="s">
        <v>82</v>
      </c>
      <c r="C17" s="107" t="s">
        <v>110</v>
      </c>
      <c r="D17" s="107">
        <v>-102</v>
      </c>
      <c r="E17" s="107">
        <v>151.38</v>
      </c>
      <c r="F17" s="249"/>
      <c r="G17" s="107" t="s">
        <v>86</v>
      </c>
      <c r="H17" s="107" t="s">
        <v>107</v>
      </c>
      <c r="I17" s="108">
        <v>-1</v>
      </c>
      <c r="J17" s="109" t="s">
        <v>107</v>
      </c>
      <c r="K17" s="257"/>
      <c r="L17" s="257"/>
      <c r="M17" s="243"/>
      <c r="N17" s="243"/>
    </row>
    <row r="18" spans="1:15" x14ac:dyDescent="0.2">
      <c r="A18" s="107">
        <v>17</v>
      </c>
      <c r="B18" s="107" t="s">
        <v>82</v>
      </c>
      <c r="C18" s="107" t="s">
        <v>110</v>
      </c>
      <c r="D18" s="107">
        <v>-103</v>
      </c>
      <c r="E18" s="107">
        <v>177.18</v>
      </c>
      <c r="F18" s="249"/>
      <c r="G18" s="107" t="s">
        <v>86</v>
      </c>
      <c r="H18" s="107" t="s">
        <v>107</v>
      </c>
      <c r="I18" s="108">
        <v>-1</v>
      </c>
      <c r="J18" s="109" t="s">
        <v>107</v>
      </c>
      <c r="K18" s="257"/>
      <c r="L18" s="257"/>
      <c r="M18" s="243"/>
      <c r="N18" s="243"/>
    </row>
    <row r="19" spans="1:15" x14ac:dyDescent="0.2">
      <c r="A19" s="107">
        <v>18</v>
      </c>
      <c r="B19" s="107" t="s">
        <v>82</v>
      </c>
      <c r="C19" s="107" t="s">
        <v>110</v>
      </c>
      <c r="D19" s="107">
        <v>-107</v>
      </c>
      <c r="E19" s="107">
        <v>221.06</v>
      </c>
      <c r="F19" s="249"/>
      <c r="G19" s="107" t="s">
        <v>86</v>
      </c>
      <c r="H19" s="107" t="s">
        <v>107</v>
      </c>
      <c r="I19" s="108">
        <v>-1</v>
      </c>
      <c r="J19" s="109" t="s">
        <v>107</v>
      </c>
      <c r="K19" s="257"/>
      <c r="L19" s="257"/>
      <c r="M19" s="243"/>
      <c r="N19" s="243"/>
    </row>
    <row r="20" spans="1:15" x14ac:dyDescent="0.2">
      <c r="A20" s="107">
        <v>19</v>
      </c>
      <c r="B20" s="107" t="s">
        <v>82</v>
      </c>
      <c r="C20" s="107" t="s">
        <v>110</v>
      </c>
      <c r="D20" s="107">
        <v>-108</v>
      </c>
      <c r="E20" s="107">
        <v>190.76</v>
      </c>
      <c r="F20" s="249"/>
      <c r="G20" s="107" t="s">
        <v>86</v>
      </c>
      <c r="H20" s="107" t="s">
        <v>107</v>
      </c>
      <c r="I20" s="108">
        <v>-1</v>
      </c>
      <c r="J20" s="109" t="s">
        <v>107</v>
      </c>
      <c r="K20" s="257"/>
      <c r="L20" s="257"/>
      <c r="M20" s="243"/>
      <c r="N20" s="243"/>
    </row>
    <row r="21" spans="1:15" x14ac:dyDescent="0.2">
      <c r="A21" s="107">
        <v>20</v>
      </c>
      <c r="B21" s="107" t="s">
        <v>82</v>
      </c>
      <c r="C21" s="107" t="s">
        <v>110</v>
      </c>
      <c r="D21" s="107">
        <v>-109</v>
      </c>
      <c r="E21" s="107">
        <v>287.14</v>
      </c>
      <c r="F21" s="250"/>
      <c r="G21" s="107" t="s">
        <v>86</v>
      </c>
      <c r="H21" s="107" t="s">
        <v>107</v>
      </c>
      <c r="I21" s="108">
        <v>-1</v>
      </c>
      <c r="J21" s="109" t="s">
        <v>107</v>
      </c>
      <c r="K21" s="257"/>
      <c r="L21" s="257"/>
      <c r="M21" s="243"/>
      <c r="N21" s="243"/>
    </row>
    <row r="22" spans="1:15" x14ac:dyDescent="0.2">
      <c r="A22" s="104">
        <v>21</v>
      </c>
      <c r="B22" s="104" t="s">
        <v>82</v>
      </c>
      <c r="C22" s="104" t="s">
        <v>110</v>
      </c>
      <c r="D22" s="104">
        <v>102</v>
      </c>
      <c r="E22" s="104">
        <v>155.69</v>
      </c>
      <c r="F22" s="245">
        <f>SUM(E22:E25)</f>
        <v>720.32</v>
      </c>
      <c r="G22" s="104" t="s">
        <v>87</v>
      </c>
      <c r="H22" s="104" t="s">
        <v>108</v>
      </c>
      <c r="I22" s="105">
        <v>1</v>
      </c>
      <c r="J22" s="106" t="s">
        <v>109</v>
      </c>
      <c r="K22" s="256">
        <v>5503.69</v>
      </c>
      <c r="L22" s="256">
        <f>ROUND(7645.3188245952,0)</f>
        <v>7645</v>
      </c>
      <c r="M22" s="251">
        <f>ROUND(7645.3188245952,0)</f>
        <v>7645</v>
      </c>
      <c r="N22" s="251">
        <f>ROUND(M22*10000/F22,0)</f>
        <v>106133</v>
      </c>
    </row>
    <row r="23" spans="1:15" x14ac:dyDescent="0.2">
      <c r="A23" s="104">
        <v>22</v>
      </c>
      <c r="B23" s="104" t="s">
        <v>82</v>
      </c>
      <c r="C23" s="104" t="s">
        <v>110</v>
      </c>
      <c r="D23" s="104">
        <v>103</v>
      </c>
      <c r="E23" s="104">
        <v>198.17</v>
      </c>
      <c r="F23" s="246"/>
      <c r="G23" s="104" t="s">
        <v>87</v>
      </c>
      <c r="H23" s="104" t="s">
        <v>108</v>
      </c>
      <c r="I23" s="105" t="s">
        <v>88</v>
      </c>
      <c r="J23" s="106" t="s">
        <v>109</v>
      </c>
      <c r="K23" s="256"/>
      <c r="L23" s="256"/>
      <c r="M23" s="242"/>
      <c r="N23" s="242"/>
    </row>
    <row r="24" spans="1:15" x14ac:dyDescent="0.2">
      <c r="A24" s="104">
        <v>23</v>
      </c>
      <c r="B24" s="104" t="s">
        <v>82</v>
      </c>
      <c r="C24" s="104" t="s">
        <v>110</v>
      </c>
      <c r="D24" s="104">
        <v>105</v>
      </c>
      <c r="E24" s="104">
        <v>177.57</v>
      </c>
      <c r="F24" s="246"/>
      <c r="G24" s="104" t="s">
        <v>87</v>
      </c>
      <c r="H24" s="104" t="s">
        <v>108</v>
      </c>
      <c r="I24" s="105" t="s">
        <v>88</v>
      </c>
      <c r="J24" s="106" t="s">
        <v>109</v>
      </c>
      <c r="K24" s="256"/>
      <c r="L24" s="256"/>
      <c r="M24" s="242"/>
      <c r="N24" s="242"/>
    </row>
    <row r="25" spans="1:15" x14ac:dyDescent="0.2">
      <c r="A25" s="104">
        <v>24</v>
      </c>
      <c r="B25" s="104" t="s">
        <v>82</v>
      </c>
      <c r="C25" s="104" t="s">
        <v>110</v>
      </c>
      <c r="D25" s="104">
        <v>106</v>
      </c>
      <c r="E25" s="104">
        <v>188.89</v>
      </c>
      <c r="F25" s="247"/>
      <c r="G25" s="104" t="s">
        <v>87</v>
      </c>
      <c r="H25" s="104" t="s">
        <v>108</v>
      </c>
      <c r="I25" s="105" t="s">
        <v>88</v>
      </c>
      <c r="J25" s="106" t="s">
        <v>109</v>
      </c>
      <c r="K25" s="256"/>
      <c r="L25" s="256"/>
      <c r="M25" s="242"/>
      <c r="N25" s="242"/>
    </row>
    <row r="26" spans="1:15" x14ac:dyDescent="0.2">
      <c r="A26" s="107">
        <v>25</v>
      </c>
      <c r="B26" s="107" t="s">
        <v>82</v>
      </c>
      <c r="C26" s="107" t="s">
        <v>110</v>
      </c>
      <c r="D26" s="116">
        <v>101</v>
      </c>
      <c r="E26" s="116">
        <v>109.14</v>
      </c>
      <c r="F26" s="253">
        <f>SUM(E26:E32)</f>
        <v>1234.7</v>
      </c>
      <c r="G26" s="116" t="s">
        <v>87</v>
      </c>
      <c r="H26" s="116" t="s">
        <v>108</v>
      </c>
      <c r="I26" s="117">
        <v>1</v>
      </c>
      <c r="J26" s="118" t="s">
        <v>109</v>
      </c>
      <c r="K26" s="257">
        <v>1741.24</v>
      </c>
      <c r="L26" s="257">
        <f>ROUND(2418.80174031207,0)</f>
        <v>2419</v>
      </c>
      <c r="M26" s="243">
        <f>ROUND(2418.80174031207,0)</f>
        <v>2419</v>
      </c>
      <c r="N26" s="243">
        <f>ROUND(M26*10000/F26,0)</f>
        <v>19592</v>
      </c>
      <c r="O26" s="113" t="s">
        <v>116</v>
      </c>
    </row>
    <row r="27" spans="1:15" x14ac:dyDescent="0.2">
      <c r="A27" s="107">
        <v>26</v>
      </c>
      <c r="B27" s="107" t="s">
        <v>82</v>
      </c>
      <c r="C27" s="107" t="s">
        <v>110</v>
      </c>
      <c r="D27" s="107">
        <v>201</v>
      </c>
      <c r="E27" s="107">
        <v>128.76</v>
      </c>
      <c r="F27" s="254"/>
      <c r="G27" s="107" t="s">
        <v>87</v>
      </c>
      <c r="H27" s="107" t="s">
        <v>108</v>
      </c>
      <c r="I27" s="108">
        <v>2</v>
      </c>
      <c r="J27" s="109" t="s">
        <v>109</v>
      </c>
      <c r="K27" s="257"/>
      <c r="L27" s="257"/>
      <c r="M27" s="243"/>
      <c r="N27" s="243"/>
    </row>
    <row r="28" spans="1:15" x14ac:dyDescent="0.2">
      <c r="A28" s="107">
        <v>27</v>
      </c>
      <c r="B28" s="107" t="s">
        <v>82</v>
      </c>
      <c r="C28" s="107" t="s">
        <v>110</v>
      </c>
      <c r="D28" s="107">
        <v>202</v>
      </c>
      <c r="E28" s="107">
        <v>280.61</v>
      </c>
      <c r="F28" s="254"/>
      <c r="G28" s="107" t="s">
        <v>87</v>
      </c>
      <c r="H28" s="107" t="s">
        <v>108</v>
      </c>
      <c r="I28" s="108">
        <v>2</v>
      </c>
      <c r="J28" s="109" t="s">
        <v>109</v>
      </c>
      <c r="K28" s="257"/>
      <c r="L28" s="257"/>
      <c r="M28" s="243"/>
      <c r="N28" s="243"/>
    </row>
    <row r="29" spans="1:15" x14ac:dyDescent="0.2">
      <c r="A29" s="107">
        <v>28</v>
      </c>
      <c r="B29" s="107" t="s">
        <v>82</v>
      </c>
      <c r="C29" s="107" t="s">
        <v>110</v>
      </c>
      <c r="D29" s="107">
        <v>203</v>
      </c>
      <c r="E29" s="107">
        <v>66.989999999999995</v>
      </c>
      <c r="F29" s="254"/>
      <c r="G29" s="107" t="s">
        <v>87</v>
      </c>
      <c r="H29" s="107" t="s">
        <v>108</v>
      </c>
      <c r="I29" s="108">
        <v>2</v>
      </c>
      <c r="J29" s="109" t="s">
        <v>109</v>
      </c>
      <c r="K29" s="257"/>
      <c r="L29" s="257"/>
      <c r="M29" s="243"/>
      <c r="N29" s="243"/>
    </row>
    <row r="30" spans="1:15" x14ac:dyDescent="0.2">
      <c r="A30" s="107">
        <v>29</v>
      </c>
      <c r="B30" s="107" t="s">
        <v>82</v>
      </c>
      <c r="C30" s="107" t="s">
        <v>110</v>
      </c>
      <c r="D30" s="107">
        <v>205</v>
      </c>
      <c r="E30" s="107">
        <v>325.72000000000003</v>
      </c>
      <c r="F30" s="254"/>
      <c r="G30" s="107" t="s">
        <v>87</v>
      </c>
      <c r="H30" s="107" t="s">
        <v>108</v>
      </c>
      <c r="I30" s="108">
        <v>2</v>
      </c>
      <c r="J30" s="109" t="s">
        <v>109</v>
      </c>
      <c r="K30" s="257"/>
      <c r="L30" s="257"/>
      <c r="M30" s="243"/>
      <c r="N30" s="243"/>
    </row>
    <row r="31" spans="1:15" x14ac:dyDescent="0.2">
      <c r="A31" s="107">
        <v>30</v>
      </c>
      <c r="B31" s="107" t="s">
        <v>82</v>
      </c>
      <c r="C31" s="107" t="s">
        <v>110</v>
      </c>
      <c r="D31" s="107">
        <v>206</v>
      </c>
      <c r="E31" s="107">
        <v>186.41</v>
      </c>
      <c r="F31" s="254"/>
      <c r="G31" s="107" t="s">
        <v>87</v>
      </c>
      <c r="H31" s="107" t="s">
        <v>108</v>
      </c>
      <c r="I31" s="108">
        <v>2</v>
      </c>
      <c r="J31" s="109" t="s">
        <v>109</v>
      </c>
      <c r="K31" s="257"/>
      <c r="L31" s="257"/>
      <c r="M31" s="243"/>
      <c r="N31" s="243"/>
    </row>
    <row r="32" spans="1:15" x14ac:dyDescent="0.2">
      <c r="A32" s="107">
        <v>31</v>
      </c>
      <c r="B32" s="107" t="s">
        <v>82</v>
      </c>
      <c r="C32" s="107" t="s">
        <v>110</v>
      </c>
      <c r="D32" s="107">
        <v>207</v>
      </c>
      <c r="E32" s="107">
        <v>137.07</v>
      </c>
      <c r="F32" s="255"/>
      <c r="G32" s="107" t="s">
        <v>87</v>
      </c>
      <c r="H32" s="107" t="s">
        <v>108</v>
      </c>
      <c r="I32" s="108">
        <v>2</v>
      </c>
      <c r="J32" s="109" t="s">
        <v>109</v>
      </c>
      <c r="K32" s="257"/>
      <c r="L32" s="257"/>
      <c r="M32" s="243"/>
      <c r="N32" s="243"/>
    </row>
    <row r="33" spans="1:14" x14ac:dyDescent="0.2">
      <c r="A33" s="104">
        <v>32</v>
      </c>
      <c r="B33" s="104" t="s">
        <v>82</v>
      </c>
      <c r="C33" s="104" t="s">
        <v>110</v>
      </c>
      <c r="D33" s="104">
        <v>301</v>
      </c>
      <c r="E33" s="104">
        <v>133.55000000000001</v>
      </c>
      <c r="F33" s="245">
        <f>SUM(E33:E40)</f>
        <v>1751.24</v>
      </c>
      <c r="G33" s="104" t="s">
        <v>83</v>
      </c>
      <c r="H33" s="104" t="s">
        <v>108</v>
      </c>
      <c r="I33" s="105">
        <v>3</v>
      </c>
      <c r="J33" s="106" t="s">
        <v>109</v>
      </c>
      <c r="K33" s="256">
        <v>4775.3599999999997</v>
      </c>
      <c r="L33" s="256">
        <f>ROUND(6633.57669167757,0)</f>
        <v>6634</v>
      </c>
      <c r="M33" s="242">
        <f>ROUND(6633.57669167757,0)</f>
        <v>6634</v>
      </c>
      <c r="N33" s="242">
        <f>ROUND(M33*10000/F33,0)</f>
        <v>37882</v>
      </c>
    </row>
    <row r="34" spans="1:14" x14ac:dyDescent="0.2">
      <c r="A34" s="104">
        <v>33</v>
      </c>
      <c r="B34" s="104" t="s">
        <v>82</v>
      </c>
      <c r="C34" s="104" t="s">
        <v>110</v>
      </c>
      <c r="D34" s="104">
        <v>302</v>
      </c>
      <c r="E34" s="104">
        <v>214.7</v>
      </c>
      <c r="F34" s="246"/>
      <c r="G34" s="104" t="s">
        <v>83</v>
      </c>
      <c r="H34" s="104" t="s">
        <v>108</v>
      </c>
      <c r="I34" s="105">
        <v>3</v>
      </c>
      <c r="J34" s="106" t="s">
        <v>109</v>
      </c>
      <c r="K34" s="256"/>
      <c r="L34" s="256"/>
      <c r="M34" s="242"/>
      <c r="N34" s="242"/>
    </row>
    <row r="35" spans="1:14" x14ac:dyDescent="0.2">
      <c r="A35" s="104">
        <v>34</v>
      </c>
      <c r="B35" s="104" t="s">
        <v>82</v>
      </c>
      <c r="C35" s="104" t="s">
        <v>110</v>
      </c>
      <c r="D35" s="104">
        <v>303</v>
      </c>
      <c r="E35" s="104">
        <v>131.69</v>
      </c>
      <c r="F35" s="246"/>
      <c r="G35" s="104" t="s">
        <v>83</v>
      </c>
      <c r="H35" s="104" t="s">
        <v>108</v>
      </c>
      <c r="I35" s="105">
        <v>3</v>
      </c>
      <c r="J35" s="106" t="s">
        <v>109</v>
      </c>
      <c r="K35" s="256"/>
      <c r="L35" s="256"/>
      <c r="M35" s="242"/>
      <c r="N35" s="242"/>
    </row>
    <row r="36" spans="1:14" x14ac:dyDescent="0.2">
      <c r="A36" s="104">
        <v>35</v>
      </c>
      <c r="B36" s="104" t="s">
        <v>82</v>
      </c>
      <c r="C36" s="104" t="s">
        <v>110</v>
      </c>
      <c r="D36" s="104">
        <v>305</v>
      </c>
      <c r="E36" s="104">
        <v>200.45</v>
      </c>
      <c r="F36" s="246"/>
      <c r="G36" s="104" t="s">
        <v>83</v>
      </c>
      <c r="H36" s="104" t="s">
        <v>108</v>
      </c>
      <c r="I36" s="105">
        <v>3</v>
      </c>
      <c r="J36" s="106" t="s">
        <v>109</v>
      </c>
      <c r="K36" s="256"/>
      <c r="L36" s="256"/>
      <c r="M36" s="242"/>
      <c r="N36" s="242"/>
    </row>
    <row r="37" spans="1:14" x14ac:dyDescent="0.2">
      <c r="A37" s="104">
        <v>36</v>
      </c>
      <c r="B37" s="104" t="s">
        <v>82</v>
      </c>
      <c r="C37" s="104" t="s">
        <v>110</v>
      </c>
      <c r="D37" s="104">
        <v>306</v>
      </c>
      <c r="E37" s="104">
        <v>280.99</v>
      </c>
      <c r="F37" s="246"/>
      <c r="G37" s="104" t="s">
        <v>83</v>
      </c>
      <c r="H37" s="104" t="s">
        <v>108</v>
      </c>
      <c r="I37" s="105">
        <v>3</v>
      </c>
      <c r="J37" s="106" t="s">
        <v>109</v>
      </c>
      <c r="K37" s="256"/>
      <c r="L37" s="256"/>
      <c r="M37" s="242"/>
      <c r="N37" s="242"/>
    </row>
    <row r="38" spans="1:14" x14ac:dyDescent="0.2">
      <c r="A38" s="104">
        <v>37</v>
      </c>
      <c r="B38" s="104" t="s">
        <v>82</v>
      </c>
      <c r="C38" s="104" t="s">
        <v>110</v>
      </c>
      <c r="D38" s="104">
        <v>308</v>
      </c>
      <c r="E38" s="104">
        <v>392.71</v>
      </c>
      <c r="F38" s="246"/>
      <c r="G38" s="104" t="s">
        <v>83</v>
      </c>
      <c r="H38" s="104" t="s">
        <v>108</v>
      </c>
      <c r="I38" s="105">
        <v>3</v>
      </c>
      <c r="J38" s="106" t="s">
        <v>109</v>
      </c>
      <c r="K38" s="256"/>
      <c r="L38" s="256"/>
      <c r="M38" s="242"/>
      <c r="N38" s="242"/>
    </row>
    <row r="39" spans="1:14" x14ac:dyDescent="0.2">
      <c r="A39" s="104">
        <v>38</v>
      </c>
      <c r="B39" s="104" t="s">
        <v>82</v>
      </c>
      <c r="C39" s="104" t="s">
        <v>110</v>
      </c>
      <c r="D39" s="104">
        <v>309</v>
      </c>
      <c r="E39" s="104">
        <v>187.73</v>
      </c>
      <c r="F39" s="246"/>
      <c r="G39" s="104" t="s">
        <v>83</v>
      </c>
      <c r="H39" s="104" t="s">
        <v>108</v>
      </c>
      <c r="I39" s="105">
        <v>3</v>
      </c>
      <c r="J39" s="106" t="s">
        <v>109</v>
      </c>
      <c r="K39" s="256"/>
      <c r="L39" s="256"/>
      <c r="M39" s="242"/>
      <c r="N39" s="242"/>
    </row>
    <row r="40" spans="1:14" x14ac:dyDescent="0.2">
      <c r="A40" s="104">
        <v>39</v>
      </c>
      <c r="B40" s="104" t="s">
        <v>82</v>
      </c>
      <c r="C40" s="104" t="s">
        <v>110</v>
      </c>
      <c r="D40" s="104">
        <v>310</v>
      </c>
      <c r="E40" s="104">
        <v>209.42</v>
      </c>
      <c r="F40" s="247"/>
      <c r="G40" s="104" t="s">
        <v>83</v>
      </c>
      <c r="H40" s="104" t="s">
        <v>108</v>
      </c>
      <c r="I40" s="105">
        <v>3</v>
      </c>
      <c r="J40" s="106" t="s">
        <v>109</v>
      </c>
      <c r="K40" s="256"/>
      <c r="L40" s="256"/>
      <c r="M40" s="242"/>
      <c r="N40" s="242"/>
    </row>
    <row r="41" spans="1:14" x14ac:dyDescent="0.2">
      <c r="A41" s="107">
        <v>40</v>
      </c>
      <c r="B41" s="107" t="s">
        <v>82</v>
      </c>
      <c r="C41" s="107" t="s">
        <v>110</v>
      </c>
      <c r="D41" s="107">
        <v>502</v>
      </c>
      <c r="E41" s="107">
        <v>217.39</v>
      </c>
      <c r="F41" s="248">
        <f>SUM(E41:E45)</f>
        <v>977.51</v>
      </c>
      <c r="G41" s="107" t="s">
        <v>83</v>
      </c>
      <c r="H41" s="107" t="s">
        <v>108</v>
      </c>
      <c r="I41" s="108">
        <v>4</v>
      </c>
      <c r="J41" s="109" t="s">
        <v>109</v>
      </c>
      <c r="K41" s="109">
        <v>963.09</v>
      </c>
      <c r="L41" s="109">
        <f>ROUND(1337.85335053017,0)</f>
        <v>1338</v>
      </c>
      <c r="M41" s="243">
        <f>ROUND(6015.749015986,0)</f>
        <v>6016</v>
      </c>
      <c r="N41" s="243">
        <f>ROUND(M41*10000/F41,0)</f>
        <v>61544</v>
      </c>
    </row>
    <row r="42" spans="1:14" x14ac:dyDescent="0.2">
      <c r="A42" s="107">
        <v>41</v>
      </c>
      <c r="B42" s="107" t="s">
        <v>82</v>
      </c>
      <c r="C42" s="107" t="s">
        <v>110</v>
      </c>
      <c r="D42" s="107">
        <v>505</v>
      </c>
      <c r="E42" s="107">
        <v>245.83</v>
      </c>
      <c r="F42" s="249"/>
      <c r="G42" s="107" t="s">
        <v>83</v>
      </c>
      <c r="H42" s="107" t="s">
        <v>108</v>
      </c>
      <c r="I42" s="108">
        <v>4</v>
      </c>
      <c r="J42" s="109" t="s">
        <v>109</v>
      </c>
      <c r="K42" s="109">
        <v>1089.08</v>
      </c>
      <c r="L42" s="109">
        <f>ROUND(1512.86933411768,0)</f>
        <v>1513</v>
      </c>
      <c r="M42" s="243"/>
      <c r="N42" s="243"/>
    </row>
    <row r="43" spans="1:14" x14ac:dyDescent="0.2">
      <c r="A43" s="107">
        <v>42</v>
      </c>
      <c r="B43" s="107" t="s">
        <v>82</v>
      </c>
      <c r="C43" s="107" t="s">
        <v>110</v>
      </c>
      <c r="D43" s="107">
        <v>507</v>
      </c>
      <c r="E43" s="107">
        <v>139.52000000000001</v>
      </c>
      <c r="F43" s="249"/>
      <c r="G43" s="107" t="s">
        <v>83</v>
      </c>
      <c r="H43" s="107" t="s">
        <v>108</v>
      </c>
      <c r="I43" s="108">
        <v>4</v>
      </c>
      <c r="J43" s="109" t="s">
        <v>109</v>
      </c>
      <c r="K43" s="109">
        <v>618.11</v>
      </c>
      <c r="L43" s="109">
        <f>ROUND(858.632666205862,0)</f>
        <v>859</v>
      </c>
      <c r="M43" s="243"/>
      <c r="N43" s="243"/>
    </row>
    <row r="44" spans="1:14" x14ac:dyDescent="0.2">
      <c r="A44" s="107">
        <v>43</v>
      </c>
      <c r="B44" s="107" t="s">
        <v>82</v>
      </c>
      <c r="C44" s="107" t="s">
        <v>110</v>
      </c>
      <c r="D44" s="107">
        <v>508</v>
      </c>
      <c r="E44" s="107">
        <v>177.56</v>
      </c>
      <c r="F44" s="249"/>
      <c r="G44" s="107" t="s">
        <v>83</v>
      </c>
      <c r="H44" s="107" t="s">
        <v>108</v>
      </c>
      <c r="I44" s="108">
        <v>4</v>
      </c>
      <c r="J44" s="109" t="s">
        <v>109</v>
      </c>
      <c r="K44" s="109">
        <v>786.63</v>
      </c>
      <c r="L44" s="109">
        <v>1092.7281781843315</v>
      </c>
      <c r="M44" s="243"/>
      <c r="N44" s="243"/>
    </row>
    <row r="45" spans="1:14" x14ac:dyDescent="0.2">
      <c r="A45" s="107">
        <v>44</v>
      </c>
      <c r="B45" s="107" t="s">
        <v>82</v>
      </c>
      <c r="C45" s="107" t="s">
        <v>110</v>
      </c>
      <c r="D45" s="107">
        <v>509</v>
      </c>
      <c r="E45" s="107">
        <v>197.21</v>
      </c>
      <c r="F45" s="250"/>
      <c r="G45" s="107" t="s">
        <v>83</v>
      </c>
      <c r="H45" s="107" t="s">
        <v>108</v>
      </c>
      <c r="I45" s="108">
        <v>4</v>
      </c>
      <c r="J45" s="109" t="s">
        <v>109</v>
      </c>
      <c r="K45" s="109">
        <v>873.69</v>
      </c>
      <c r="L45" s="109">
        <v>1213.6654869479535</v>
      </c>
      <c r="M45" s="243"/>
      <c r="N45" s="243"/>
    </row>
    <row r="46" spans="1:14" x14ac:dyDescent="0.2">
      <c r="A46" s="104">
        <v>45</v>
      </c>
      <c r="B46" s="104" t="s">
        <v>82</v>
      </c>
      <c r="C46" s="104" t="s">
        <v>110</v>
      </c>
      <c r="D46" s="104">
        <v>602</v>
      </c>
      <c r="E46" s="104">
        <v>216.1</v>
      </c>
      <c r="F46" s="245">
        <f>SUM(E46:E50)</f>
        <v>1082.9700000000003</v>
      </c>
      <c r="G46" s="104" t="s">
        <v>83</v>
      </c>
      <c r="H46" s="104" t="s">
        <v>108</v>
      </c>
      <c r="I46" s="105">
        <v>5</v>
      </c>
      <c r="J46" s="106" t="s">
        <v>109</v>
      </c>
      <c r="K46" s="106">
        <v>948.37</v>
      </c>
      <c r="L46" s="106">
        <v>1317.4054159448208</v>
      </c>
      <c r="M46" s="242">
        <f>ROUND(6621.78301201523,0)</f>
        <v>6622</v>
      </c>
      <c r="N46" s="242">
        <f>ROUND(M46*10000/F46,0)</f>
        <v>61147</v>
      </c>
    </row>
    <row r="47" spans="1:14" x14ac:dyDescent="0.2">
      <c r="A47" s="104">
        <v>46</v>
      </c>
      <c r="B47" s="104" t="s">
        <v>82</v>
      </c>
      <c r="C47" s="104" t="s">
        <v>110</v>
      </c>
      <c r="D47" s="104">
        <v>605</v>
      </c>
      <c r="E47" s="104">
        <v>196.75</v>
      </c>
      <c r="F47" s="246"/>
      <c r="G47" s="104" t="s">
        <v>83</v>
      </c>
      <c r="H47" s="104" t="s">
        <v>108</v>
      </c>
      <c r="I47" s="105">
        <v>5</v>
      </c>
      <c r="J47" s="106" t="s">
        <v>109</v>
      </c>
      <c r="K47" s="106">
        <v>865.69</v>
      </c>
      <c r="L47" s="106">
        <v>1202.5524790211332</v>
      </c>
      <c r="M47" s="242"/>
      <c r="N47" s="242"/>
    </row>
    <row r="48" spans="1:14" x14ac:dyDescent="0.2">
      <c r="A48" s="104">
        <v>47</v>
      </c>
      <c r="B48" s="104" t="s">
        <v>82</v>
      </c>
      <c r="C48" s="104" t="s">
        <v>110</v>
      </c>
      <c r="D48" s="104">
        <v>607</v>
      </c>
      <c r="E48" s="104">
        <v>235.3</v>
      </c>
      <c r="F48" s="246"/>
      <c r="G48" s="104" t="s">
        <v>83</v>
      </c>
      <c r="H48" s="104" t="s">
        <v>108</v>
      </c>
      <c r="I48" s="105">
        <v>5</v>
      </c>
      <c r="J48" s="106" t="s">
        <v>109</v>
      </c>
      <c r="K48" s="106">
        <v>1039.78</v>
      </c>
      <c r="L48" s="106">
        <v>1444.3854227686513</v>
      </c>
      <c r="M48" s="242"/>
      <c r="N48" s="242"/>
    </row>
    <row r="49" spans="1:14" x14ac:dyDescent="0.2">
      <c r="A49" s="104">
        <v>48</v>
      </c>
      <c r="B49" s="104" t="s">
        <v>82</v>
      </c>
      <c r="C49" s="104" t="s">
        <v>110</v>
      </c>
      <c r="D49" s="104">
        <v>608</v>
      </c>
      <c r="E49" s="104">
        <v>245.69</v>
      </c>
      <c r="F49" s="246"/>
      <c r="G49" s="104" t="s">
        <v>83</v>
      </c>
      <c r="H49" s="104" t="s">
        <v>108</v>
      </c>
      <c r="I49" s="105">
        <v>5</v>
      </c>
      <c r="J49" s="106" t="s">
        <v>109</v>
      </c>
      <c r="K49" s="106">
        <v>1088.46</v>
      </c>
      <c r="L49" s="106">
        <v>1512.0080760033529</v>
      </c>
      <c r="M49" s="242"/>
      <c r="N49" s="242"/>
    </row>
    <row r="50" spans="1:14" x14ac:dyDescent="0.2">
      <c r="A50" s="104">
        <v>49</v>
      </c>
      <c r="B50" s="104" t="s">
        <v>82</v>
      </c>
      <c r="C50" s="104" t="s">
        <v>110</v>
      </c>
      <c r="D50" s="104">
        <v>609</v>
      </c>
      <c r="E50" s="104">
        <v>189.13</v>
      </c>
      <c r="F50" s="247"/>
      <c r="G50" s="104" t="s">
        <v>83</v>
      </c>
      <c r="H50" s="104" t="s">
        <v>108</v>
      </c>
      <c r="I50" s="105">
        <v>5</v>
      </c>
      <c r="J50" s="106" t="s">
        <v>109</v>
      </c>
      <c r="K50" s="106">
        <v>824.57</v>
      </c>
      <c r="L50" s="106">
        <v>1145.4316182772768</v>
      </c>
      <c r="M50" s="242"/>
      <c r="N50" s="242"/>
    </row>
    <row r="51" spans="1:14" x14ac:dyDescent="0.2">
      <c r="A51" s="107">
        <v>50</v>
      </c>
      <c r="B51" s="107" t="s">
        <v>82</v>
      </c>
      <c r="C51" s="107" t="s">
        <v>110</v>
      </c>
      <c r="D51" s="107">
        <v>701</v>
      </c>
      <c r="E51" s="107">
        <v>133.94999999999999</v>
      </c>
      <c r="F51" s="248">
        <f>SUM(E51:E57)</f>
        <v>1410.4899999999998</v>
      </c>
      <c r="G51" s="107" t="s">
        <v>83</v>
      </c>
      <c r="H51" s="107" t="s">
        <v>108</v>
      </c>
      <c r="I51" s="108">
        <v>6</v>
      </c>
      <c r="J51" s="109" t="s">
        <v>109</v>
      </c>
      <c r="K51" s="109">
        <v>593.42999999999995</v>
      </c>
      <c r="L51" s="109">
        <v>824.34903675162116</v>
      </c>
      <c r="M51" s="243">
        <f>ROUND(8619.13781796256,0)</f>
        <v>8619</v>
      </c>
      <c r="N51" s="243">
        <f>ROUND(M51*10000/F51,0)</f>
        <v>61106</v>
      </c>
    </row>
    <row r="52" spans="1:14" x14ac:dyDescent="0.2">
      <c r="A52" s="107">
        <v>51</v>
      </c>
      <c r="B52" s="107" t="s">
        <v>82</v>
      </c>
      <c r="C52" s="107" t="s">
        <v>110</v>
      </c>
      <c r="D52" s="107">
        <v>702</v>
      </c>
      <c r="E52" s="107">
        <v>215.21</v>
      </c>
      <c r="F52" s="249"/>
      <c r="G52" s="107" t="s">
        <v>83</v>
      </c>
      <c r="H52" s="107" t="s">
        <v>108</v>
      </c>
      <c r="I52" s="108">
        <v>6</v>
      </c>
      <c r="J52" s="109" t="s">
        <v>109</v>
      </c>
      <c r="K52" s="109">
        <v>953.43</v>
      </c>
      <c r="L52" s="109">
        <v>1324.4343934585347</v>
      </c>
      <c r="M52" s="243"/>
      <c r="N52" s="243"/>
    </row>
    <row r="53" spans="1:14" x14ac:dyDescent="0.2">
      <c r="A53" s="107">
        <v>52</v>
      </c>
      <c r="B53" s="107" t="s">
        <v>82</v>
      </c>
      <c r="C53" s="107" t="s">
        <v>110</v>
      </c>
      <c r="D53" s="107">
        <v>705</v>
      </c>
      <c r="E53" s="107">
        <v>245.95</v>
      </c>
      <c r="F53" s="249"/>
      <c r="G53" s="107" t="s">
        <v>83</v>
      </c>
      <c r="H53" s="107" t="s">
        <v>108</v>
      </c>
      <c r="I53" s="108">
        <v>6</v>
      </c>
      <c r="J53" s="109" t="s">
        <v>109</v>
      </c>
      <c r="K53" s="109">
        <v>1080.3900000000001</v>
      </c>
      <c r="L53" s="109">
        <v>1500.7978292571729</v>
      </c>
      <c r="M53" s="243"/>
      <c r="N53" s="243"/>
    </row>
    <row r="54" spans="1:14" x14ac:dyDescent="0.2">
      <c r="A54" s="107">
        <v>53</v>
      </c>
      <c r="B54" s="107" t="s">
        <v>82</v>
      </c>
      <c r="C54" s="107" t="s">
        <v>110</v>
      </c>
      <c r="D54" s="107">
        <v>706</v>
      </c>
      <c r="E54" s="107">
        <v>145.26</v>
      </c>
      <c r="F54" s="249"/>
      <c r="G54" s="107" t="s">
        <v>83</v>
      </c>
      <c r="H54" s="107" t="s">
        <v>108</v>
      </c>
      <c r="I54" s="108">
        <v>6</v>
      </c>
      <c r="J54" s="109" t="s">
        <v>109</v>
      </c>
      <c r="K54" s="109">
        <v>638.45000000000005</v>
      </c>
      <c r="L54" s="109">
        <v>886.88748885980249</v>
      </c>
      <c r="M54" s="243"/>
      <c r="N54" s="243"/>
    </row>
    <row r="55" spans="1:14" x14ac:dyDescent="0.2">
      <c r="A55" s="107">
        <v>54</v>
      </c>
      <c r="B55" s="107" t="s">
        <v>82</v>
      </c>
      <c r="C55" s="107" t="s">
        <v>110</v>
      </c>
      <c r="D55" s="107">
        <v>707</v>
      </c>
      <c r="E55" s="107">
        <v>235.3</v>
      </c>
      <c r="F55" s="249"/>
      <c r="G55" s="107" t="s">
        <v>83</v>
      </c>
      <c r="H55" s="107" t="s">
        <v>108</v>
      </c>
      <c r="I55" s="108">
        <v>6</v>
      </c>
      <c r="J55" s="109" t="s">
        <v>109</v>
      </c>
      <c r="K55" s="109">
        <v>1012.67</v>
      </c>
      <c r="L55" s="109">
        <v>1406.726217156639</v>
      </c>
      <c r="M55" s="243"/>
      <c r="N55" s="243"/>
    </row>
    <row r="56" spans="1:14" x14ac:dyDescent="0.2">
      <c r="A56" s="107">
        <v>55</v>
      </c>
      <c r="B56" s="107" t="s">
        <v>82</v>
      </c>
      <c r="C56" s="107" t="s">
        <v>110</v>
      </c>
      <c r="D56" s="107">
        <v>708</v>
      </c>
      <c r="E56" s="107">
        <v>245.69</v>
      </c>
      <c r="F56" s="249"/>
      <c r="G56" s="107" t="s">
        <v>83</v>
      </c>
      <c r="H56" s="107" t="s">
        <v>108</v>
      </c>
      <c r="I56" s="108">
        <v>6</v>
      </c>
      <c r="J56" s="109" t="s">
        <v>109</v>
      </c>
      <c r="K56" s="109">
        <v>1088.46</v>
      </c>
      <c r="L56" s="109">
        <v>1512.0080760033529</v>
      </c>
      <c r="M56" s="243"/>
      <c r="N56" s="243"/>
    </row>
    <row r="57" spans="1:14" x14ac:dyDescent="0.2">
      <c r="A57" s="107">
        <v>56</v>
      </c>
      <c r="B57" s="107" t="s">
        <v>82</v>
      </c>
      <c r="C57" s="107" t="s">
        <v>110</v>
      </c>
      <c r="D57" s="107">
        <v>709</v>
      </c>
      <c r="E57" s="107">
        <v>189.13</v>
      </c>
      <c r="F57" s="250"/>
      <c r="G57" s="107" t="s">
        <v>83</v>
      </c>
      <c r="H57" s="107" t="s">
        <v>108</v>
      </c>
      <c r="I57" s="108">
        <v>6</v>
      </c>
      <c r="J57" s="109" t="s">
        <v>109</v>
      </c>
      <c r="K57" s="109">
        <v>837.89</v>
      </c>
      <c r="L57" s="109">
        <v>1163.9347764754327</v>
      </c>
      <c r="M57" s="243"/>
      <c r="N57" s="243"/>
    </row>
    <row r="58" spans="1:14" x14ac:dyDescent="0.2">
      <c r="A58" s="104">
        <v>57</v>
      </c>
      <c r="B58" s="104" t="s">
        <v>82</v>
      </c>
      <c r="C58" s="104" t="s">
        <v>110</v>
      </c>
      <c r="D58" s="104">
        <v>801</v>
      </c>
      <c r="E58" s="104">
        <v>134.94</v>
      </c>
      <c r="F58" s="245">
        <f>SUM(E58:E67)</f>
        <v>1955.0200000000002</v>
      </c>
      <c r="G58" s="104" t="s">
        <v>83</v>
      </c>
      <c r="H58" s="104" t="s">
        <v>108</v>
      </c>
      <c r="I58" s="105">
        <v>7</v>
      </c>
      <c r="J58" s="106" t="s">
        <v>111</v>
      </c>
      <c r="K58" s="106">
        <v>610.72</v>
      </c>
      <c r="L58" s="106">
        <v>848.36702513346165</v>
      </c>
      <c r="M58" s="242">
        <f>ROUND(12153.9494880656,0)</f>
        <v>12154</v>
      </c>
      <c r="N58" s="242">
        <f>ROUND(M58*10000/F58,0)</f>
        <v>62168</v>
      </c>
    </row>
    <row r="59" spans="1:14" x14ac:dyDescent="0.2">
      <c r="A59" s="104">
        <v>58</v>
      </c>
      <c r="B59" s="104" t="s">
        <v>82</v>
      </c>
      <c r="C59" s="104" t="s">
        <v>110</v>
      </c>
      <c r="D59" s="104">
        <v>802</v>
      </c>
      <c r="E59" s="104">
        <v>216.1</v>
      </c>
      <c r="F59" s="246"/>
      <c r="G59" s="104" t="s">
        <v>83</v>
      </c>
      <c r="H59" s="104" t="s">
        <v>108</v>
      </c>
      <c r="I59" s="105">
        <v>7</v>
      </c>
      <c r="J59" s="106" t="s">
        <v>111</v>
      </c>
      <c r="K59" s="256">
        <v>4464.4799999999996</v>
      </c>
      <c r="L59" s="256">
        <v>6201.7252036413356</v>
      </c>
      <c r="M59" s="242"/>
      <c r="N59" s="242"/>
    </row>
    <row r="60" spans="1:14" x14ac:dyDescent="0.2">
      <c r="A60" s="104">
        <v>59</v>
      </c>
      <c r="B60" s="104" t="s">
        <v>82</v>
      </c>
      <c r="C60" s="104" t="s">
        <v>110</v>
      </c>
      <c r="D60" s="104">
        <v>803</v>
      </c>
      <c r="E60" s="104">
        <v>133.08000000000001</v>
      </c>
      <c r="F60" s="246"/>
      <c r="G60" s="104" t="s">
        <v>83</v>
      </c>
      <c r="H60" s="104" t="s">
        <v>108</v>
      </c>
      <c r="I60" s="105">
        <v>7</v>
      </c>
      <c r="J60" s="106" t="s">
        <v>111</v>
      </c>
      <c r="K60" s="256"/>
      <c r="L60" s="256"/>
      <c r="M60" s="242"/>
      <c r="N60" s="242"/>
    </row>
    <row r="61" spans="1:14" x14ac:dyDescent="0.2">
      <c r="A61" s="104">
        <v>60</v>
      </c>
      <c r="B61" s="104" t="s">
        <v>82</v>
      </c>
      <c r="C61" s="104" t="s">
        <v>110</v>
      </c>
      <c r="D61" s="104">
        <v>805</v>
      </c>
      <c r="E61" s="104">
        <v>196.75</v>
      </c>
      <c r="F61" s="246"/>
      <c r="G61" s="104" t="s">
        <v>83</v>
      </c>
      <c r="H61" s="104" t="s">
        <v>108</v>
      </c>
      <c r="I61" s="105">
        <v>7</v>
      </c>
      <c r="J61" s="106" t="s">
        <v>111</v>
      </c>
      <c r="K61" s="256"/>
      <c r="L61" s="256"/>
      <c r="M61" s="242"/>
      <c r="N61" s="242"/>
    </row>
    <row r="62" spans="1:14" x14ac:dyDescent="0.2">
      <c r="A62" s="104">
        <v>61</v>
      </c>
      <c r="B62" s="104" t="s">
        <v>82</v>
      </c>
      <c r="C62" s="104" t="s">
        <v>110</v>
      </c>
      <c r="D62" s="104">
        <v>806</v>
      </c>
      <c r="E62" s="104">
        <v>145.26</v>
      </c>
      <c r="F62" s="246"/>
      <c r="G62" s="104" t="s">
        <v>83</v>
      </c>
      <c r="H62" s="104" t="s">
        <v>108</v>
      </c>
      <c r="I62" s="105">
        <v>7</v>
      </c>
      <c r="J62" s="106" t="s">
        <v>111</v>
      </c>
      <c r="K62" s="256"/>
      <c r="L62" s="256"/>
      <c r="M62" s="242"/>
      <c r="N62" s="242"/>
    </row>
    <row r="63" spans="1:14" x14ac:dyDescent="0.2">
      <c r="A63" s="104">
        <v>62</v>
      </c>
      <c r="B63" s="104" t="s">
        <v>82</v>
      </c>
      <c r="C63" s="104" t="s">
        <v>110</v>
      </c>
      <c r="D63" s="104">
        <v>807</v>
      </c>
      <c r="E63" s="104">
        <v>317.08</v>
      </c>
      <c r="F63" s="246"/>
      <c r="G63" s="104" t="s">
        <v>83</v>
      </c>
      <c r="H63" s="104" t="s">
        <v>108</v>
      </c>
      <c r="I63" s="105">
        <v>7</v>
      </c>
      <c r="J63" s="106" t="s">
        <v>111</v>
      </c>
      <c r="K63" s="256"/>
      <c r="L63" s="256"/>
      <c r="M63" s="242"/>
      <c r="N63" s="242"/>
    </row>
    <row r="64" spans="1:14" x14ac:dyDescent="0.2">
      <c r="A64" s="104">
        <v>63</v>
      </c>
      <c r="B64" s="104" t="s">
        <v>82</v>
      </c>
      <c r="C64" s="104" t="s">
        <v>110</v>
      </c>
      <c r="D64" s="104">
        <v>808</v>
      </c>
      <c r="E64" s="104">
        <v>208.27</v>
      </c>
      <c r="F64" s="246"/>
      <c r="G64" s="104" t="s">
        <v>83</v>
      </c>
      <c r="H64" s="104" t="s">
        <v>108</v>
      </c>
      <c r="I64" s="105">
        <v>7</v>
      </c>
      <c r="J64" s="106" t="s">
        <v>111</v>
      </c>
      <c r="K64" s="106">
        <v>942.6</v>
      </c>
      <c r="L64" s="106">
        <v>1309.3901589776017</v>
      </c>
      <c r="M64" s="242"/>
      <c r="N64" s="242"/>
    </row>
    <row r="65" spans="1:14" x14ac:dyDescent="0.2">
      <c r="A65" s="104">
        <v>64</v>
      </c>
      <c r="B65" s="104" t="s">
        <v>82</v>
      </c>
      <c r="C65" s="104" t="s">
        <v>110</v>
      </c>
      <c r="D65" s="104">
        <v>809</v>
      </c>
      <c r="E65" s="104">
        <v>189.13</v>
      </c>
      <c r="F65" s="246"/>
      <c r="G65" s="104" t="s">
        <v>83</v>
      </c>
      <c r="H65" s="104" t="s">
        <v>108</v>
      </c>
      <c r="I65" s="105">
        <v>7</v>
      </c>
      <c r="J65" s="106" t="s">
        <v>111</v>
      </c>
      <c r="K65" s="106">
        <v>855.98</v>
      </c>
      <c r="L65" s="106">
        <v>1189.064065649955</v>
      </c>
      <c r="M65" s="242"/>
      <c r="N65" s="242"/>
    </row>
    <row r="66" spans="1:14" x14ac:dyDescent="0.2">
      <c r="A66" s="104">
        <v>65</v>
      </c>
      <c r="B66" s="104" t="s">
        <v>82</v>
      </c>
      <c r="C66" s="104" t="s">
        <v>110</v>
      </c>
      <c r="D66" s="104">
        <v>810</v>
      </c>
      <c r="E66" s="104">
        <v>203.74</v>
      </c>
      <c r="F66" s="246"/>
      <c r="G66" s="104" t="s">
        <v>83</v>
      </c>
      <c r="H66" s="104" t="s">
        <v>108</v>
      </c>
      <c r="I66" s="105">
        <v>7</v>
      </c>
      <c r="J66" s="106" t="s">
        <v>111</v>
      </c>
      <c r="K66" s="106">
        <v>922.1</v>
      </c>
      <c r="L66" s="106">
        <v>1280.9130761651247</v>
      </c>
      <c r="M66" s="242"/>
      <c r="N66" s="242"/>
    </row>
    <row r="67" spans="1:14" x14ac:dyDescent="0.2">
      <c r="A67" s="104">
        <v>66</v>
      </c>
      <c r="B67" s="104" t="s">
        <v>82</v>
      </c>
      <c r="C67" s="104" t="s">
        <v>110</v>
      </c>
      <c r="D67" s="104">
        <v>811</v>
      </c>
      <c r="E67" s="104">
        <v>210.67</v>
      </c>
      <c r="F67" s="247"/>
      <c r="G67" s="104" t="s">
        <v>83</v>
      </c>
      <c r="H67" s="104" t="s">
        <v>108</v>
      </c>
      <c r="I67" s="105">
        <v>7</v>
      </c>
      <c r="J67" s="106" t="s">
        <v>111</v>
      </c>
      <c r="K67" s="106">
        <v>953.47</v>
      </c>
      <c r="L67" s="106">
        <v>1324.489958498169</v>
      </c>
      <c r="M67" s="242"/>
      <c r="N67" s="242"/>
    </row>
    <row r="68" spans="1:14" x14ac:dyDescent="0.2">
      <c r="A68" s="107">
        <v>67</v>
      </c>
      <c r="B68" s="107" t="s">
        <v>82</v>
      </c>
      <c r="C68" s="107" t="s">
        <v>110</v>
      </c>
      <c r="D68" s="107">
        <v>901</v>
      </c>
      <c r="E68" s="107">
        <v>134.94</v>
      </c>
      <c r="F68" s="248">
        <f>SUM(E68:E78)</f>
        <v>1724.44</v>
      </c>
      <c r="G68" s="107" t="s">
        <v>83</v>
      </c>
      <c r="H68" s="107" t="s">
        <v>108</v>
      </c>
      <c r="I68" s="108">
        <v>8</v>
      </c>
      <c r="J68" s="109" t="s">
        <v>111</v>
      </c>
      <c r="K68" s="109">
        <v>610.72</v>
      </c>
      <c r="L68" s="109">
        <v>848.36702513346165</v>
      </c>
      <c r="M68" s="243">
        <f>ROUND(10767.3517065164,0)</f>
        <v>10767</v>
      </c>
      <c r="N68" s="243">
        <f>ROUND(M68*10000/F68,0)</f>
        <v>62438</v>
      </c>
    </row>
    <row r="69" spans="1:14" x14ac:dyDescent="0.2">
      <c r="A69" s="107">
        <v>68</v>
      </c>
      <c r="B69" s="107" t="s">
        <v>82</v>
      </c>
      <c r="C69" s="107" t="s">
        <v>110</v>
      </c>
      <c r="D69" s="107">
        <v>902</v>
      </c>
      <c r="E69" s="107">
        <v>216.1</v>
      </c>
      <c r="F69" s="249"/>
      <c r="G69" s="107" t="s">
        <v>83</v>
      </c>
      <c r="H69" s="107" t="s">
        <v>108</v>
      </c>
      <c r="I69" s="108">
        <v>8</v>
      </c>
      <c r="J69" s="109" t="s">
        <v>111</v>
      </c>
      <c r="K69" s="109">
        <v>978.04</v>
      </c>
      <c r="L69" s="109">
        <v>1358.6207840934155</v>
      </c>
      <c r="M69" s="243"/>
      <c r="N69" s="243"/>
    </row>
    <row r="70" spans="1:14" x14ac:dyDescent="0.2">
      <c r="A70" s="107">
        <v>69</v>
      </c>
      <c r="B70" s="107" t="s">
        <v>82</v>
      </c>
      <c r="C70" s="107" t="s">
        <v>110</v>
      </c>
      <c r="D70" s="107">
        <v>903</v>
      </c>
      <c r="E70" s="107">
        <v>129.54</v>
      </c>
      <c r="F70" s="249"/>
      <c r="G70" s="107" t="s">
        <v>83</v>
      </c>
      <c r="H70" s="107" t="s">
        <v>108</v>
      </c>
      <c r="I70" s="108">
        <v>8</v>
      </c>
      <c r="J70" s="109" t="s">
        <v>111</v>
      </c>
      <c r="K70" s="109">
        <v>586.28</v>
      </c>
      <c r="L70" s="109">
        <v>814.41678591702555</v>
      </c>
      <c r="M70" s="243"/>
      <c r="N70" s="243"/>
    </row>
    <row r="71" spans="1:14" x14ac:dyDescent="0.2">
      <c r="A71" s="107">
        <v>70</v>
      </c>
      <c r="B71" s="107" t="s">
        <v>82</v>
      </c>
      <c r="C71" s="107" t="s">
        <v>110</v>
      </c>
      <c r="D71" s="107">
        <v>905</v>
      </c>
      <c r="E71" s="107">
        <v>196.75</v>
      </c>
      <c r="F71" s="249"/>
      <c r="G71" s="107" t="s">
        <v>83</v>
      </c>
      <c r="H71" s="107" t="s">
        <v>108</v>
      </c>
      <c r="I71" s="108">
        <v>8</v>
      </c>
      <c r="J71" s="109" t="s">
        <v>111</v>
      </c>
      <c r="K71" s="109">
        <v>890.46</v>
      </c>
      <c r="L71" s="109">
        <v>1236.9611298145505</v>
      </c>
      <c r="M71" s="243"/>
      <c r="N71" s="243"/>
    </row>
    <row r="72" spans="1:14" x14ac:dyDescent="0.2">
      <c r="A72" s="107">
        <v>71</v>
      </c>
      <c r="B72" s="107" t="s">
        <v>82</v>
      </c>
      <c r="C72" s="107" t="s">
        <v>110</v>
      </c>
      <c r="D72" s="107">
        <v>906</v>
      </c>
      <c r="E72" s="107">
        <v>145.26</v>
      </c>
      <c r="F72" s="249"/>
      <c r="G72" s="107" t="s">
        <v>83</v>
      </c>
      <c r="H72" s="107" t="s">
        <v>108</v>
      </c>
      <c r="I72" s="108">
        <v>8</v>
      </c>
      <c r="J72" s="109" t="s">
        <v>111</v>
      </c>
      <c r="K72" s="257">
        <v>1278.28</v>
      </c>
      <c r="L72" s="257">
        <v>1775.6919715869815</v>
      </c>
      <c r="M72" s="243"/>
      <c r="N72" s="243"/>
    </row>
    <row r="73" spans="1:14" x14ac:dyDescent="0.2">
      <c r="A73" s="107">
        <v>72</v>
      </c>
      <c r="B73" s="107" t="s">
        <v>82</v>
      </c>
      <c r="C73" s="107" t="s">
        <v>110</v>
      </c>
      <c r="D73" s="107">
        <v>907</v>
      </c>
      <c r="E73" s="107">
        <v>139.97999999999999</v>
      </c>
      <c r="F73" s="249"/>
      <c r="G73" s="107" t="s">
        <v>83</v>
      </c>
      <c r="H73" s="107" t="s">
        <v>108</v>
      </c>
      <c r="I73" s="108">
        <v>8</v>
      </c>
      <c r="J73" s="109" t="s">
        <v>111</v>
      </c>
      <c r="K73" s="257"/>
      <c r="L73" s="257"/>
      <c r="M73" s="243"/>
      <c r="N73" s="243"/>
    </row>
    <row r="74" spans="1:14" x14ac:dyDescent="0.2">
      <c r="A74" s="107">
        <v>73</v>
      </c>
      <c r="B74" s="107" t="s">
        <v>82</v>
      </c>
      <c r="C74" s="107" t="s">
        <v>110</v>
      </c>
      <c r="D74" s="107">
        <v>908</v>
      </c>
      <c r="E74" s="107">
        <v>135.16999999999999</v>
      </c>
      <c r="F74" s="249"/>
      <c r="G74" s="107" t="s">
        <v>83</v>
      </c>
      <c r="H74" s="107" t="s">
        <v>108</v>
      </c>
      <c r="I74" s="108">
        <v>8</v>
      </c>
      <c r="J74" s="109" t="s">
        <v>111</v>
      </c>
      <c r="K74" s="257">
        <v>1820.31</v>
      </c>
      <c r="L74" s="257">
        <v>2528.6399324087824</v>
      </c>
      <c r="M74" s="243"/>
      <c r="N74" s="243"/>
    </row>
    <row r="75" spans="1:14" x14ac:dyDescent="0.2">
      <c r="A75" s="107">
        <v>74</v>
      </c>
      <c r="B75" s="107" t="s">
        <v>82</v>
      </c>
      <c r="C75" s="107" t="s">
        <v>110</v>
      </c>
      <c r="D75" s="107">
        <v>909</v>
      </c>
      <c r="E75" s="107">
        <v>135.16999999999999</v>
      </c>
      <c r="F75" s="249"/>
      <c r="G75" s="107" t="s">
        <v>83</v>
      </c>
      <c r="H75" s="107" t="s">
        <v>108</v>
      </c>
      <c r="I75" s="108">
        <v>8</v>
      </c>
      <c r="J75" s="109" t="s">
        <v>111</v>
      </c>
      <c r="K75" s="257"/>
      <c r="L75" s="257"/>
      <c r="M75" s="243"/>
      <c r="N75" s="243"/>
    </row>
    <row r="76" spans="1:14" x14ac:dyDescent="0.2">
      <c r="A76" s="107">
        <v>75</v>
      </c>
      <c r="B76" s="107" t="s">
        <v>82</v>
      </c>
      <c r="C76" s="107" t="s">
        <v>110</v>
      </c>
      <c r="D76" s="107">
        <v>910</v>
      </c>
      <c r="E76" s="107">
        <v>139.97999999999999</v>
      </c>
      <c r="F76" s="249"/>
      <c r="G76" s="107" t="s">
        <v>83</v>
      </c>
      <c r="H76" s="107" t="s">
        <v>108</v>
      </c>
      <c r="I76" s="108">
        <v>8</v>
      </c>
      <c r="J76" s="109" t="s">
        <v>111</v>
      </c>
      <c r="K76" s="257"/>
      <c r="L76" s="257"/>
      <c r="M76" s="243"/>
      <c r="N76" s="243"/>
    </row>
    <row r="77" spans="1:14" x14ac:dyDescent="0.2">
      <c r="A77" s="107">
        <v>76</v>
      </c>
      <c r="B77" s="107" t="s">
        <v>82</v>
      </c>
      <c r="C77" s="107" t="s">
        <v>110</v>
      </c>
      <c r="D77" s="107">
        <v>911</v>
      </c>
      <c r="E77" s="107">
        <v>140.79</v>
      </c>
      <c r="F77" s="249"/>
      <c r="G77" s="107" t="s">
        <v>83</v>
      </c>
      <c r="H77" s="107" t="s">
        <v>108</v>
      </c>
      <c r="I77" s="108">
        <v>8</v>
      </c>
      <c r="J77" s="109" t="s">
        <v>111</v>
      </c>
      <c r="K77" s="109">
        <v>633.21</v>
      </c>
      <c r="L77" s="109">
        <v>879.60846866773522</v>
      </c>
      <c r="M77" s="243"/>
      <c r="N77" s="243"/>
    </row>
    <row r="78" spans="1:14" x14ac:dyDescent="0.2">
      <c r="A78" s="107">
        <v>77</v>
      </c>
      <c r="B78" s="107" t="s">
        <v>82</v>
      </c>
      <c r="C78" s="107" t="s">
        <v>110</v>
      </c>
      <c r="D78" s="107">
        <v>912</v>
      </c>
      <c r="E78" s="107">
        <v>210.76</v>
      </c>
      <c r="F78" s="250"/>
      <c r="G78" s="107" t="s">
        <v>83</v>
      </c>
      <c r="H78" s="107" t="s">
        <v>108</v>
      </c>
      <c r="I78" s="108">
        <v>8</v>
      </c>
      <c r="J78" s="109" t="s">
        <v>111</v>
      </c>
      <c r="K78" s="109">
        <v>953.87</v>
      </c>
      <c r="L78" s="109">
        <v>1325.04560889451</v>
      </c>
      <c r="M78" s="243"/>
      <c r="N78" s="243"/>
    </row>
    <row r="79" spans="1:14" x14ac:dyDescent="0.2">
      <c r="A79" s="104">
        <v>78</v>
      </c>
      <c r="B79" s="104" t="s">
        <v>82</v>
      </c>
      <c r="C79" s="104" t="s">
        <v>110</v>
      </c>
      <c r="D79" s="104">
        <v>1012</v>
      </c>
      <c r="E79" s="104">
        <v>210.76</v>
      </c>
      <c r="F79" s="245">
        <f>SUM(E79:E88)</f>
        <v>1639.28</v>
      </c>
      <c r="G79" s="104" t="s">
        <v>83</v>
      </c>
      <c r="H79" s="104" t="s">
        <v>108</v>
      </c>
      <c r="I79" s="105">
        <v>9</v>
      </c>
      <c r="J79" s="106" t="s">
        <v>111</v>
      </c>
      <c r="K79" s="256">
        <v>2506.48</v>
      </c>
      <c r="L79" s="256">
        <v>3481.816513552068</v>
      </c>
      <c r="M79" s="242">
        <v>10223.745032516137</v>
      </c>
      <c r="N79" s="242">
        <f>ROUND(M79*10000/F79,0)</f>
        <v>62367</v>
      </c>
    </row>
    <row r="80" spans="1:14" x14ac:dyDescent="0.2">
      <c r="A80" s="104">
        <v>79</v>
      </c>
      <c r="B80" s="104" t="s">
        <v>82</v>
      </c>
      <c r="C80" s="104" t="s">
        <v>110</v>
      </c>
      <c r="D80" s="104">
        <v>1001</v>
      </c>
      <c r="E80" s="104">
        <v>134.94</v>
      </c>
      <c r="F80" s="246"/>
      <c r="G80" s="104" t="s">
        <v>83</v>
      </c>
      <c r="H80" s="104" t="s">
        <v>108</v>
      </c>
      <c r="I80" s="105">
        <v>9</v>
      </c>
      <c r="J80" s="106" t="s">
        <v>111</v>
      </c>
      <c r="K80" s="256"/>
      <c r="L80" s="256"/>
      <c r="M80" s="242"/>
      <c r="N80" s="242"/>
    </row>
    <row r="81" spans="1:15" x14ac:dyDescent="0.2">
      <c r="A81" s="104">
        <v>80</v>
      </c>
      <c r="B81" s="104" t="s">
        <v>82</v>
      </c>
      <c r="C81" s="104" t="s">
        <v>110</v>
      </c>
      <c r="D81" s="104">
        <v>1002</v>
      </c>
      <c r="E81" s="104">
        <v>216.1</v>
      </c>
      <c r="F81" s="246"/>
      <c r="G81" s="104" t="s">
        <v>83</v>
      </c>
      <c r="H81" s="104" t="s">
        <v>108</v>
      </c>
      <c r="I81" s="105">
        <v>9</v>
      </c>
      <c r="J81" s="106" t="s">
        <v>111</v>
      </c>
      <c r="K81" s="256"/>
      <c r="L81" s="256"/>
      <c r="M81" s="242"/>
      <c r="N81" s="242"/>
    </row>
    <row r="82" spans="1:15" x14ac:dyDescent="0.2">
      <c r="A82" s="104">
        <v>81</v>
      </c>
      <c r="B82" s="104" t="s">
        <v>82</v>
      </c>
      <c r="C82" s="104" t="s">
        <v>110</v>
      </c>
      <c r="D82" s="104">
        <v>1005</v>
      </c>
      <c r="E82" s="104">
        <v>241.13</v>
      </c>
      <c r="F82" s="246"/>
      <c r="G82" s="104" t="s">
        <v>83</v>
      </c>
      <c r="H82" s="104" t="s">
        <v>108</v>
      </c>
      <c r="I82" s="105">
        <v>9</v>
      </c>
      <c r="J82" s="106" t="s">
        <v>111</v>
      </c>
      <c r="K82" s="256">
        <v>2364</v>
      </c>
      <c r="L82" s="256">
        <v>3283.8938423753984</v>
      </c>
      <c r="M82" s="242"/>
      <c r="N82" s="242"/>
    </row>
    <row r="83" spans="1:15" x14ac:dyDescent="0.2">
      <c r="A83" s="104">
        <v>82</v>
      </c>
      <c r="B83" s="104" t="s">
        <v>82</v>
      </c>
      <c r="C83" s="104" t="s">
        <v>110</v>
      </c>
      <c r="D83" s="104">
        <v>1006</v>
      </c>
      <c r="E83" s="104">
        <v>145.26</v>
      </c>
      <c r="F83" s="246"/>
      <c r="G83" s="104" t="s">
        <v>83</v>
      </c>
      <c r="H83" s="104" t="s">
        <v>108</v>
      </c>
      <c r="I83" s="105">
        <v>9</v>
      </c>
      <c r="J83" s="106" t="s">
        <v>111</v>
      </c>
      <c r="K83" s="256"/>
      <c r="L83" s="256"/>
      <c r="M83" s="242"/>
      <c r="N83" s="242"/>
    </row>
    <row r="84" spans="1:15" x14ac:dyDescent="0.2">
      <c r="A84" s="104">
        <v>83</v>
      </c>
      <c r="B84" s="104" t="s">
        <v>82</v>
      </c>
      <c r="C84" s="104" t="s">
        <v>110</v>
      </c>
      <c r="D84" s="104">
        <v>1007</v>
      </c>
      <c r="E84" s="104">
        <v>139.97999999999999</v>
      </c>
      <c r="F84" s="246"/>
      <c r="G84" s="104" t="s">
        <v>83</v>
      </c>
      <c r="H84" s="104" t="s">
        <v>108</v>
      </c>
      <c r="I84" s="105">
        <v>9</v>
      </c>
      <c r="J84" s="106" t="s">
        <v>111</v>
      </c>
      <c r="K84" s="256"/>
      <c r="L84" s="256"/>
      <c r="M84" s="242"/>
      <c r="N84" s="242"/>
    </row>
    <row r="85" spans="1:15" x14ac:dyDescent="0.2">
      <c r="A85" s="104">
        <v>84</v>
      </c>
      <c r="B85" s="104" t="s">
        <v>82</v>
      </c>
      <c r="C85" s="104" t="s">
        <v>110</v>
      </c>
      <c r="D85" s="104">
        <v>1008</v>
      </c>
      <c r="E85" s="104">
        <v>135.16999999999999</v>
      </c>
      <c r="F85" s="246"/>
      <c r="G85" s="104" t="s">
        <v>83</v>
      </c>
      <c r="H85" s="104" t="s">
        <v>108</v>
      </c>
      <c r="I85" s="105">
        <v>9</v>
      </c>
      <c r="J85" s="106" t="s">
        <v>111</v>
      </c>
      <c r="K85" s="106">
        <v>611.76</v>
      </c>
      <c r="L85" s="106">
        <v>849.81171616394818</v>
      </c>
      <c r="M85" s="242"/>
      <c r="N85" s="242"/>
    </row>
    <row r="86" spans="1:15" x14ac:dyDescent="0.2">
      <c r="A86" s="104">
        <v>85</v>
      </c>
      <c r="B86" s="104" t="s">
        <v>82</v>
      </c>
      <c r="C86" s="104" t="s">
        <v>110</v>
      </c>
      <c r="D86" s="104">
        <v>1009</v>
      </c>
      <c r="E86" s="104">
        <v>135.16999999999999</v>
      </c>
      <c r="F86" s="246"/>
      <c r="G86" s="104" t="s">
        <v>83</v>
      </c>
      <c r="H86" s="104" t="s">
        <v>108</v>
      </c>
      <c r="I86" s="105">
        <v>9</v>
      </c>
      <c r="J86" s="106" t="s">
        <v>111</v>
      </c>
      <c r="K86" s="106">
        <v>611.76</v>
      </c>
      <c r="L86" s="106">
        <v>849.81171616394818</v>
      </c>
      <c r="M86" s="242"/>
      <c r="N86" s="242"/>
    </row>
    <row r="87" spans="1:15" x14ac:dyDescent="0.2">
      <c r="A87" s="104">
        <v>86</v>
      </c>
      <c r="B87" s="104" t="s">
        <v>82</v>
      </c>
      <c r="C87" s="104" t="s">
        <v>110</v>
      </c>
      <c r="D87" s="104">
        <v>1010</v>
      </c>
      <c r="E87" s="104">
        <v>139.97999999999999</v>
      </c>
      <c r="F87" s="246"/>
      <c r="G87" s="104" t="s">
        <v>83</v>
      </c>
      <c r="H87" s="104" t="s">
        <v>108</v>
      </c>
      <c r="I87" s="105">
        <v>9</v>
      </c>
      <c r="J87" s="106" t="s">
        <v>111</v>
      </c>
      <c r="K87" s="106">
        <v>633.53</v>
      </c>
      <c r="L87" s="106">
        <v>880.05298898480794</v>
      </c>
      <c r="M87" s="242"/>
      <c r="N87" s="242"/>
    </row>
    <row r="88" spans="1:15" x14ac:dyDescent="0.2">
      <c r="A88" s="104">
        <v>87</v>
      </c>
      <c r="B88" s="104" t="s">
        <v>82</v>
      </c>
      <c r="C88" s="104" t="s">
        <v>110</v>
      </c>
      <c r="D88" s="104">
        <v>1011</v>
      </c>
      <c r="E88" s="104">
        <v>140.79</v>
      </c>
      <c r="F88" s="247"/>
      <c r="G88" s="104" t="s">
        <v>83</v>
      </c>
      <c r="H88" s="104" t="s">
        <v>108</v>
      </c>
      <c r="I88" s="105">
        <v>9</v>
      </c>
      <c r="J88" s="106" t="s">
        <v>111</v>
      </c>
      <c r="K88" s="106">
        <v>632.30999999999995</v>
      </c>
      <c r="L88" s="106">
        <v>878.35825527596785</v>
      </c>
      <c r="M88" s="242"/>
      <c r="N88" s="242"/>
    </row>
    <row r="89" spans="1:15" x14ac:dyDescent="0.2">
      <c r="A89" s="107">
        <v>88</v>
      </c>
      <c r="B89" s="107" t="s">
        <v>82</v>
      </c>
      <c r="C89" s="107" t="s">
        <v>110</v>
      </c>
      <c r="D89" s="107">
        <v>1101</v>
      </c>
      <c r="E89" s="107">
        <v>134.94</v>
      </c>
      <c r="F89" s="248">
        <f>SUM(E89:E99)</f>
        <v>1714.3500000000001</v>
      </c>
      <c r="G89" s="107" t="s">
        <v>83</v>
      </c>
      <c r="H89" s="107" t="s">
        <v>108</v>
      </c>
      <c r="I89" s="108">
        <v>10</v>
      </c>
      <c r="J89" s="109" t="s">
        <v>111</v>
      </c>
      <c r="K89" s="256">
        <v>11879.68</v>
      </c>
      <c r="L89" s="256">
        <v>16502.372251011071</v>
      </c>
      <c r="M89" s="243">
        <v>8429.6276261042021</v>
      </c>
      <c r="N89" s="252">
        <f>ROUND(M89*10000/F89,0)</f>
        <v>49171</v>
      </c>
      <c r="O89" s="114" t="s">
        <v>117</v>
      </c>
    </row>
    <row r="90" spans="1:15" x14ac:dyDescent="0.2">
      <c r="A90" s="107">
        <v>89</v>
      </c>
      <c r="B90" s="107" t="s">
        <v>82</v>
      </c>
      <c r="C90" s="107" t="s">
        <v>110</v>
      </c>
      <c r="D90" s="107">
        <v>1102</v>
      </c>
      <c r="E90" s="107">
        <v>215.59</v>
      </c>
      <c r="F90" s="249"/>
      <c r="G90" s="107" t="s">
        <v>83</v>
      </c>
      <c r="H90" s="107" t="s">
        <v>108</v>
      </c>
      <c r="I90" s="108">
        <v>10</v>
      </c>
      <c r="J90" s="109" t="s">
        <v>111</v>
      </c>
      <c r="K90" s="256"/>
      <c r="L90" s="256"/>
      <c r="M90" s="243"/>
      <c r="N90" s="252"/>
    </row>
    <row r="91" spans="1:15" x14ac:dyDescent="0.2">
      <c r="A91" s="107">
        <v>90</v>
      </c>
      <c r="B91" s="107" t="s">
        <v>82</v>
      </c>
      <c r="C91" s="107" t="s">
        <v>110</v>
      </c>
      <c r="D91" s="107">
        <v>1103</v>
      </c>
      <c r="E91" s="107">
        <v>124.16</v>
      </c>
      <c r="F91" s="249"/>
      <c r="G91" s="107" t="s">
        <v>83</v>
      </c>
      <c r="H91" s="107" t="s">
        <v>108</v>
      </c>
      <c r="I91" s="108">
        <v>10</v>
      </c>
      <c r="J91" s="109" t="s">
        <v>111</v>
      </c>
      <c r="K91" s="256"/>
      <c r="L91" s="256"/>
      <c r="M91" s="243"/>
      <c r="N91" s="252"/>
    </row>
    <row r="92" spans="1:15" x14ac:dyDescent="0.2">
      <c r="A92" s="107">
        <v>91</v>
      </c>
      <c r="B92" s="107" t="s">
        <v>82</v>
      </c>
      <c r="C92" s="107" t="s">
        <v>110</v>
      </c>
      <c r="D92" s="107">
        <v>1105</v>
      </c>
      <c r="E92" s="107">
        <v>194.83</v>
      </c>
      <c r="F92" s="249"/>
      <c r="G92" s="107" t="s">
        <v>83</v>
      </c>
      <c r="H92" s="107" t="s">
        <v>108</v>
      </c>
      <c r="I92" s="108">
        <v>10</v>
      </c>
      <c r="J92" s="109" t="s">
        <v>111</v>
      </c>
      <c r="K92" s="256"/>
      <c r="L92" s="256"/>
      <c r="M92" s="243"/>
      <c r="N92" s="252"/>
    </row>
    <row r="93" spans="1:15" x14ac:dyDescent="0.2">
      <c r="A93" s="107">
        <v>92</v>
      </c>
      <c r="B93" s="107" t="s">
        <v>82</v>
      </c>
      <c r="C93" s="107" t="s">
        <v>110</v>
      </c>
      <c r="D93" s="107">
        <v>1106</v>
      </c>
      <c r="E93" s="107">
        <v>145.26</v>
      </c>
      <c r="F93" s="249"/>
      <c r="G93" s="107" t="s">
        <v>83</v>
      </c>
      <c r="H93" s="107" t="s">
        <v>108</v>
      </c>
      <c r="I93" s="108">
        <v>10</v>
      </c>
      <c r="J93" s="109" t="s">
        <v>111</v>
      </c>
      <c r="K93" s="256"/>
      <c r="L93" s="256"/>
      <c r="M93" s="243"/>
      <c r="N93" s="252"/>
    </row>
    <row r="94" spans="1:15" x14ac:dyDescent="0.2">
      <c r="A94" s="107">
        <v>93</v>
      </c>
      <c r="B94" s="107" t="s">
        <v>82</v>
      </c>
      <c r="C94" s="107" t="s">
        <v>110</v>
      </c>
      <c r="D94" s="107">
        <v>1107</v>
      </c>
      <c r="E94" s="107">
        <v>139.97999999999999</v>
      </c>
      <c r="F94" s="249"/>
      <c r="G94" s="107" t="s">
        <v>83</v>
      </c>
      <c r="H94" s="107" t="s">
        <v>108</v>
      </c>
      <c r="I94" s="108">
        <v>10</v>
      </c>
      <c r="J94" s="109" t="s">
        <v>111</v>
      </c>
      <c r="K94" s="256"/>
      <c r="L94" s="256"/>
      <c r="M94" s="243"/>
      <c r="N94" s="252"/>
    </row>
    <row r="95" spans="1:15" x14ac:dyDescent="0.2">
      <c r="A95" s="107">
        <v>94</v>
      </c>
      <c r="B95" s="107" t="s">
        <v>82</v>
      </c>
      <c r="C95" s="107" t="s">
        <v>110</v>
      </c>
      <c r="D95" s="107">
        <v>1108</v>
      </c>
      <c r="E95" s="107">
        <v>135.16999999999999</v>
      </c>
      <c r="F95" s="249"/>
      <c r="G95" s="107" t="s">
        <v>83</v>
      </c>
      <c r="H95" s="107" t="s">
        <v>108</v>
      </c>
      <c r="I95" s="108">
        <v>10</v>
      </c>
      <c r="J95" s="109" t="s">
        <v>111</v>
      </c>
      <c r="K95" s="256"/>
      <c r="L95" s="256"/>
      <c r="M95" s="243"/>
      <c r="N95" s="252"/>
    </row>
    <row r="96" spans="1:15" x14ac:dyDescent="0.2">
      <c r="A96" s="107">
        <v>95</v>
      </c>
      <c r="B96" s="107" t="s">
        <v>82</v>
      </c>
      <c r="C96" s="107" t="s">
        <v>110</v>
      </c>
      <c r="D96" s="107">
        <v>1109</v>
      </c>
      <c r="E96" s="107">
        <v>135.16999999999999</v>
      </c>
      <c r="F96" s="249"/>
      <c r="G96" s="107" t="s">
        <v>83</v>
      </c>
      <c r="H96" s="107" t="s">
        <v>108</v>
      </c>
      <c r="I96" s="108">
        <v>10</v>
      </c>
      <c r="J96" s="109" t="s">
        <v>111</v>
      </c>
      <c r="K96" s="256"/>
      <c r="L96" s="256"/>
      <c r="M96" s="243"/>
      <c r="N96" s="252"/>
    </row>
    <row r="97" spans="1:15" x14ac:dyDescent="0.2">
      <c r="A97" s="107">
        <v>96</v>
      </c>
      <c r="B97" s="107" t="s">
        <v>82</v>
      </c>
      <c r="C97" s="107" t="s">
        <v>110</v>
      </c>
      <c r="D97" s="107">
        <v>1110</v>
      </c>
      <c r="E97" s="107">
        <v>139.97999999999999</v>
      </c>
      <c r="F97" s="249"/>
      <c r="G97" s="107" t="s">
        <v>83</v>
      </c>
      <c r="H97" s="107" t="s">
        <v>108</v>
      </c>
      <c r="I97" s="108">
        <v>10</v>
      </c>
      <c r="J97" s="109" t="s">
        <v>111</v>
      </c>
      <c r="K97" s="256"/>
      <c r="L97" s="256"/>
      <c r="M97" s="243"/>
      <c r="N97" s="252"/>
    </row>
    <row r="98" spans="1:15" x14ac:dyDescent="0.2">
      <c r="A98" s="107">
        <v>97</v>
      </c>
      <c r="B98" s="107" t="s">
        <v>82</v>
      </c>
      <c r="C98" s="107" t="s">
        <v>110</v>
      </c>
      <c r="D98" s="107">
        <v>1111</v>
      </c>
      <c r="E98" s="107">
        <v>140.79</v>
      </c>
      <c r="F98" s="249"/>
      <c r="G98" s="107" t="s">
        <v>83</v>
      </c>
      <c r="H98" s="107" t="s">
        <v>108</v>
      </c>
      <c r="I98" s="108">
        <v>10</v>
      </c>
      <c r="J98" s="109" t="s">
        <v>111</v>
      </c>
      <c r="K98" s="256"/>
      <c r="L98" s="256"/>
      <c r="M98" s="243"/>
      <c r="N98" s="252"/>
    </row>
    <row r="99" spans="1:15" x14ac:dyDescent="0.2">
      <c r="A99" s="107">
        <v>98</v>
      </c>
      <c r="B99" s="107" t="s">
        <v>82</v>
      </c>
      <c r="C99" s="107" t="s">
        <v>110</v>
      </c>
      <c r="D99" s="107">
        <v>1112</v>
      </c>
      <c r="E99" s="107">
        <v>208.48</v>
      </c>
      <c r="F99" s="250"/>
      <c r="G99" s="107" t="s">
        <v>83</v>
      </c>
      <c r="H99" s="107" t="s">
        <v>108</v>
      </c>
      <c r="I99" s="108">
        <v>10</v>
      </c>
      <c r="J99" s="109" t="s">
        <v>111</v>
      </c>
      <c r="K99" s="256"/>
      <c r="L99" s="256"/>
      <c r="M99" s="243"/>
      <c r="N99" s="252"/>
    </row>
    <row r="100" spans="1:15" x14ac:dyDescent="0.2">
      <c r="A100" s="104">
        <v>99</v>
      </c>
      <c r="B100" s="104" t="s">
        <v>82</v>
      </c>
      <c r="C100" s="104" t="s">
        <v>110</v>
      </c>
      <c r="D100" s="104">
        <v>2101</v>
      </c>
      <c r="E100" s="104">
        <v>134.94</v>
      </c>
      <c r="F100" s="245">
        <f>SUM(E100:E109)</f>
        <v>1641.77</v>
      </c>
      <c r="G100" s="104" t="s">
        <v>83</v>
      </c>
      <c r="H100" s="104" t="s">
        <v>108</v>
      </c>
      <c r="I100" s="105">
        <v>18</v>
      </c>
      <c r="J100" s="106" t="s">
        <v>112</v>
      </c>
      <c r="K100" s="256"/>
      <c r="L100" s="256"/>
      <c r="M100" s="242">
        <v>8072.7446249068698</v>
      </c>
      <c r="N100" s="244">
        <f>ROUND(M100*10000/F100,0)</f>
        <v>49171</v>
      </c>
      <c r="O100" s="114" t="s">
        <v>117</v>
      </c>
    </row>
    <row r="101" spans="1:15" x14ac:dyDescent="0.2">
      <c r="A101" s="104">
        <v>100</v>
      </c>
      <c r="B101" s="104" t="s">
        <v>82</v>
      </c>
      <c r="C101" s="104" t="s">
        <v>110</v>
      </c>
      <c r="D101" s="104">
        <v>2102</v>
      </c>
      <c r="E101" s="104">
        <v>215.21</v>
      </c>
      <c r="F101" s="246"/>
      <c r="G101" s="104" t="s">
        <v>83</v>
      </c>
      <c r="H101" s="104" t="s">
        <v>108</v>
      </c>
      <c r="I101" s="105">
        <v>18</v>
      </c>
      <c r="J101" s="106" t="s">
        <v>112</v>
      </c>
      <c r="K101" s="256"/>
      <c r="L101" s="256"/>
      <c r="M101" s="242"/>
      <c r="N101" s="244"/>
    </row>
    <row r="102" spans="1:15" x14ac:dyDescent="0.2">
      <c r="A102" s="104">
        <v>101</v>
      </c>
      <c r="B102" s="104" t="s">
        <v>82</v>
      </c>
      <c r="C102" s="104" t="s">
        <v>110</v>
      </c>
      <c r="D102" s="104">
        <v>2105</v>
      </c>
      <c r="E102" s="104">
        <v>245.12</v>
      </c>
      <c r="F102" s="246"/>
      <c r="G102" s="104" t="s">
        <v>83</v>
      </c>
      <c r="H102" s="104" t="s">
        <v>108</v>
      </c>
      <c r="I102" s="105">
        <v>18</v>
      </c>
      <c r="J102" s="106" t="s">
        <v>112</v>
      </c>
      <c r="K102" s="256"/>
      <c r="L102" s="256"/>
      <c r="M102" s="242"/>
      <c r="N102" s="244"/>
    </row>
    <row r="103" spans="1:15" x14ac:dyDescent="0.2">
      <c r="A103" s="104">
        <v>102</v>
      </c>
      <c r="B103" s="104" t="s">
        <v>82</v>
      </c>
      <c r="C103" s="104" t="s">
        <v>110</v>
      </c>
      <c r="D103" s="104">
        <v>2106</v>
      </c>
      <c r="E103" s="104">
        <v>145.26</v>
      </c>
      <c r="F103" s="246"/>
      <c r="G103" s="104" t="s">
        <v>83</v>
      </c>
      <c r="H103" s="104" t="s">
        <v>108</v>
      </c>
      <c r="I103" s="105">
        <v>18</v>
      </c>
      <c r="J103" s="106" t="s">
        <v>112</v>
      </c>
      <c r="K103" s="256"/>
      <c r="L103" s="256"/>
      <c r="M103" s="242"/>
      <c r="N103" s="244"/>
    </row>
    <row r="104" spans="1:15" x14ac:dyDescent="0.2">
      <c r="A104" s="104">
        <v>103</v>
      </c>
      <c r="B104" s="104" t="s">
        <v>82</v>
      </c>
      <c r="C104" s="104" t="s">
        <v>110</v>
      </c>
      <c r="D104" s="104">
        <v>2107</v>
      </c>
      <c r="E104" s="104">
        <v>139.97999999999999</v>
      </c>
      <c r="F104" s="246"/>
      <c r="G104" s="104" t="s">
        <v>83</v>
      </c>
      <c r="H104" s="104" t="s">
        <v>108</v>
      </c>
      <c r="I104" s="105">
        <v>18</v>
      </c>
      <c r="J104" s="106" t="s">
        <v>112</v>
      </c>
      <c r="K104" s="256"/>
      <c r="L104" s="256"/>
      <c r="M104" s="242"/>
      <c r="N104" s="244"/>
    </row>
    <row r="105" spans="1:15" x14ac:dyDescent="0.2">
      <c r="A105" s="104">
        <v>104</v>
      </c>
      <c r="B105" s="104" t="s">
        <v>82</v>
      </c>
      <c r="C105" s="104" t="s">
        <v>110</v>
      </c>
      <c r="D105" s="104">
        <v>2108</v>
      </c>
      <c r="E105" s="104">
        <v>135.16999999999999</v>
      </c>
      <c r="F105" s="246"/>
      <c r="G105" s="104" t="s">
        <v>83</v>
      </c>
      <c r="H105" s="104" t="s">
        <v>108</v>
      </c>
      <c r="I105" s="105">
        <v>18</v>
      </c>
      <c r="J105" s="106" t="s">
        <v>112</v>
      </c>
      <c r="K105" s="256"/>
      <c r="L105" s="256"/>
      <c r="M105" s="242"/>
      <c r="N105" s="244"/>
    </row>
    <row r="106" spans="1:15" x14ac:dyDescent="0.2">
      <c r="A106" s="104">
        <v>105</v>
      </c>
      <c r="B106" s="104" t="s">
        <v>82</v>
      </c>
      <c r="C106" s="104" t="s">
        <v>110</v>
      </c>
      <c r="D106" s="104">
        <v>2109</v>
      </c>
      <c r="E106" s="104">
        <v>135.16999999999999</v>
      </c>
      <c r="F106" s="246"/>
      <c r="G106" s="104" t="s">
        <v>83</v>
      </c>
      <c r="H106" s="104" t="s">
        <v>108</v>
      </c>
      <c r="I106" s="105">
        <v>18</v>
      </c>
      <c r="J106" s="106" t="s">
        <v>112</v>
      </c>
      <c r="K106" s="256"/>
      <c r="L106" s="256"/>
      <c r="M106" s="242"/>
      <c r="N106" s="244"/>
    </row>
    <row r="107" spans="1:15" x14ac:dyDescent="0.2">
      <c r="A107" s="104">
        <v>106</v>
      </c>
      <c r="B107" s="104" t="s">
        <v>82</v>
      </c>
      <c r="C107" s="104" t="s">
        <v>110</v>
      </c>
      <c r="D107" s="104">
        <v>2110</v>
      </c>
      <c r="E107" s="104">
        <v>139.97999999999999</v>
      </c>
      <c r="F107" s="246"/>
      <c r="G107" s="104" t="s">
        <v>83</v>
      </c>
      <c r="H107" s="104" t="s">
        <v>108</v>
      </c>
      <c r="I107" s="105">
        <v>18</v>
      </c>
      <c r="J107" s="106" t="s">
        <v>112</v>
      </c>
      <c r="K107" s="256"/>
      <c r="L107" s="256"/>
      <c r="M107" s="242"/>
      <c r="N107" s="244"/>
    </row>
    <row r="108" spans="1:15" x14ac:dyDescent="0.2">
      <c r="A108" s="104">
        <v>107</v>
      </c>
      <c r="B108" s="104" t="s">
        <v>82</v>
      </c>
      <c r="C108" s="104" t="s">
        <v>110</v>
      </c>
      <c r="D108" s="104">
        <v>2111</v>
      </c>
      <c r="E108" s="104">
        <v>140.18</v>
      </c>
      <c r="F108" s="246"/>
      <c r="G108" s="104" t="s">
        <v>83</v>
      </c>
      <c r="H108" s="104" t="s">
        <v>108</v>
      </c>
      <c r="I108" s="105">
        <v>18</v>
      </c>
      <c r="J108" s="106" t="s">
        <v>112</v>
      </c>
      <c r="K108" s="256"/>
      <c r="L108" s="256"/>
      <c r="M108" s="242"/>
      <c r="N108" s="244"/>
    </row>
    <row r="109" spans="1:15" x14ac:dyDescent="0.2">
      <c r="A109" s="104">
        <v>108</v>
      </c>
      <c r="B109" s="104" t="s">
        <v>82</v>
      </c>
      <c r="C109" s="104" t="s">
        <v>110</v>
      </c>
      <c r="D109" s="104">
        <v>2112</v>
      </c>
      <c r="E109" s="104">
        <v>210.76</v>
      </c>
      <c r="F109" s="247"/>
      <c r="G109" s="104" t="s">
        <v>83</v>
      </c>
      <c r="H109" s="104" t="s">
        <v>108</v>
      </c>
      <c r="I109" s="105">
        <v>18</v>
      </c>
      <c r="J109" s="106" t="s">
        <v>112</v>
      </c>
      <c r="K109" s="256"/>
      <c r="L109" s="256"/>
      <c r="M109" s="242"/>
      <c r="N109" s="244"/>
    </row>
    <row r="110" spans="1:15" x14ac:dyDescent="0.2">
      <c r="A110" s="107">
        <v>109</v>
      </c>
      <c r="B110" s="107" t="s">
        <v>82</v>
      </c>
      <c r="C110" s="107" t="s">
        <v>110</v>
      </c>
      <c r="D110" s="107">
        <v>1201</v>
      </c>
      <c r="E110" s="107">
        <v>243.71</v>
      </c>
      <c r="F110" s="248">
        <f>SUM(E110:E120)</f>
        <v>1716.6800000000003</v>
      </c>
      <c r="G110" s="107" t="s">
        <v>83</v>
      </c>
      <c r="H110" s="107" t="s">
        <v>108</v>
      </c>
      <c r="I110" s="108">
        <v>11</v>
      </c>
      <c r="J110" s="109" t="s">
        <v>111</v>
      </c>
      <c r="K110" s="257">
        <v>3971.83</v>
      </c>
      <c r="L110" s="257">
        <v>5517.3722842478337</v>
      </c>
      <c r="M110" s="243">
        <v>10721.371636219243</v>
      </c>
      <c r="N110" s="243">
        <f>ROUND(M110*10000/F110,0)</f>
        <v>62454</v>
      </c>
    </row>
    <row r="111" spans="1:15" x14ac:dyDescent="0.2">
      <c r="A111" s="107">
        <v>110</v>
      </c>
      <c r="B111" s="107" t="s">
        <v>82</v>
      </c>
      <c r="C111" s="107" t="s">
        <v>110</v>
      </c>
      <c r="D111" s="107">
        <v>1202</v>
      </c>
      <c r="E111" s="107">
        <v>234.16</v>
      </c>
      <c r="F111" s="249"/>
      <c r="G111" s="107" t="s">
        <v>83</v>
      </c>
      <c r="H111" s="107" t="s">
        <v>108</v>
      </c>
      <c r="I111" s="108">
        <v>11</v>
      </c>
      <c r="J111" s="109" t="s">
        <v>111</v>
      </c>
      <c r="K111" s="257"/>
      <c r="L111" s="257"/>
      <c r="M111" s="243"/>
      <c r="N111" s="243"/>
    </row>
    <row r="112" spans="1:15" x14ac:dyDescent="0.2">
      <c r="A112" s="107">
        <v>111</v>
      </c>
      <c r="B112" s="107" t="s">
        <v>82</v>
      </c>
      <c r="C112" s="107" t="s">
        <v>110</v>
      </c>
      <c r="D112" s="107">
        <v>1211</v>
      </c>
      <c r="E112" s="107">
        <v>140.79</v>
      </c>
      <c r="F112" s="249"/>
      <c r="G112" s="107" t="s">
        <v>83</v>
      </c>
      <c r="H112" s="107" t="s">
        <v>108</v>
      </c>
      <c r="I112" s="108">
        <v>11</v>
      </c>
      <c r="J112" s="109" t="s">
        <v>111</v>
      </c>
      <c r="K112" s="257"/>
      <c r="L112" s="257"/>
      <c r="M112" s="243"/>
      <c r="N112" s="243"/>
    </row>
    <row r="113" spans="1:14" x14ac:dyDescent="0.2">
      <c r="A113" s="107">
        <v>112</v>
      </c>
      <c r="B113" s="107" t="s">
        <v>82</v>
      </c>
      <c r="C113" s="107" t="s">
        <v>110</v>
      </c>
      <c r="D113" s="107">
        <v>1212</v>
      </c>
      <c r="E113" s="107">
        <v>204.62</v>
      </c>
      <c r="F113" s="249"/>
      <c r="G113" s="107" t="s">
        <v>83</v>
      </c>
      <c r="H113" s="107" t="s">
        <v>108</v>
      </c>
      <c r="I113" s="108">
        <v>11</v>
      </c>
      <c r="J113" s="109" t="s">
        <v>111</v>
      </c>
      <c r="K113" s="257"/>
      <c r="L113" s="257"/>
      <c r="M113" s="243"/>
      <c r="N113" s="243"/>
    </row>
    <row r="114" spans="1:14" x14ac:dyDescent="0.2">
      <c r="A114" s="107">
        <v>113</v>
      </c>
      <c r="B114" s="107" t="s">
        <v>82</v>
      </c>
      <c r="C114" s="107" t="s">
        <v>110</v>
      </c>
      <c r="D114" s="107" t="s">
        <v>113</v>
      </c>
      <c r="E114" s="107">
        <v>61.47</v>
      </c>
      <c r="F114" s="249"/>
      <c r="G114" s="107" t="s">
        <v>83</v>
      </c>
      <c r="H114" s="107" t="s">
        <v>108</v>
      </c>
      <c r="I114" s="108">
        <v>11</v>
      </c>
      <c r="J114" s="109" t="s">
        <v>111</v>
      </c>
      <c r="K114" s="257"/>
      <c r="L114" s="257"/>
      <c r="M114" s="243"/>
      <c r="N114" s="243"/>
    </row>
    <row r="115" spans="1:14" x14ac:dyDescent="0.2">
      <c r="A115" s="107">
        <v>114</v>
      </c>
      <c r="B115" s="107" t="s">
        <v>82</v>
      </c>
      <c r="C115" s="107" t="s">
        <v>110</v>
      </c>
      <c r="D115" s="107" t="s">
        <v>114</v>
      </c>
      <c r="E115" s="107">
        <v>136.37</v>
      </c>
      <c r="F115" s="249"/>
      <c r="G115" s="107" t="s">
        <v>83</v>
      </c>
      <c r="H115" s="107" t="s">
        <v>108</v>
      </c>
      <c r="I115" s="108">
        <v>11</v>
      </c>
      <c r="J115" s="109" t="s">
        <v>111</v>
      </c>
      <c r="K115" s="257">
        <v>1889.19</v>
      </c>
      <c r="L115" s="257">
        <v>2624.3229306587054</v>
      </c>
      <c r="M115" s="243"/>
      <c r="N115" s="243"/>
    </row>
    <row r="116" spans="1:14" x14ac:dyDescent="0.2">
      <c r="A116" s="107">
        <v>115</v>
      </c>
      <c r="B116" s="107" t="s">
        <v>82</v>
      </c>
      <c r="C116" s="107" t="s">
        <v>110</v>
      </c>
      <c r="D116" s="107">
        <v>1206</v>
      </c>
      <c r="E116" s="107">
        <v>145.26</v>
      </c>
      <c r="F116" s="249"/>
      <c r="G116" s="107" t="s">
        <v>83</v>
      </c>
      <c r="H116" s="107" t="s">
        <v>108</v>
      </c>
      <c r="I116" s="108">
        <v>11</v>
      </c>
      <c r="J116" s="109" t="s">
        <v>111</v>
      </c>
      <c r="K116" s="257"/>
      <c r="L116" s="257"/>
      <c r="M116" s="243"/>
      <c r="N116" s="243"/>
    </row>
    <row r="117" spans="1:14" x14ac:dyDescent="0.2">
      <c r="A117" s="107">
        <v>116</v>
      </c>
      <c r="B117" s="107" t="s">
        <v>82</v>
      </c>
      <c r="C117" s="107" t="s">
        <v>110</v>
      </c>
      <c r="D117" s="107">
        <v>1207</v>
      </c>
      <c r="E117" s="107">
        <v>139.97999999999999</v>
      </c>
      <c r="F117" s="249"/>
      <c r="G117" s="107" t="s">
        <v>83</v>
      </c>
      <c r="H117" s="107" t="s">
        <v>108</v>
      </c>
      <c r="I117" s="108">
        <v>11</v>
      </c>
      <c r="J117" s="109" t="s">
        <v>111</v>
      </c>
      <c r="K117" s="257"/>
      <c r="L117" s="257"/>
      <c r="M117" s="243"/>
      <c r="N117" s="243"/>
    </row>
    <row r="118" spans="1:14" x14ac:dyDescent="0.2">
      <c r="A118" s="107">
        <v>117</v>
      </c>
      <c r="B118" s="107" t="s">
        <v>82</v>
      </c>
      <c r="C118" s="107" t="s">
        <v>110</v>
      </c>
      <c r="D118" s="107">
        <v>1208</v>
      </c>
      <c r="E118" s="107">
        <v>135.16999999999999</v>
      </c>
      <c r="F118" s="249"/>
      <c r="G118" s="107" t="s">
        <v>83</v>
      </c>
      <c r="H118" s="107" t="s">
        <v>108</v>
      </c>
      <c r="I118" s="108">
        <v>11</v>
      </c>
      <c r="J118" s="109" t="s">
        <v>111</v>
      </c>
      <c r="K118" s="109">
        <v>611.76</v>
      </c>
      <c r="L118" s="109">
        <v>849.81171616394818</v>
      </c>
      <c r="M118" s="243"/>
      <c r="N118" s="243"/>
    </row>
    <row r="119" spans="1:14" x14ac:dyDescent="0.2">
      <c r="A119" s="107">
        <v>118</v>
      </c>
      <c r="B119" s="107" t="s">
        <v>82</v>
      </c>
      <c r="C119" s="107" t="s">
        <v>110</v>
      </c>
      <c r="D119" s="107">
        <v>1209</v>
      </c>
      <c r="E119" s="107">
        <v>135.16999999999999</v>
      </c>
      <c r="F119" s="249"/>
      <c r="G119" s="107" t="s">
        <v>83</v>
      </c>
      <c r="H119" s="107" t="s">
        <v>108</v>
      </c>
      <c r="I119" s="108">
        <v>11</v>
      </c>
      <c r="J119" s="109" t="s">
        <v>111</v>
      </c>
      <c r="K119" s="109">
        <v>611.76</v>
      </c>
      <c r="L119" s="109">
        <v>849.81171616394818</v>
      </c>
      <c r="M119" s="243"/>
      <c r="N119" s="243"/>
    </row>
    <row r="120" spans="1:14" x14ac:dyDescent="0.2">
      <c r="A120" s="107">
        <v>119</v>
      </c>
      <c r="B120" s="107" t="s">
        <v>82</v>
      </c>
      <c r="C120" s="107" t="s">
        <v>110</v>
      </c>
      <c r="D120" s="107">
        <v>1210</v>
      </c>
      <c r="E120" s="107">
        <v>139.97999999999999</v>
      </c>
      <c r="F120" s="250"/>
      <c r="G120" s="107" t="s">
        <v>83</v>
      </c>
      <c r="H120" s="107" t="s">
        <v>108</v>
      </c>
      <c r="I120" s="108">
        <v>11</v>
      </c>
      <c r="J120" s="109" t="s">
        <v>111</v>
      </c>
      <c r="K120" s="109">
        <v>633.53</v>
      </c>
      <c r="L120" s="109">
        <v>880.05298898480794</v>
      </c>
      <c r="M120" s="243"/>
      <c r="N120" s="243"/>
    </row>
    <row r="121" spans="1:14" x14ac:dyDescent="0.2">
      <c r="A121" s="104">
        <v>120</v>
      </c>
      <c r="B121" s="104" t="s">
        <v>82</v>
      </c>
      <c r="C121" s="104" t="s">
        <v>110</v>
      </c>
      <c r="D121" s="104">
        <v>1501</v>
      </c>
      <c r="E121" s="104">
        <v>242.71</v>
      </c>
      <c r="F121" s="245">
        <f>SUM(E121:E128)</f>
        <v>1290.6299999999999</v>
      </c>
      <c r="G121" s="104" t="s">
        <v>83</v>
      </c>
      <c r="H121" s="104" t="s">
        <v>108</v>
      </c>
      <c r="I121" s="105">
        <v>12</v>
      </c>
      <c r="J121" s="106" t="s">
        <v>111</v>
      </c>
      <c r="K121" s="106">
        <v>1098.48</v>
      </c>
      <c r="L121" s="106">
        <v>1525.9271184316954</v>
      </c>
      <c r="M121" s="242">
        <v>8090.0614018265496</v>
      </c>
      <c r="N121" s="242">
        <f>ROUND(M121*10000/F121,0)</f>
        <v>62683</v>
      </c>
    </row>
    <row r="122" spans="1:14" x14ac:dyDescent="0.2">
      <c r="A122" s="104">
        <v>121</v>
      </c>
      <c r="B122" s="104" t="s">
        <v>82</v>
      </c>
      <c r="C122" s="104" t="s">
        <v>110</v>
      </c>
      <c r="D122" s="104">
        <v>1502</v>
      </c>
      <c r="E122" s="104">
        <v>106.44</v>
      </c>
      <c r="F122" s="246"/>
      <c r="G122" s="104" t="s">
        <v>83</v>
      </c>
      <c r="H122" s="104" t="s">
        <v>108</v>
      </c>
      <c r="I122" s="105">
        <v>12</v>
      </c>
      <c r="J122" s="106" t="s">
        <v>111</v>
      </c>
      <c r="K122" s="106">
        <v>481.73</v>
      </c>
      <c r="L122" s="106">
        <v>669.18366357339278</v>
      </c>
      <c r="M122" s="242"/>
      <c r="N122" s="242"/>
    </row>
    <row r="123" spans="1:14" x14ac:dyDescent="0.2">
      <c r="A123" s="104">
        <v>122</v>
      </c>
      <c r="B123" s="104" t="s">
        <v>82</v>
      </c>
      <c r="C123" s="104" t="s">
        <v>110</v>
      </c>
      <c r="D123" s="104">
        <v>1505</v>
      </c>
      <c r="E123" s="104">
        <v>245.92</v>
      </c>
      <c r="F123" s="246"/>
      <c r="G123" s="104" t="s">
        <v>83</v>
      </c>
      <c r="H123" s="104" t="s">
        <v>108</v>
      </c>
      <c r="I123" s="105">
        <v>12</v>
      </c>
      <c r="J123" s="106" t="s">
        <v>111</v>
      </c>
      <c r="K123" s="106">
        <v>1113</v>
      </c>
      <c r="L123" s="106">
        <v>1546.097227818874</v>
      </c>
      <c r="M123" s="242"/>
      <c r="N123" s="242"/>
    </row>
    <row r="124" spans="1:14" x14ac:dyDescent="0.2">
      <c r="A124" s="104">
        <v>123</v>
      </c>
      <c r="B124" s="104" t="s">
        <v>82</v>
      </c>
      <c r="C124" s="104" t="s">
        <v>110</v>
      </c>
      <c r="D124" s="104">
        <v>1506</v>
      </c>
      <c r="E124" s="104">
        <v>145.26</v>
      </c>
      <c r="F124" s="246"/>
      <c r="G124" s="104" t="s">
        <v>83</v>
      </c>
      <c r="H124" s="104" t="s">
        <v>108</v>
      </c>
      <c r="I124" s="105">
        <v>12</v>
      </c>
      <c r="J124" s="106" t="s">
        <v>111</v>
      </c>
      <c r="K124" s="256">
        <v>1282.3</v>
      </c>
      <c r="L124" s="256">
        <v>1781.2762580702085</v>
      </c>
      <c r="M124" s="242"/>
      <c r="N124" s="242"/>
    </row>
    <row r="125" spans="1:14" x14ac:dyDescent="0.2">
      <c r="A125" s="104">
        <v>124</v>
      </c>
      <c r="B125" s="104" t="s">
        <v>82</v>
      </c>
      <c r="C125" s="104" t="s">
        <v>110</v>
      </c>
      <c r="D125" s="104">
        <v>1507</v>
      </c>
      <c r="E125" s="104">
        <v>139.97999999999999</v>
      </c>
      <c r="F125" s="246"/>
      <c r="G125" s="104" t="s">
        <v>83</v>
      </c>
      <c r="H125" s="104" t="s">
        <v>108</v>
      </c>
      <c r="I125" s="105">
        <v>12</v>
      </c>
      <c r="J125" s="106" t="s">
        <v>111</v>
      </c>
      <c r="K125" s="256"/>
      <c r="L125" s="256"/>
      <c r="M125" s="242"/>
      <c r="N125" s="242"/>
    </row>
    <row r="126" spans="1:14" x14ac:dyDescent="0.2">
      <c r="A126" s="104">
        <v>125</v>
      </c>
      <c r="B126" s="104" t="s">
        <v>82</v>
      </c>
      <c r="C126" s="104" t="s">
        <v>110</v>
      </c>
      <c r="D126" s="104">
        <v>1508</v>
      </c>
      <c r="E126" s="104">
        <v>135.16999999999999</v>
      </c>
      <c r="F126" s="246"/>
      <c r="G126" s="104" t="s">
        <v>83</v>
      </c>
      <c r="H126" s="104" t="s">
        <v>108</v>
      </c>
      <c r="I126" s="105">
        <v>12</v>
      </c>
      <c r="J126" s="106" t="s">
        <v>111</v>
      </c>
      <c r="K126" s="106">
        <v>611.76</v>
      </c>
      <c r="L126" s="106">
        <v>849.81171616394818</v>
      </c>
      <c r="M126" s="242"/>
      <c r="N126" s="242"/>
    </row>
    <row r="127" spans="1:14" x14ac:dyDescent="0.2">
      <c r="A127" s="104">
        <v>126</v>
      </c>
      <c r="B127" s="104" t="s">
        <v>82</v>
      </c>
      <c r="C127" s="104" t="s">
        <v>110</v>
      </c>
      <c r="D127" s="104">
        <v>1509</v>
      </c>
      <c r="E127" s="104">
        <v>135.16999999999999</v>
      </c>
      <c r="F127" s="246"/>
      <c r="G127" s="104" t="s">
        <v>83</v>
      </c>
      <c r="H127" s="104" t="s">
        <v>108</v>
      </c>
      <c r="I127" s="105">
        <v>12</v>
      </c>
      <c r="J127" s="106" t="s">
        <v>111</v>
      </c>
      <c r="K127" s="106">
        <v>611.76</v>
      </c>
      <c r="L127" s="106">
        <v>849.81171616394818</v>
      </c>
      <c r="M127" s="242"/>
      <c r="N127" s="242"/>
    </row>
    <row r="128" spans="1:14" x14ac:dyDescent="0.2">
      <c r="A128" s="104">
        <v>127</v>
      </c>
      <c r="B128" s="104" t="s">
        <v>82</v>
      </c>
      <c r="C128" s="104" t="s">
        <v>110</v>
      </c>
      <c r="D128" s="104">
        <v>1510</v>
      </c>
      <c r="E128" s="104">
        <v>139.97999999999999</v>
      </c>
      <c r="F128" s="247"/>
      <c r="G128" s="104" t="s">
        <v>83</v>
      </c>
      <c r="H128" s="104" t="s">
        <v>108</v>
      </c>
      <c r="I128" s="105">
        <v>12</v>
      </c>
      <c r="J128" s="106" t="s">
        <v>111</v>
      </c>
      <c r="K128" s="106">
        <v>624.82000000000005</v>
      </c>
      <c r="L128" s="106">
        <v>867.95370160448249</v>
      </c>
      <c r="M128" s="242"/>
      <c r="N128" s="242"/>
    </row>
    <row r="129" spans="1:14" x14ac:dyDescent="0.2">
      <c r="A129" s="107">
        <v>128</v>
      </c>
      <c r="B129" s="107" t="s">
        <v>82</v>
      </c>
      <c r="C129" s="107" t="s">
        <v>110</v>
      </c>
      <c r="D129" s="107">
        <v>1608</v>
      </c>
      <c r="E129" s="107">
        <v>135.16999999999999</v>
      </c>
      <c r="F129" s="248">
        <f>SUM(E129:E130)</f>
        <v>270.33999999999997</v>
      </c>
      <c r="G129" s="107" t="s">
        <v>83</v>
      </c>
      <c r="H129" s="107" t="s">
        <v>108</v>
      </c>
      <c r="I129" s="108">
        <v>13</v>
      </c>
      <c r="J129" s="109" t="s">
        <v>111</v>
      </c>
      <c r="K129" s="109">
        <v>605.46</v>
      </c>
      <c r="L129" s="109">
        <v>841.06022242157724</v>
      </c>
      <c r="M129" s="243">
        <v>1682.1204448431545</v>
      </c>
      <c r="N129" s="243">
        <f>ROUND(M129*10000/F129,0)</f>
        <v>62222</v>
      </c>
    </row>
    <row r="130" spans="1:14" x14ac:dyDescent="0.2">
      <c r="A130" s="107">
        <v>129</v>
      </c>
      <c r="B130" s="107" t="s">
        <v>82</v>
      </c>
      <c r="C130" s="107" t="s">
        <v>110</v>
      </c>
      <c r="D130" s="107">
        <v>1609</v>
      </c>
      <c r="E130" s="107">
        <v>135.16999999999999</v>
      </c>
      <c r="F130" s="250"/>
      <c r="G130" s="107" t="s">
        <v>83</v>
      </c>
      <c r="H130" s="107" t="s">
        <v>108</v>
      </c>
      <c r="I130" s="108">
        <v>13</v>
      </c>
      <c r="J130" s="109" t="s">
        <v>111</v>
      </c>
      <c r="K130" s="109">
        <v>605.46</v>
      </c>
      <c r="L130" s="109">
        <v>841.06022242157724</v>
      </c>
      <c r="M130" s="243"/>
      <c r="N130" s="243"/>
    </row>
    <row r="131" spans="1:14" x14ac:dyDescent="0.2">
      <c r="A131" s="104">
        <v>130</v>
      </c>
      <c r="B131" s="104" t="s">
        <v>82</v>
      </c>
      <c r="C131" s="104" t="s">
        <v>110</v>
      </c>
      <c r="D131" s="104">
        <v>1801</v>
      </c>
      <c r="E131" s="104">
        <v>134.94</v>
      </c>
      <c r="F131" s="245">
        <f>SUM(E131:E140)</f>
        <v>1643.18</v>
      </c>
      <c r="G131" s="104" t="s">
        <v>83</v>
      </c>
      <c r="H131" s="104" t="s">
        <v>108</v>
      </c>
      <c r="I131" s="105">
        <v>15</v>
      </c>
      <c r="J131" s="106" t="s">
        <v>111</v>
      </c>
      <c r="K131" s="256">
        <v>1548.75</v>
      </c>
      <c r="L131" s="256">
        <v>2151.4088783328671</v>
      </c>
      <c r="M131" s="242">
        <v>10275.656670794297</v>
      </c>
      <c r="N131" s="242">
        <f>ROUND(M131*10000/F131,0)</f>
        <v>62535</v>
      </c>
    </row>
    <row r="132" spans="1:14" x14ac:dyDescent="0.2">
      <c r="A132" s="104">
        <v>131</v>
      </c>
      <c r="B132" s="104" t="s">
        <v>82</v>
      </c>
      <c r="C132" s="104" t="s">
        <v>110</v>
      </c>
      <c r="D132" s="104">
        <v>1812</v>
      </c>
      <c r="E132" s="104">
        <v>210.76</v>
      </c>
      <c r="F132" s="246"/>
      <c r="G132" s="104" t="s">
        <v>83</v>
      </c>
      <c r="H132" s="104" t="s">
        <v>108</v>
      </c>
      <c r="I132" s="105">
        <v>15</v>
      </c>
      <c r="J132" s="106" t="s">
        <v>111</v>
      </c>
      <c r="K132" s="256"/>
      <c r="L132" s="256"/>
      <c r="M132" s="242"/>
      <c r="N132" s="242"/>
    </row>
    <row r="133" spans="1:14" x14ac:dyDescent="0.2">
      <c r="A133" s="104">
        <v>132</v>
      </c>
      <c r="B133" s="104" t="s">
        <v>82</v>
      </c>
      <c r="C133" s="104" t="s">
        <v>110</v>
      </c>
      <c r="D133" s="104">
        <v>1802</v>
      </c>
      <c r="E133" s="104">
        <v>215.21</v>
      </c>
      <c r="F133" s="246"/>
      <c r="G133" s="104" t="s">
        <v>83</v>
      </c>
      <c r="H133" s="104" t="s">
        <v>108</v>
      </c>
      <c r="I133" s="105">
        <v>15</v>
      </c>
      <c r="J133" s="106" t="s">
        <v>111</v>
      </c>
      <c r="K133" s="106">
        <v>964.15</v>
      </c>
      <c r="L133" s="106">
        <v>1339.3258240804737</v>
      </c>
      <c r="M133" s="242"/>
      <c r="N133" s="242"/>
    </row>
    <row r="134" spans="1:14" x14ac:dyDescent="0.2">
      <c r="A134" s="104">
        <v>133</v>
      </c>
      <c r="B134" s="104" t="s">
        <v>82</v>
      </c>
      <c r="C134" s="104" t="s">
        <v>110</v>
      </c>
      <c r="D134" s="104">
        <v>1805</v>
      </c>
      <c r="E134" s="104">
        <v>245.92</v>
      </c>
      <c r="F134" s="246"/>
      <c r="G134" s="104" t="s">
        <v>83</v>
      </c>
      <c r="H134" s="104" t="s">
        <v>108</v>
      </c>
      <c r="I134" s="105">
        <v>15</v>
      </c>
      <c r="J134" s="106" t="s">
        <v>111</v>
      </c>
      <c r="K134" s="106">
        <v>1113</v>
      </c>
      <c r="L134" s="106">
        <v>1546.097227818874</v>
      </c>
      <c r="M134" s="242"/>
      <c r="N134" s="242"/>
    </row>
    <row r="135" spans="1:14" x14ac:dyDescent="0.2">
      <c r="A135" s="104">
        <v>134</v>
      </c>
      <c r="B135" s="104" t="s">
        <v>82</v>
      </c>
      <c r="C135" s="104" t="s">
        <v>110</v>
      </c>
      <c r="D135" s="104">
        <v>1806</v>
      </c>
      <c r="E135" s="104">
        <v>145.26</v>
      </c>
      <c r="F135" s="246"/>
      <c r="G135" s="104" t="s">
        <v>83</v>
      </c>
      <c r="H135" s="104" t="s">
        <v>108</v>
      </c>
      <c r="I135" s="105">
        <v>15</v>
      </c>
      <c r="J135" s="106" t="s">
        <v>111</v>
      </c>
      <c r="K135" s="106">
        <v>657.43</v>
      </c>
      <c r="L135" s="106">
        <v>913.25310016618357</v>
      </c>
      <c r="M135" s="242"/>
      <c r="N135" s="242"/>
    </row>
    <row r="136" spans="1:14" x14ac:dyDescent="0.2">
      <c r="A136" s="104">
        <v>135</v>
      </c>
      <c r="B136" s="104" t="s">
        <v>82</v>
      </c>
      <c r="C136" s="104" t="s">
        <v>110</v>
      </c>
      <c r="D136" s="104">
        <v>1807</v>
      </c>
      <c r="E136" s="104">
        <v>139.97999999999999</v>
      </c>
      <c r="F136" s="246"/>
      <c r="G136" s="104" t="s">
        <v>83</v>
      </c>
      <c r="H136" s="104" t="s">
        <v>108</v>
      </c>
      <c r="I136" s="105">
        <v>15</v>
      </c>
      <c r="J136" s="106" t="s">
        <v>111</v>
      </c>
      <c r="K136" s="106">
        <v>633.53</v>
      </c>
      <c r="L136" s="106">
        <v>880.05298898480794</v>
      </c>
      <c r="M136" s="242"/>
      <c r="N136" s="242"/>
    </row>
    <row r="137" spans="1:14" x14ac:dyDescent="0.2">
      <c r="A137" s="104">
        <v>136</v>
      </c>
      <c r="B137" s="104" t="s">
        <v>82</v>
      </c>
      <c r="C137" s="104" t="s">
        <v>110</v>
      </c>
      <c r="D137" s="104">
        <v>1808</v>
      </c>
      <c r="E137" s="104">
        <v>135.16999999999999</v>
      </c>
      <c r="F137" s="246"/>
      <c r="G137" s="104" t="s">
        <v>83</v>
      </c>
      <c r="H137" s="104" t="s">
        <v>108</v>
      </c>
      <c r="I137" s="105">
        <v>15</v>
      </c>
      <c r="J137" s="106" t="s">
        <v>111</v>
      </c>
      <c r="K137" s="106">
        <v>611.76</v>
      </c>
      <c r="L137" s="106">
        <v>849.81171616394818</v>
      </c>
      <c r="M137" s="242"/>
      <c r="N137" s="242"/>
    </row>
    <row r="138" spans="1:14" x14ac:dyDescent="0.2">
      <c r="A138" s="104">
        <v>137</v>
      </c>
      <c r="B138" s="104" t="s">
        <v>82</v>
      </c>
      <c r="C138" s="104" t="s">
        <v>110</v>
      </c>
      <c r="D138" s="104">
        <v>1809</v>
      </c>
      <c r="E138" s="104">
        <v>135.16999999999999</v>
      </c>
      <c r="F138" s="246"/>
      <c r="G138" s="104" t="s">
        <v>83</v>
      </c>
      <c r="H138" s="104" t="s">
        <v>108</v>
      </c>
      <c r="I138" s="105">
        <v>15</v>
      </c>
      <c r="J138" s="106" t="s">
        <v>111</v>
      </c>
      <c r="K138" s="106">
        <v>611.76</v>
      </c>
      <c r="L138" s="106">
        <v>849.81171616394818</v>
      </c>
      <c r="M138" s="242"/>
      <c r="N138" s="242"/>
    </row>
    <row r="139" spans="1:14" x14ac:dyDescent="0.2">
      <c r="A139" s="104">
        <v>138</v>
      </c>
      <c r="B139" s="104" t="s">
        <v>82</v>
      </c>
      <c r="C139" s="104" t="s">
        <v>110</v>
      </c>
      <c r="D139" s="104">
        <v>1810</v>
      </c>
      <c r="E139" s="104">
        <v>139.97999999999999</v>
      </c>
      <c r="F139" s="246"/>
      <c r="G139" s="104" t="s">
        <v>83</v>
      </c>
      <c r="H139" s="104" t="s">
        <v>108</v>
      </c>
      <c r="I139" s="105">
        <v>15</v>
      </c>
      <c r="J139" s="106" t="s">
        <v>111</v>
      </c>
      <c r="K139" s="256">
        <v>1256.83</v>
      </c>
      <c r="L139" s="256">
        <v>1745.8952190831944</v>
      </c>
      <c r="M139" s="242"/>
      <c r="N139" s="242"/>
    </row>
    <row r="140" spans="1:14" x14ac:dyDescent="0.2">
      <c r="A140" s="104">
        <v>139</v>
      </c>
      <c r="B140" s="104" t="s">
        <v>82</v>
      </c>
      <c r="C140" s="104" t="s">
        <v>110</v>
      </c>
      <c r="D140" s="104">
        <v>1811</v>
      </c>
      <c r="E140" s="104">
        <v>140.79</v>
      </c>
      <c r="F140" s="247"/>
      <c r="G140" s="104" t="s">
        <v>83</v>
      </c>
      <c r="H140" s="104" t="s">
        <v>108</v>
      </c>
      <c r="I140" s="105">
        <v>15</v>
      </c>
      <c r="J140" s="106" t="s">
        <v>111</v>
      </c>
      <c r="K140" s="256"/>
      <c r="L140" s="256"/>
      <c r="M140" s="242"/>
      <c r="N140" s="242"/>
    </row>
    <row r="141" spans="1:14" x14ac:dyDescent="0.2">
      <c r="A141" s="107">
        <v>140</v>
      </c>
      <c r="B141" s="107" t="s">
        <v>82</v>
      </c>
      <c r="C141" s="107" t="s">
        <v>110</v>
      </c>
      <c r="D141" s="107">
        <v>1907</v>
      </c>
      <c r="E141" s="107">
        <v>139.97999999999999</v>
      </c>
      <c r="F141" s="248">
        <f>SUM(E141:E146)</f>
        <v>901.84999999999991</v>
      </c>
      <c r="G141" s="107" t="s">
        <v>83</v>
      </c>
      <c r="H141" s="107" t="s">
        <v>108</v>
      </c>
      <c r="I141" s="108">
        <v>16</v>
      </c>
      <c r="J141" s="109" t="s">
        <v>112</v>
      </c>
      <c r="K141" s="109">
        <v>646.91999999999996</v>
      </c>
      <c r="L141" s="109">
        <v>898.65338600232349</v>
      </c>
      <c r="M141" s="243">
        <v>5777.0416057178991</v>
      </c>
      <c r="N141" s="243">
        <f>ROUND(M141*10000/F141,0)</f>
        <v>64058</v>
      </c>
    </row>
    <row r="142" spans="1:14" x14ac:dyDescent="0.2">
      <c r="A142" s="107">
        <v>141</v>
      </c>
      <c r="B142" s="107" t="s">
        <v>82</v>
      </c>
      <c r="C142" s="107" t="s">
        <v>110</v>
      </c>
      <c r="D142" s="107">
        <v>1908</v>
      </c>
      <c r="E142" s="107">
        <v>135.16999999999999</v>
      </c>
      <c r="F142" s="249"/>
      <c r="G142" s="107" t="s">
        <v>83</v>
      </c>
      <c r="H142" s="107" t="s">
        <v>108</v>
      </c>
      <c r="I142" s="108">
        <v>16</v>
      </c>
      <c r="J142" s="109" t="s">
        <v>112</v>
      </c>
      <c r="K142" s="109">
        <v>624.69000000000005</v>
      </c>
      <c r="L142" s="109">
        <v>867.77311522567163</v>
      </c>
      <c r="M142" s="243"/>
      <c r="N142" s="243"/>
    </row>
    <row r="143" spans="1:14" x14ac:dyDescent="0.2">
      <c r="A143" s="107">
        <v>142</v>
      </c>
      <c r="B143" s="107" t="s">
        <v>82</v>
      </c>
      <c r="C143" s="107" t="s">
        <v>110</v>
      </c>
      <c r="D143" s="107">
        <v>1909</v>
      </c>
      <c r="E143" s="107">
        <v>135.16999999999999</v>
      </c>
      <c r="F143" s="249"/>
      <c r="G143" s="107" t="s">
        <v>83</v>
      </c>
      <c r="H143" s="107" t="s">
        <v>108</v>
      </c>
      <c r="I143" s="108">
        <v>16</v>
      </c>
      <c r="J143" s="109" t="s">
        <v>112</v>
      </c>
      <c r="K143" s="109">
        <v>615.54</v>
      </c>
      <c r="L143" s="109">
        <v>855.06261240937079</v>
      </c>
      <c r="M143" s="243"/>
      <c r="N143" s="243"/>
    </row>
    <row r="144" spans="1:14" x14ac:dyDescent="0.2">
      <c r="A144" s="107">
        <v>143</v>
      </c>
      <c r="B144" s="107" t="s">
        <v>82</v>
      </c>
      <c r="C144" s="107" t="s">
        <v>110</v>
      </c>
      <c r="D144" s="107">
        <v>1910</v>
      </c>
      <c r="E144" s="107">
        <v>139.97999999999999</v>
      </c>
      <c r="F144" s="249"/>
      <c r="G144" s="107" t="s">
        <v>83</v>
      </c>
      <c r="H144" s="107" t="s">
        <v>108</v>
      </c>
      <c r="I144" s="108">
        <v>16</v>
      </c>
      <c r="J144" s="109" t="s">
        <v>112</v>
      </c>
      <c r="K144" s="109">
        <v>646.91999999999996</v>
      </c>
      <c r="L144" s="109">
        <v>898.65338600232349</v>
      </c>
      <c r="M144" s="243"/>
      <c r="N144" s="243"/>
    </row>
    <row r="145" spans="1:14" x14ac:dyDescent="0.2">
      <c r="A145" s="107">
        <v>144</v>
      </c>
      <c r="B145" s="107" t="s">
        <v>82</v>
      </c>
      <c r="C145" s="107" t="s">
        <v>110</v>
      </c>
      <c r="D145" s="107">
        <v>1911</v>
      </c>
      <c r="E145" s="107">
        <v>140.79</v>
      </c>
      <c r="F145" s="249"/>
      <c r="G145" s="107" t="s">
        <v>83</v>
      </c>
      <c r="H145" s="107" t="s">
        <v>108</v>
      </c>
      <c r="I145" s="108">
        <v>16</v>
      </c>
      <c r="J145" s="109" t="s">
        <v>112</v>
      </c>
      <c r="K145" s="109">
        <v>650.66</v>
      </c>
      <c r="L145" s="109">
        <v>903.84871720811191</v>
      </c>
      <c r="M145" s="243"/>
      <c r="N145" s="243"/>
    </row>
    <row r="146" spans="1:14" x14ac:dyDescent="0.2">
      <c r="A146" s="107">
        <v>145</v>
      </c>
      <c r="B146" s="107" t="s">
        <v>82</v>
      </c>
      <c r="C146" s="107" t="s">
        <v>110</v>
      </c>
      <c r="D146" s="107">
        <v>1912</v>
      </c>
      <c r="E146" s="107">
        <v>210.76</v>
      </c>
      <c r="F146" s="250"/>
      <c r="G146" s="107" t="s">
        <v>83</v>
      </c>
      <c r="H146" s="107" t="s">
        <v>108</v>
      </c>
      <c r="I146" s="108">
        <v>16</v>
      </c>
      <c r="J146" s="109" t="s">
        <v>112</v>
      </c>
      <c r="K146" s="109">
        <v>974.03</v>
      </c>
      <c r="L146" s="109">
        <v>1353.0503888700969</v>
      </c>
      <c r="M146" s="243"/>
      <c r="N146" s="243"/>
    </row>
    <row r="147" spans="1:14" x14ac:dyDescent="0.2">
      <c r="A147" s="104">
        <v>146</v>
      </c>
      <c r="B147" s="104" t="s">
        <v>82</v>
      </c>
      <c r="C147" s="104" t="s">
        <v>110</v>
      </c>
      <c r="D147" s="104">
        <v>2001</v>
      </c>
      <c r="E147" s="104">
        <v>134.94</v>
      </c>
      <c r="F147" s="245">
        <f>SUM(E147:E157)</f>
        <v>1727.6499999999996</v>
      </c>
      <c r="G147" s="104" t="s">
        <v>83</v>
      </c>
      <c r="H147" s="104" t="s">
        <v>108</v>
      </c>
      <c r="I147" s="105">
        <v>17</v>
      </c>
      <c r="J147" s="106" t="s">
        <v>112</v>
      </c>
      <c r="K147" s="256">
        <v>5518</v>
      </c>
      <c r="L147" s="256">
        <v>7665.1972175243018</v>
      </c>
      <c r="M147" s="242">
        <v>11168.642422753943</v>
      </c>
      <c r="N147" s="242">
        <f>ROUND(M147*10000/F147,0)</f>
        <v>64646</v>
      </c>
    </row>
    <row r="148" spans="1:14" x14ac:dyDescent="0.2">
      <c r="A148" s="104">
        <v>147</v>
      </c>
      <c r="B148" s="104" t="s">
        <v>82</v>
      </c>
      <c r="C148" s="104" t="s">
        <v>110</v>
      </c>
      <c r="D148" s="104">
        <v>2006</v>
      </c>
      <c r="E148" s="104">
        <v>145.26</v>
      </c>
      <c r="F148" s="246"/>
      <c r="G148" s="104" t="s">
        <v>83</v>
      </c>
      <c r="H148" s="104" t="s">
        <v>108</v>
      </c>
      <c r="I148" s="105">
        <v>17</v>
      </c>
      <c r="J148" s="106" t="s">
        <v>112</v>
      </c>
      <c r="K148" s="256"/>
      <c r="L148" s="256"/>
      <c r="M148" s="242"/>
      <c r="N148" s="242"/>
    </row>
    <row r="149" spans="1:14" x14ac:dyDescent="0.2">
      <c r="A149" s="104">
        <v>148</v>
      </c>
      <c r="B149" s="104" t="s">
        <v>82</v>
      </c>
      <c r="C149" s="104" t="s">
        <v>110</v>
      </c>
      <c r="D149" s="104">
        <v>2007</v>
      </c>
      <c r="E149" s="104">
        <v>139.97999999999999</v>
      </c>
      <c r="F149" s="246"/>
      <c r="G149" s="104" t="s">
        <v>83</v>
      </c>
      <c r="H149" s="104" t="s">
        <v>108</v>
      </c>
      <c r="I149" s="105">
        <v>17</v>
      </c>
      <c r="J149" s="106" t="s">
        <v>112</v>
      </c>
      <c r="K149" s="256"/>
      <c r="L149" s="256"/>
      <c r="M149" s="242"/>
      <c r="N149" s="242"/>
    </row>
    <row r="150" spans="1:14" x14ac:dyDescent="0.2">
      <c r="A150" s="104">
        <v>149</v>
      </c>
      <c r="B150" s="104" t="s">
        <v>82</v>
      </c>
      <c r="C150" s="104" t="s">
        <v>110</v>
      </c>
      <c r="D150" s="104">
        <v>2008</v>
      </c>
      <c r="E150" s="104">
        <v>135.16999999999999</v>
      </c>
      <c r="F150" s="246"/>
      <c r="G150" s="104" t="s">
        <v>83</v>
      </c>
      <c r="H150" s="104" t="s">
        <v>108</v>
      </c>
      <c r="I150" s="105">
        <v>17</v>
      </c>
      <c r="J150" s="106" t="s">
        <v>112</v>
      </c>
      <c r="K150" s="256"/>
      <c r="L150" s="256"/>
      <c r="M150" s="242"/>
      <c r="N150" s="242"/>
    </row>
    <row r="151" spans="1:14" x14ac:dyDescent="0.2">
      <c r="A151" s="104">
        <v>150</v>
      </c>
      <c r="B151" s="104" t="s">
        <v>82</v>
      </c>
      <c r="C151" s="104" t="s">
        <v>110</v>
      </c>
      <c r="D151" s="104">
        <v>2008</v>
      </c>
      <c r="E151" s="104">
        <v>135.16999999999999</v>
      </c>
      <c r="F151" s="246"/>
      <c r="G151" s="104" t="s">
        <v>83</v>
      </c>
      <c r="H151" s="104" t="s">
        <v>108</v>
      </c>
      <c r="I151" s="105">
        <v>17</v>
      </c>
      <c r="J151" s="106" t="s">
        <v>112</v>
      </c>
      <c r="K151" s="256"/>
      <c r="L151" s="256"/>
      <c r="M151" s="242"/>
      <c r="N151" s="242"/>
    </row>
    <row r="152" spans="1:14" x14ac:dyDescent="0.2">
      <c r="A152" s="104">
        <v>151</v>
      </c>
      <c r="B152" s="104" t="s">
        <v>82</v>
      </c>
      <c r="C152" s="104" t="s">
        <v>110</v>
      </c>
      <c r="D152" s="104">
        <v>2010</v>
      </c>
      <c r="E152" s="104">
        <v>139.97999999999999</v>
      </c>
      <c r="F152" s="246"/>
      <c r="G152" s="104" t="s">
        <v>83</v>
      </c>
      <c r="H152" s="104" t="s">
        <v>108</v>
      </c>
      <c r="I152" s="105">
        <v>17</v>
      </c>
      <c r="J152" s="106" t="s">
        <v>112</v>
      </c>
      <c r="K152" s="256"/>
      <c r="L152" s="256"/>
      <c r="M152" s="242"/>
      <c r="N152" s="242"/>
    </row>
    <row r="153" spans="1:14" x14ac:dyDescent="0.2">
      <c r="A153" s="104">
        <v>152</v>
      </c>
      <c r="B153" s="104" t="s">
        <v>82</v>
      </c>
      <c r="C153" s="104" t="s">
        <v>110</v>
      </c>
      <c r="D153" s="104">
        <v>2011</v>
      </c>
      <c r="E153" s="104">
        <v>140.66999999999999</v>
      </c>
      <c r="F153" s="246"/>
      <c r="G153" s="104" t="s">
        <v>83</v>
      </c>
      <c r="H153" s="104" t="s">
        <v>108</v>
      </c>
      <c r="I153" s="105">
        <v>17</v>
      </c>
      <c r="J153" s="106" t="s">
        <v>112</v>
      </c>
      <c r="K153" s="256"/>
      <c r="L153" s="256"/>
      <c r="M153" s="242"/>
      <c r="N153" s="242"/>
    </row>
    <row r="154" spans="1:14" x14ac:dyDescent="0.2">
      <c r="A154" s="104">
        <v>153</v>
      </c>
      <c r="B154" s="104" t="s">
        <v>82</v>
      </c>
      <c r="C154" s="104" t="s">
        <v>110</v>
      </c>
      <c r="D154" s="104">
        <v>2012</v>
      </c>
      <c r="E154" s="104">
        <v>210.76</v>
      </c>
      <c r="F154" s="246"/>
      <c r="G154" s="104" t="s">
        <v>83</v>
      </c>
      <c r="H154" s="104" t="s">
        <v>108</v>
      </c>
      <c r="I154" s="105">
        <v>17</v>
      </c>
      <c r="J154" s="106" t="s">
        <v>112</v>
      </c>
      <c r="K154" s="256"/>
      <c r="L154" s="256"/>
      <c r="M154" s="242"/>
      <c r="N154" s="242"/>
    </row>
    <row r="155" spans="1:14" x14ac:dyDescent="0.2">
      <c r="A155" s="104">
        <v>154</v>
      </c>
      <c r="B155" s="104" t="s">
        <v>82</v>
      </c>
      <c r="C155" s="104" t="s">
        <v>110</v>
      </c>
      <c r="D155" s="104">
        <v>2002</v>
      </c>
      <c r="E155" s="104">
        <v>216.1</v>
      </c>
      <c r="F155" s="246"/>
      <c r="G155" s="104" t="s">
        <v>83</v>
      </c>
      <c r="H155" s="104" t="s">
        <v>108</v>
      </c>
      <c r="I155" s="105">
        <v>17</v>
      </c>
      <c r="J155" s="106" t="s">
        <v>112</v>
      </c>
      <c r="K155" s="106">
        <v>998.71</v>
      </c>
      <c r="L155" s="106">
        <v>1387.3340183243376</v>
      </c>
      <c r="M155" s="242"/>
      <c r="N155" s="242"/>
    </row>
    <row r="156" spans="1:14" x14ac:dyDescent="0.2">
      <c r="A156" s="104">
        <v>155</v>
      </c>
      <c r="B156" s="104" t="s">
        <v>82</v>
      </c>
      <c r="C156" s="104" t="s">
        <v>110</v>
      </c>
      <c r="D156" s="104">
        <v>2003</v>
      </c>
      <c r="E156" s="104">
        <v>133.08000000000001</v>
      </c>
      <c r="F156" s="246"/>
      <c r="G156" s="104" t="s">
        <v>83</v>
      </c>
      <c r="H156" s="104" t="s">
        <v>108</v>
      </c>
      <c r="I156" s="105">
        <v>17</v>
      </c>
      <c r="J156" s="106" t="s">
        <v>112</v>
      </c>
      <c r="K156" s="106">
        <v>615.03</v>
      </c>
      <c r="L156" s="106">
        <v>854.3541581540361</v>
      </c>
      <c r="M156" s="242"/>
      <c r="N156" s="242"/>
    </row>
    <row r="157" spans="1:14" x14ac:dyDescent="0.2">
      <c r="A157" s="104">
        <v>156</v>
      </c>
      <c r="B157" s="104" t="s">
        <v>82</v>
      </c>
      <c r="C157" s="104" t="s">
        <v>110</v>
      </c>
      <c r="D157" s="104">
        <v>2005</v>
      </c>
      <c r="E157" s="104">
        <v>196.54</v>
      </c>
      <c r="F157" s="247"/>
      <c r="G157" s="104" t="s">
        <v>83</v>
      </c>
      <c r="H157" s="104" t="s">
        <v>108</v>
      </c>
      <c r="I157" s="105">
        <v>17</v>
      </c>
      <c r="J157" s="106" t="s">
        <v>112</v>
      </c>
      <c r="K157" s="106">
        <v>908.31</v>
      </c>
      <c r="L157" s="106">
        <v>1261.7570287512681</v>
      </c>
      <c r="M157" s="242"/>
      <c r="N157" s="242"/>
    </row>
    <row r="158" spans="1:14" x14ac:dyDescent="0.2">
      <c r="A158" s="107">
        <v>157</v>
      </c>
      <c r="B158" s="107" t="s">
        <v>82</v>
      </c>
      <c r="C158" s="107" t="s">
        <v>110</v>
      </c>
      <c r="D158" s="107">
        <v>2201</v>
      </c>
      <c r="E158" s="107">
        <v>134.94</v>
      </c>
      <c r="F158" s="248">
        <f>SUM(E158:E168)</f>
        <v>1725.4600000000003</v>
      </c>
      <c r="G158" s="107" t="s">
        <v>83</v>
      </c>
      <c r="H158" s="107" t="s">
        <v>108</v>
      </c>
      <c r="I158" s="108">
        <v>19</v>
      </c>
      <c r="J158" s="109" t="s">
        <v>112</v>
      </c>
      <c r="K158" s="109">
        <v>623.63</v>
      </c>
      <c r="L158" s="109">
        <v>866.30064167536796</v>
      </c>
      <c r="M158" s="243">
        <v>11032.772009588658</v>
      </c>
      <c r="N158" s="243">
        <f>ROUND(M158*10000/F158,0)</f>
        <v>63941</v>
      </c>
    </row>
    <row r="159" spans="1:14" x14ac:dyDescent="0.2">
      <c r="A159" s="107">
        <v>158</v>
      </c>
      <c r="B159" s="107" t="s">
        <v>82</v>
      </c>
      <c r="C159" s="107" t="s">
        <v>110</v>
      </c>
      <c r="D159" s="107">
        <v>2202</v>
      </c>
      <c r="E159" s="107">
        <v>216.1</v>
      </c>
      <c r="F159" s="249"/>
      <c r="G159" s="107" t="s">
        <v>83</v>
      </c>
      <c r="H159" s="107" t="s">
        <v>108</v>
      </c>
      <c r="I159" s="108">
        <v>19</v>
      </c>
      <c r="J159" s="109" t="s">
        <v>112</v>
      </c>
      <c r="K159" s="109">
        <v>998.71</v>
      </c>
      <c r="L159" s="109">
        <v>1387.3340183243376</v>
      </c>
      <c r="M159" s="243"/>
      <c r="N159" s="243"/>
    </row>
    <row r="160" spans="1:14" x14ac:dyDescent="0.2">
      <c r="A160" s="107">
        <v>159</v>
      </c>
      <c r="B160" s="107" t="s">
        <v>82</v>
      </c>
      <c r="C160" s="107" t="s">
        <v>110</v>
      </c>
      <c r="D160" s="107">
        <v>2203</v>
      </c>
      <c r="E160" s="107">
        <v>133.08000000000001</v>
      </c>
      <c r="F160" s="249"/>
      <c r="G160" s="107" t="s">
        <v>83</v>
      </c>
      <c r="H160" s="107" t="s">
        <v>108</v>
      </c>
      <c r="I160" s="108">
        <v>19</v>
      </c>
      <c r="J160" s="109" t="s">
        <v>112</v>
      </c>
      <c r="K160" s="109">
        <v>615.03</v>
      </c>
      <c r="L160" s="109">
        <v>854.3541581540361</v>
      </c>
      <c r="M160" s="243"/>
      <c r="N160" s="243"/>
    </row>
    <row r="161" spans="1:14" x14ac:dyDescent="0.2">
      <c r="A161" s="107">
        <v>160</v>
      </c>
      <c r="B161" s="107" t="s">
        <v>82</v>
      </c>
      <c r="C161" s="107" t="s">
        <v>110</v>
      </c>
      <c r="D161" s="107">
        <v>2205</v>
      </c>
      <c r="E161" s="107">
        <v>195.34</v>
      </c>
      <c r="F161" s="249"/>
      <c r="G161" s="107" t="s">
        <v>83</v>
      </c>
      <c r="H161" s="107" t="s">
        <v>108</v>
      </c>
      <c r="I161" s="108">
        <v>19</v>
      </c>
      <c r="J161" s="109" t="s">
        <v>112</v>
      </c>
      <c r="K161" s="109">
        <v>902.77</v>
      </c>
      <c r="L161" s="109">
        <v>1254.0612707619453</v>
      </c>
      <c r="M161" s="243"/>
      <c r="N161" s="243"/>
    </row>
    <row r="162" spans="1:14" x14ac:dyDescent="0.2">
      <c r="A162" s="107">
        <v>161</v>
      </c>
      <c r="B162" s="107" t="s">
        <v>82</v>
      </c>
      <c r="C162" s="107" t="s">
        <v>110</v>
      </c>
      <c r="D162" s="107">
        <v>2206</v>
      </c>
      <c r="E162" s="107">
        <v>145.26</v>
      </c>
      <c r="F162" s="249"/>
      <c r="G162" s="107" t="s">
        <v>83</v>
      </c>
      <c r="H162" s="107" t="s">
        <v>108</v>
      </c>
      <c r="I162" s="108">
        <v>19</v>
      </c>
      <c r="J162" s="109" t="s">
        <v>112</v>
      </c>
      <c r="K162" s="109">
        <v>671.32</v>
      </c>
      <c r="L162" s="109">
        <v>932.5480601791254</v>
      </c>
      <c r="M162" s="243"/>
      <c r="N162" s="243"/>
    </row>
    <row r="163" spans="1:14" x14ac:dyDescent="0.2">
      <c r="A163" s="107">
        <v>162</v>
      </c>
      <c r="B163" s="107" t="s">
        <v>82</v>
      </c>
      <c r="C163" s="107" t="s">
        <v>110</v>
      </c>
      <c r="D163" s="107">
        <v>2207</v>
      </c>
      <c r="E163" s="107">
        <v>139.97999999999999</v>
      </c>
      <c r="F163" s="249"/>
      <c r="G163" s="107" t="s">
        <v>83</v>
      </c>
      <c r="H163" s="107" t="s">
        <v>108</v>
      </c>
      <c r="I163" s="108">
        <v>19</v>
      </c>
      <c r="J163" s="109" t="s">
        <v>112</v>
      </c>
      <c r="K163" s="109">
        <v>646.91999999999996</v>
      </c>
      <c r="L163" s="109">
        <v>898.65338600232349</v>
      </c>
      <c r="M163" s="243"/>
      <c r="N163" s="243"/>
    </row>
    <row r="164" spans="1:14" x14ac:dyDescent="0.2">
      <c r="A164" s="107">
        <v>163</v>
      </c>
      <c r="B164" s="107" t="s">
        <v>82</v>
      </c>
      <c r="C164" s="107" t="s">
        <v>110</v>
      </c>
      <c r="D164" s="107">
        <v>2208</v>
      </c>
      <c r="E164" s="107">
        <v>135.16999999999999</v>
      </c>
      <c r="F164" s="249"/>
      <c r="G164" s="107" t="s">
        <v>83</v>
      </c>
      <c r="H164" s="107" t="s">
        <v>108</v>
      </c>
      <c r="I164" s="108">
        <v>19</v>
      </c>
      <c r="J164" s="109" t="s">
        <v>112</v>
      </c>
      <c r="K164" s="109">
        <v>624.69000000000005</v>
      </c>
      <c r="L164" s="109">
        <v>867.77311522567163</v>
      </c>
      <c r="M164" s="243"/>
      <c r="N164" s="243"/>
    </row>
    <row r="165" spans="1:14" x14ac:dyDescent="0.2">
      <c r="A165" s="107">
        <v>164</v>
      </c>
      <c r="B165" s="107" t="s">
        <v>82</v>
      </c>
      <c r="C165" s="107" t="s">
        <v>110</v>
      </c>
      <c r="D165" s="107">
        <v>2209</v>
      </c>
      <c r="E165" s="107">
        <v>135.16999999999999</v>
      </c>
      <c r="F165" s="249"/>
      <c r="G165" s="107" t="s">
        <v>83</v>
      </c>
      <c r="H165" s="107" t="s">
        <v>108</v>
      </c>
      <c r="I165" s="108">
        <v>19</v>
      </c>
      <c r="J165" s="109" t="s">
        <v>112</v>
      </c>
      <c r="K165" s="109">
        <v>624.69000000000005</v>
      </c>
      <c r="L165" s="109">
        <v>867.77311522567163</v>
      </c>
      <c r="M165" s="243"/>
      <c r="N165" s="243"/>
    </row>
    <row r="166" spans="1:14" x14ac:dyDescent="0.2">
      <c r="A166" s="107">
        <v>165</v>
      </c>
      <c r="B166" s="107" t="s">
        <v>82</v>
      </c>
      <c r="C166" s="107" t="s">
        <v>110</v>
      </c>
      <c r="D166" s="107">
        <v>2210</v>
      </c>
      <c r="E166" s="107">
        <v>139.97999999999999</v>
      </c>
      <c r="F166" s="249"/>
      <c r="G166" s="107" t="s">
        <v>83</v>
      </c>
      <c r="H166" s="107" t="s">
        <v>108</v>
      </c>
      <c r="I166" s="108">
        <v>19</v>
      </c>
      <c r="J166" s="109" t="s">
        <v>112</v>
      </c>
      <c r="K166" s="257">
        <v>1279.46</v>
      </c>
      <c r="L166" s="257">
        <v>1777.3311402561876</v>
      </c>
      <c r="M166" s="243"/>
      <c r="N166" s="243"/>
    </row>
    <row r="167" spans="1:14" x14ac:dyDescent="0.2">
      <c r="A167" s="107">
        <v>166</v>
      </c>
      <c r="B167" s="107" t="s">
        <v>82</v>
      </c>
      <c r="C167" s="107" t="s">
        <v>110</v>
      </c>
      <c r="D167" s="107">
        <v>2211</v>
      </c>
      <c r="E167" s="107">
        <v>139.68</v>
      </c>
      <c r="F167" s="249"/>
      <c r="G167" s="107" t="s">
        <v>83</v>
      </c>
      <c r="H167" s="107" t="s">
        <v>108</v>
      </c>
      <c r="I167" s="108">
        <v>19</v>
      </c>
      <c r="J167" s="109" t="s">
        <v>112</v>
      </c>
      <c r="K167" s="257"/>
      <c r="L167" s="257"/>
      <c r="M167" s="243"/>
      <c r="N167" s="243"/>
    </row>
    <row r="168" spans="1:14" x14ac:dyDescent="0.2">
      <c r="A168" s="107">
        <v>167</v>
      </c>
      <c r="B168" s="107" t="s">
        <v>82</v>
      </c>
      <c r="C168" s="107" t="s">
        <v>110</v>
      </c>
      <c r="D168" s="107">
        <v>2212</v>
      </c>
      <c r="E168" s="107">
        <v>210.76</v>
      </c>
      <c r="F168" s="250"/>
      <c r="G168" s="107" t="s">
        <v>83</v>
      </c>
      <c r="H168" s="107" t="s">
        <v>108</v>
      </c>
      <c r="I168" s="108">
        <v>19</v>
      </c>
      <c r="J168" s="109" t="s">
        <v>112</v>
      </c>
      <c r="K168" s="109">
        <v>955.02</v>
      </c>
      <c r="L168" s="109">
        <v>1326.6431037839902</v>
      </c>
      <c r="M168" s="243"/>
      <c r="N168" s="243"/>
    </row>
    <row r="169" spans="1:14" x14ac:dyDescent="0.2">
      <c r="A169" s="104">
        <v>168</v>
      </c>
      <c r="B169" s="104" t="s">
        <v>82</v>
      </c>
      <c r="C169" s="104" t="s">
        <v>110</v>
      </c>
      <c r="D169" s="104">
        <v>2301</v>
      </c>
      <c r="E169" s="104">
        <v>134.94</v>
      </c>
      <c r="F169" s="245">
        <f>SUM(E169:E179)</f>
        <v>1724.1100000000001</v>
      </c>
      <c r="G169" s="104" t="s">
        <v>83</v>
      </c>
      <c r="H169" s="104" t="s">
        <v>108</v>
      </c>
      <c r="I169" s="105">
        <v>20</v>
      </c>
      <c r="J169" s="106" t="s">
        <v>112</v>
      </c>
      <c r="K169" s="106">
        <v>623.63</v>
      </c>
      <c r="L169" s="106">
        <v>866.30064167536796</v>
      </c>
      <c r="M169" s="242">
        <v>11068.555895113019</v>
      </c>
      <c r="N169" s="242">
        <f>ROUND(M169*10000/F169,0)</f>
        <v>64199</v>
      </c>
    </row>
    <row r="170" spans="1:14" x14ac:dyDescent="0.2">
      <c r="A170" s="104">
        <v>169</v>
      </c>
      <c r="B170" s="104" t="s">
        <v>82</v>
      </c>
      <c r="C170" s="104" t="s">
        <v>110</v>
      </c>
      <c r="D170" s="104">
        <v>2302</v>
      </c>
      <c r="E170" s="104">
        <v>216.1</v>
      </c>
      <c r="F170" s="246"/>
      <c r="G170" s="104" t="s">
        <v>83</v>
      </c>
      <c r="H170" s="104" t="s">
        <v>108</v>
      </c>
      <c r="I170" s="105">
        <v>20</v>
      </c>
      <c r="J170" s="106" t="s">
        <v>112</v>
      </c>
      <c r="K170" s="106">
        <v>998.71</v>
      </c>
      <c r="L170" s="106">
        <v>1387.3340183243376</v>
      </c>
      <c r="M170" s="242"/>
      <c r="N170" s="242"/>
    </row>
    <row r="171" spans="1:14" x14ac:dyDescent="0.2">
      <c r="A171" s="104">
        <v>170</v>
      </c>
      <c r="B171" s="104" t="s">
        <v>82</v>
      </c>
      <c r="C171" s="104" t="s">
        <v>110</v>
      </c>
      <c r="D171" s="104">
        <v>2303</v>
      </c>
      <c r="E171" s="104">
        <v>133.08000000000001</v>
      </c>
      <c r="F171" s="246"/>
      <c r="G171" s="104" t="s">
        <v>83</v>
      </c>
      <c r="H171" s="104" t="s">
        <v>108</v>
      </c>
      <c r="I171" s="105">
        <v>20</v>
      </c>
      <c r="J171" s="106" t="s">
        <v>112</v>
      </c>
      <c r="K171" s="106">
        <v>615.03</v>
      </c>
      <c r="L171" s="106">
        <v>854.3541581540361</v>
      </c>
      <c r="M171" s="242"/>
      <c r="N171" s="242"/>
    </row>
    <row r="172" spans="1:14" x14ac:dyDescent="0.2">
      <c r="A172" s="104">
        <v>171</v>
      </c>
      <c r="B172" s="104" t="s">
        <v>82</v>
      </c>
      <c r="C172" s="104" t="s">
        <v>110</v>
      </c>
      <c r="D172" s="104">
        <v>2305</v>
      </c>
      <c r="E172" s="104">
        <v>194.77</v>
      </c>
      <c r="F172" s="246"/>
      <c r="G172" s="104" t="s">
        <v>83</v>
      </c>
      <c r="H172" s="104" t="s">
        <v>108</v>
      </c>
      <c r="I172" s="105">
        <v>20</v>
      </c>
      <c r="J172" s="106" t="s">
        <v>112</v>
      </c>
      <c r="K172" s="106">
        <v>900.13</v>
      </c>
      <c r="L172" s="106">
        <v>1250.3939781460945</v>
      </c>
      <c r="M172" s="242"/>
      <c r="N172" s="242"/>
    </row>
    <row r="173" spans="1:14" x14ac:dyDescent="0.2">
      <c r="A173" s="104">
        <v>172</v>
      </c>
      <c r="B173" s="104" t="s">
        <v>82</v>
      </c>
      <c r="C173" s="104" t="s">
        <v>110</v>
      </c>
      <c r="D173" s="104">
        <v>2306</v>
      </c>
      <c r="E173" s="104">
        <v>145.26</v>
      </c>
      <c r="F173" s="246"/>
      <c r="G173" s="104" t="s">
        <v>83</v>
      </c>
      <c r="H173" s="104" t="s">
        <v>108</v>
      </c>
      <c r="I173" s="105">
        <v>20</v>
      </c>
      <c r="J173" s="106" t="s">
        <v>112</v>
      </c>
      <c r="K173" s="106">
        <v>671.32</v>
      </c>
      <c r="L173" s="106">
        <v>932.5480601791254</v>
      </c>
      <c r="M173" s="242"/>
      <c r="N173" s="242"/>
    </row>
    <row r="174" spans="1:14" x14ac:dyDescent="0.2">
      <c r="A174" s="104">
        <v>173</v>
      </c>
      <c r="B174" s="104" t="s">
        <v>82</v>
      </c>
      <c r="C174" s="104" t="s">
        <v>110</v>
      </c>
      <c r="D174" s="104">
        <v>2307</v>
      </c>
      <c r="E174" s="104">
        <v>139.97999999999999</v>
      </c>
      <c r="F174" s="246"/>
      <c r="G174" s="104" t="s">
        <v>83</v>
      </c>
      <c r="H174" s="104" t="s">
        <v>108</v>
      </c>
      <c r="I174" s="105">
        <v>20</v>
      </c>
      <c r="J174" s="106" t="s">
        <v>112</v>
      </c>
      <c r="K174" s="106">
        <v>646.91999999999996</v>
      </c>
      <c r="L174" s="106">
        <v>898.65338600232349</v>
      </c>
      <c r="M174" s="242"/>
      <c r="N174" s="242"/>
    </row>
    <row r="175" spans="1:14" x14ac:dyDescent="0.2">
      <c r="A175" s="104">
        <v>174</v>
      </c>
      <c r="B175" s="104" t="s">
        <v>82</v>
      </c>
      <c r="C175" s="104" t="s">
        <v>110</v>
      </c>
      <c r="D175" s="104">
        <v>2308</v>
      </c>
      <c r="E175" s="104">
        <v>135.16999999999999</v>
      </c>
      <c r="F175" s="246"/>
      <c r="G175" s="104" t="s">
        <v>83</v>
      </c>
      <c r="H175" s="104" t="s">
        <v>108</v>
      </c>
      <c r="I175" s="105">
        <v>20</v>
      </c>
      <c r="J175" s="106" t="s">
        <v>112</v>
      </c>
      <c r="K175" s="106">
        <v>624.69000000000005</v>
      </c>
      <c r="L175" s="106">
        <v>867.77311522567163</v>
      </c>
      <c r="M175" s="242"/>
      <c r="N175" s="242"/>
    </row>
    <row r="176" spans="1:14" x14ac:dyDescent="0.2">
      <c r="A176" s="104">
        <v>175</v>
      </c>
      <c r="B176" s="104" t="s">
        <v>82</v>
      </c>
      <c r="C176" s="104" t="s">
        <v>110</v>
      </c>
      <c r="D176" s="104">
        <v>2309</v>
      </c>
      <c r="E176" s="104">
        <v>135.16999999999999</v>
      </c>
      <c r="F176" s="246"/>
      <c r="G176" s="104" t="s">
        <v>83</v>
      </c>
      <c r="H176" s="104" t="s">
        <v>108</v>
      </c>
      <c r="I176" s="105">
        <v>20</v>
      </c>
      <c r="J176" s="106" t="s">
        <v>112</v>
      </c>
      <c r="K176" s="106">
        <v>624.69000000000005</v>
      </c>
      <c r="L176" s="106">
        <v>867.77311522567163</v>
      </c>
      <c r="M176" s="242"/>
      <c r="N176" s="242"/>
    </row>
    <row r="177" spans="1:14" x14ac:dyDescent="0.2">
      <c r="A177" s="104">
        <v>176</v>
      </c>
      <c r="B177" s="104" t="s">
        <v>82</v>
      </c>
      <c r="C177" s="104" t="s">
        <v>110</v>
      </c>
      <c r="D177" s="104">
        <v>2310</v>
      </c>
      <c r="E177" s="104">
        <v>139.97999999999999</v>
      </c>
      <c r="F177" s="246"/>
      <c r="G177" s="104" t="s">
        <v>83</v>
      </c>
      <c r="H177" s="104" t="s">
        <v>108</v>
      </c>
      <c r="I177" s="105">
        <v>20</v>
      </c>
      <c r="J177" s="106" t="s">
        <v>112</v>
      </c>
      <c r="K177" s="106">
        <v>646.91999999999996</v>
      </c>
      <c r="L177" s="106">
        <v>898.65338600232349</v>
      </c>
      <c r="M177" s="242"/>
      <c r="N177" s="242"/>
    </row>
    <row r="178" spans="1:14" x14ac:dyDescent="0.2">
      <c r="A178" s="104">
        <v>177</v>
      </c>
      <c r="B178" s="104" t="s">
        <v>82</v>
      </c>
      <c r="C178" s="104" t="s">
        <v>110</v>
      </c>
      <c r="D178" s="104">
        <v>2311</v>
      </c>
      <c r="E178" s="104">
        <v>138.9</v>
      </c>
      <c r="F178" s="246"/>
      <c r="G178" s="104" t="s">
        <v>83</v>
      </c>
      <c r="H178" s="104" t="s">
        <v>108</v>
      </c>
      <c r="I178" s="105">
        <v>20</v>
      </c>
      <c r="J178" s="106" t="s">
        <v>112</v>
      </c>
      <c r="K178" s="106">
        <v>641.92999999999995</v>
      </c>
      <c r="L178" s="106">
        <v>891.72164730796919</v>
      </c>
      <c r="M178" s="242"/>
      <c r="N178" s="242"/>
    </row>
    <row r="179" spans="1:14" x14ac:dyDescent="0.2">
      <c r="A179" s="104">
        <v>178</v>
      </c>
      <c r="B179" s="104" t="s">
        <v>82</v>
      </c>
      <c r="C179" s="104" t="s">
        <v>110</v>
      </c>
      <c r="D179" s="104">
        <v>2312</v>
      </c>
      <c r="E179" s="104">
        <v>210.76</v>
      </c>
      <c r="F179" s="247"/>
      <c r="G179" s="104" t="s">
        <v>83</v>
      </c>
      <c r="H179" s="104" t="s">
        <v>108</v>
      </c>
      <c r="I179" s="105">
        <v>20</v>
      </c>
      <c r="J179" s="106" t="s">
        <v>112</v>
      </c>
      <c r="K179" s="106">
        <v>974.03</v>
      </c>
      <c r="L179" s="106">
        <v>1353.0503888700969</v>
      </c>
      <c r="M179" s="242"/>
      <c r="N179" s="242"/>
    </row>
    <row r="180" spans="1:14" x14ac:dyDescent="0.2">
      <c r="A180" s="107">
        <v>179</v>
      </c>
      <c r="B180" s="107" t="s">
        <v>82</v>
      </c>
      <c r="C180" s="107" t="s">
        <v>110</v>
      </c>
      <c r="D180" s="107">
        <v>2510</v>
      </c>
      <c r="E180" s="107">
        <v>139.77000000000001</v>
      </c>
      <c r="F180" s="248">
        <f>SUM(E180:E189)</f>
        <v>1633.13</v>
      </c>
      <c r="G180" s="107" t="s">
        <v>83</v>
      </c>
      <c r="H180" s="107" t="s">
        <v>108</v>
      </c>
      <c r="I180" s="108">
        <v>21</v>
      </c>
      <c r="J180" s="109" t="s">
        <v>112</v>
      </c>
      <c r="K180" s="257">
        <v>2841.79</v>
      </c>
      <c r="L180" s="257">
        <v>3947.6043495448325</v>
      </c>
      <c r="M180" s="243">
        <v>10420.22301266232</v>
      </c>
      <c r="N180" s="243">
        <f>ROUND(M180*10000/F180,0)</f>
        <v>63805</v>
      </c>
    </row>
    <row r="181" spans="1:14" x14ac:dyDescent="0.2">
      <c r="A181" s="107">
        <v>180</v>
      </c>
      <c r="B181" s="107" t="s">
        <v>82</v>
      </c>
      <c r="C181" s="107" t="s">
        <v>110</v>
      </c>
      <c r="D181" s="107">
        <v>2511</v>
      </c>
      <c r="E181" s="107">
        <v>138.9</v>
      </c>
      <c r="F181" s="249"/>
      <c r="G181" s="107" t="s">
        <v>83</v>
      </c>
      <c r="H181" s="107" t="s">
        <v>108</v>
      </c>
      <c r="I181" s="108">
        <v>21</v>
      </c>
      <c r="J181" s="109" t="s">
        <v>112</v>
      </c>
      <c r="K181" s="257"/>
      <c r="L181" s="257"/>
      <c r="M181" s="243"/>
      <c r="N181" s="243"/>
    </row>
    <row r="182" spans="1:14" x14ac:dyDescent="0.2">
      <c r="A182" s="107">
        <v>181</v>
      </c>
      <c r="B182" s="107" t="s">
        <v>82</v>
      </c>
      <c r="C182" s="107" t="s">
        <v>110</v>
      </c>
      <c r="D182" s="107">
        <v>2512</v>
      </c>
      <c r="E182" s="107">
        <v>210.76</v>
      </c>
      <c r="F182" s="249"/>
      <c r="G182" s="107" t="s">
        <v>83</v>
      </c>
      <c r="H182" s="107" t="s">
        <v>108</v>
      </c>
      <c r="I182" s="108">
        <v>21</v>
      </c>
      <c r="J182" s="109" t="s">
        <v>112</v>
      </c>
      <c r="K182" s="257"/>
      <c r="L182" s="257"/>
      <c r="M182" s="243"/>
      <c r="N182" s="243"/>
    </row>
    <row r="183" spans="1:14" x14ac:dyDescent="0.2">
      <c r="A183" s="107">
        <v>182</v>
      </c>
      <c r="B183" s="107" t="s">
        <v>82</v>
      </c>
      <c r="C183" s="107" t="s">
        <v>110</v>
      </c>
      <c r="D183" s="107">
        <v>2501</v>
      </c>
      <c r="E183" s="107">
        <v>134.94</v>
      </c>
      <c r="F183" s="249"/>
      <c r="G183" s="107" t="s">
        <v>83</v>
      </c>
      <c r="H183" s="107" t="s">
        <v>108</v>
      </c>
      <c r="I183" s="108">
        <v>21</v>
      </c>
      <c r="J183" s="109" t="s">
        <v>112</v>
      </c>
      <c r="K183" s="257"/>
      <c r="L183" s="257"/>
      <c r="M183" s="243"/>
      <c r="N183" s="243"/>
    </row>
    <row r="184" spans="1:14" x14ac:dyDescent="0.2">
      <c r="A184" s="107">
        <v>183</v>
      </c>
      <c r="B184" s="107" t="s">
        <v>82</v>
      </c>
      <c r="C184" s="107" t="s">
        <v>110</v>
      </c>
      <c r="D184" s="107">
        <v>2502</v>
      </c>
      <c r="E184" s="107">
        <v>209.77</v>
      </c>
      <c r="F184" s="249"/>
      <c r="G184" s="107" t="s">
        <v>83</v>
      </c>
      <c r="H184" s="107" t="s">
        <v>108</v>
      </c>
      <c r="I184" s="108">
        <v>21</v>
      </c>
      <c r="J184" s="109" t="s">
        <v>112</v>
      </c>
      <c r="K184" s="109">
        <v>966.94</v>
      </c>
      <c r="L184" s="109">
        <v>1343.2014855949524</v>
      </c>
      <c r="M184" s="243"/>
      <c r="N184" s="243"/>
    </row>
    <row r="185" spans="1:14" x14ac:dyDescent="0.2">
      <c r="A185" s="107">
        <v>184</v>
      </c>
      <c r="B185" s="107" t="s">
        <v>82</v>
      </c>
      <c r="C185" s="107" t="s">
        <v>110</v>
      </c>
      <c r="D185" s="107">
        <v>2505</v>
      </c>
      <c r="E185" s="107">
        <v>243.41</v>
      </c>
      <c r="F185" s="249"/>
      <c r="G185" s="107" t="s">
        <v>83</v>
      </c>
      <c r="H185" s="107" t="s">
        <v>108</v>
      </c>
      <c r="I185" s="108">
        <v>21</v>
      </c>
      <c r="J185" s="109" t="s">
        <v>112</v>
      </c>
      <c r="K185" s="109">
        <v>1124.93</v>
      </c>
      <c r="L185" s="109">
        <v>1562.669500889745</v>
      </c>
      <c r="M185" s="243"/>
      <c r="N185" s="243"/>
    </row>
    <row r="186" spans="1:14" x14ac:dyDescent="0.2">
      <c r="A186" s="107">
        <v>185</v>
      </c>
      <c r="B186" s="107" t="s">
        <v>82</v>
      </c>
      <c r="C186" s="107" t="s">
        <v>110</v>
      </c>
      <c r="D186" s="107">
        <v>2506</v>
      </c>
      <c r="E186" s="107">
        <v>145.26</v>
      </c>
      <c r="F186" s="249"/>
      <c r="G186" s="107" t="s">
        <v>83</v>
      </c>
      <c r="H186" s="107" t="s">
        <v>108</v>
      </c>
      <c r="I186" s="108">
        <v>21</v>
      </c>
      <c r="J186" s="109" t="s">
        <v>112</v>
      </c>
      <c r="K186" s="109">
        <v>671.32</v>
      </c>
      <c r="L186" s="109">
        <v>932.5480601791254</v>
      </c>
      <c r="M186" s="243"/>
      <c r="N186" s="243"/>
    </row>
    <row r="187" spans="1:14" x14ac:dyDescent="0.2">
      <c r="A187" s="107">
        <v>186</v>
      </c>
      <c r="B187" s="107" t="s">
        <v>82</v>
      </c>
      <c r="C187" s="107" t="s">
        <v>110</v>
      </c>
      <c r="D187" s="107">
        <v>2507</v>
      </c>
      <c r="E187" s="107">
        <v>139.97999999999999</v>
      </c>
      <c r="F187" s="249"/>
      <c r="G187" s="107" t="s">
        <v>83</v>
      </c>
      <c r="H187" s="107" t="s">
        <v>108</v>
      </c>
      <c r="I187" s="108">
        <v>21</v>
      </c>
      <c r="J187" s="109" t="s">
        <v>112</v>
      </c>
      <c r="K187" s="109">
        <v>646.91999999999996</v>
      </c>
      <c r="L187" s="109">
        <v>898.65338600232349</v>
      </c>
      <c r="M187" s="243"/>
      <c r="N187" s="243"/>
    </row>
    <row r="188" spans="1:14" x14ac:dyDescent="0.2">
      <c r="A188" s="107">
        <v>187</v>
      </c>
      <c r="B188" s="107" t="s">
        <v>82</v>
      </c>
      <c r="C188" s="107" t="s">
        <v>110</v>
      </c>
      <c r="D188" s="107">
        <v>2508</v>
      </c>
      <c r="E188" s="107">
        <v>135.16999999999999</v>
      </c>
      <c r="F188" s="249"/>
      <c r="G188" s="107" t="s">
        <v>83</v>
      </c>
      <c r="H188" s="107" t="s">
        <v>108</v>
      </c>
      <c r="I188" s="108">
        <v>21</v>
      </c>
      <c r="J188" s="109" t="s">
        <v>112</v>
      </c>
      <c r="K188" s="109">
        <v>624.69000000000005</v>
      </c>
      <c r="L188" s="109">
        <v>867.77311522567163</v>
      </c>
      <c r="M188" s="243"/>
      <c r="N188" s="243"/>
    </row>
    <row r="189" spans="1:14" x14ac:dyDescent="0.2">
      <c r="A189" s="107">
        <v>188</v>
      </c>
      <c r="B189" s="107" t="s">
        <v>82</v>
      </c>
      <c r="C189" s="107" t="s">
        <v>110</v>
      </c>
      <c r="D189" s="107">
        <v>2509</v>
      </c>
      <c r="E189" s="107">
        <v>135.16999999999999</v>
      </c>
      <c r="F189" s="250"/>
      <c r="G189" s="107" t="s">
        <v>83</v>
      </c>
      <c r="H189" s="107" t="s">
        <v>108</v>
      </c>
      <c r="I189" s="108">
        <v>21</v>
      </c>
      <c r="J189" s="109" t="s">
        <v>112</v>
      </c>
      <c r="K189" s="109">
        <v>624.69000000000005</v>
      </c>
      <c r="L189" s="109">
        <v>867.77311522567163</v>
      </c>
      <c r="M189" s="243"/>
      <c r="N189" s="243"/>
    </row>
    <row r="190" spans="1:14" x14ac:dyDescent="0.2">
      <c r="A190" s="104">
        <v>189</v>
      </c>
      <c r="B190" s="104" t="s">
        <v>82</v>
      </c>
      <c r="C190" s="104" t="s">
        <v>110</v>
      </c>
      <c r="D190" s="104">
        <v>2601</v>
      </c>
      <c r="E190" s="104">
        <v>134.94</v>
      </c>
      <c r="F190" s="245">
        <f>SUM(E190:E200)</f>
        <v>1715.5500000000002</v>
      </c>
      <c r="G190" s="104" t="s">
        <v>83</v>
      </c>
      <c r="H190" s="104" t="s">
        <v>108</v>
      </c>
      <c r="I190" s="105">
        <v>22</v>
      </c>
      <c r="J190" s="106" t="s">
        <v>112</v>
      </c>
      <c r="K190" s="256">
        <v>2164.3000000000002</v>
      </c>
      <c r="L190" s="256">
        <v>3006.4853820021472</v>
      </c>
      <c r="M190" s="242">
        <v>10896.276489727486</v>
      </c>
      <c r="N190" s="242">
        <f>ROUND(M190*10000/F190,0)</f>
        <v>63515</v>
      </c>
    </row>
    <row r="191" spans="1:14" x14ac:dyDescent="0.2">
      <c r="A191" s="104">
        <v>190</v>
      </c>
      <c r="B191" s="104" t="s">
        <v>82</v>
      </c>
      <c r="C191" s="104" t="s">
        <v>110</v>
      </c>
      <c r="D191" s="104">
        <v>2602</v>
      </c>
      <c r="E191" s="104">
        <v>208.66</v>
      </c>
      <c r="F191" s="246"/>
      <c r="G191" s="104" t="s">
        <v>83</v>
      </c>
      <c r="H191" s="104" t="s">
        <v>108</v>
      </c>
      <c r="I191" s="105">
        <v>22</v>
      </c>
      <c r="J191" s="106" t="s">
        <v>112</v>
      </c>
      <c r="K191" s="256"/>
      <c r="L191" s="256"/>
      <c r="M191" s="242"/>
      <c r="N191" s="242"/>
    </row>
    <row r="192" spans="1:14" x14ac:dyDescent="0.2">
      <c r="A192" s="104">
        <v>191</v>
      </c>
      <c r="B192" s="104" t="s">
        <v>82</v>
      </c>
      <c r="C192" s="104" t="s">
        <v>110</v>
      </c>
      <c r="D192" s="104">
        <v>2603</v>
      </c>
      <c r="E192" s="104">
        <v>133.68</v>
      </c>
      <c r="F192" s="246"/>
      <c r="G192" s="104" t="s">
        <v>83</v>
      </c>
      <c r="H192" s="104" t="s">
        <v>108</v>
      </c>
      <c r="I192" s="105">
        <v>22</v>
      </c>
      <c r="J192" s="106" t="s">
        <v>112</v>
      </c>
      <c r="K192" s="256"/>
      <c r="L192" s="256"/>
      <c r="M192" s="242"/>
      <c r="N192" s="242"/>
    </row>
    <row r="193" spans="1:14" x14ac:dyDescent="0.2">
      <c r="A193" s="104">
        <v>192</v>
      </c>
      <c r="B193" s="104" t="s">
        <v>82</v>
      </c>
      <c r="C193" s="104" t="s">
        <v>110</v>
      </c>
      <c r="D193" s="104">
        <v>2606</v>
      </c>
      <c r="E193" s="104">
        <v>145.26</v>
      </c>
      <c r="F193" s="246"/>
      <c r="G193" s="104" t="s">
        <v>83</v>
      </c>
      <c r="H193" s="104" t="s">
        <v>108</v>
      </c>
      <c r="I193" s="105">
        <v>22</v>
      </c>
      <c r="J193" s="106" t="s">
        <v>112</v>
      </c>
      <c r="K193" s="106">
        <v>671.32</v>
      </c>
      <c r="L193" s="106">
        <v>932.5480601791254</v>
      </c>
      <c r="M193" s="242"/>
      <c r="N193" s="242"/>
    </row>
    <row r="194" spans="1:14" x14ac:dyDescent="0.2">
      <c r="A194" s="104">
        <v>193</v>
      </c>
      <c r="B194" s="104" t="s">
        <v>82</v>
      </c>
      <c r="C194" s="104" t="s">
        <v>110</v>
      </c>
      <c r="D194" s="104">
        <v>2607</v>
      </c>
      <c r="E194" s="104">
        <v>139.97999999999999</v>
      </c>
      <c r="F194" s="246"/>
      <c r="G194" s="104" t="s">
        <v>83</v>
      </c>
      <c r="H194" s="104" t="s">
        <v>108</v>
      </c>
      <c r="I194" s="105">
        <v>22</v>
      </c>
      <c r="J194" s="106" t="s">
        <v>112</v>
      </c>
      <c r="K194" s="256">
        <v>1262.8699999999999</v>
      </c>
      <c r="L194" s="256">
        <v>1754.2855400679439</v>
      </c>
      <c r="M194" s="242"/>
      <c r="N194" s="242"/>
    </row>
    <row r="195" spans="1:14" x14ac:dyDescent="0.2">
      <c r="A195" s="104">
        <v>194</v>
      </c>
      <c r="B195" s="104" t="s">
        <v>82</v>
      </c>
      <c r="C195" s="104" t="s">
        <v>110</v>
      </c>
      <c r="D195" s="104">
        <v>2608</v>
      </c>
      <c r="E195" s="104">
        <v>135.16999999999999</v>
      </c>
      <c r="F195" s="246"/>
      <c r="G195" s="104" t="s">
        <v>83</v>
      </c>
      <c r="H195" s="104" t="s">
        <v>108</v>
      </c>
      <c r="I195" s="105">
        <v>22</v>
      </c>
      <c r="J195" s="106" t="s">
        <v>112</v>
      </c>
      <c r="K195" s="256"/>
      <c r="L195" s="256"/>
      <c r="M195" s="242"/>
      <c r="N195" s="242"/>
    </row>
    <row r="196" spans="1:14" x14ac:dyDescent="0.2">
      <c r="A196" s="104">
        <v>195</v>
      </c>
      <c r="B196" s="104" t="s">
        <v>82</v>
      </c>
      <c r="C196" s="104" t="s">
        <v>110</v>
      </c>
      <c r="D196" s="104">
        <v>2605</v>
      </c>
      <c r="E196" s="104">
        <v>193.75</v>
      </c>
      <c r="F196" s="246"/>
      <c r="G196" s="104" t="s">
        <v>83</v>
      </c>
      <c r="H196" s="104" t="s">
        <v>108</v>
      </c>
      <c r="I196" s="105">
        <v>22</v>
      </c>
      <c r="J196" s="106" t="s">
        <v>112</v>
      </c>
      <c r="K196" s="106">
        <v>878.59</v>
      </c>
      <c r="L196" s="106">
        <v>1220.4722043031309</v>
      </c>
      <c r="M196" s="242"/>
      <c r="N196" s="242"/>
    </row>
    <row r="197" spans="1:14" x14ac:dyDescent="0.2">
      <c r="A197" s="104">
        <v>196</v>
      </c>
      <c r="B197" s="104" t="s">
        <v>82</v>
      </c>
      <c r="C197" s="104" t="s">
        <v>110</v>
      </c>
      <c r="D197" s="104">
        <v>2609</v>
      </c>
      <c r="E197" s="104">
        <v>135.16999999999999</v>
      </c>
      <c r="F197" s="246"/>
      <c r="G197" s="104" t="s">
        <v>83</v>
      </c>
      <c r="H197" s="104" t="s">
        <v>108</v>
      </c>
      <c r="I197" s="105">
        <v>22</v>
      </c>
      <c r="J197" s="106" t="s">
        <v>112</v>
      </c>
      <c r="K197" s="256">
        <v>1250.94</v>
      </c>
      <c r="L197" s="256">
        <v>1737.7132669970731</v>
      </c>
      <c r="M197" s="242"/>
      <c r="N197" s="242"/>
    </row>
    <row r="198" spans="1:14" x14ac:dyDescent="0.2">
      <c r="A198" s="104">
        <v>197</v>
      </c>
      <c r="B198" s="104" t="s">
        <v>82</v>
      </c>
      <c r="C198" s="104" t="s">
        <v>110</v>
      </c>
      <c r="D198" s="104">
        <v>2610</v>
      </c>
      <c r="E198" s="104">
        <v>139.28</v>
      </c>
      <c r="F198" s="246"/>
      <c r="G198" s="104" t="s">
        <v>83</v>
      </c>
      <c r="H198" s="104" t="s">
        <v>108</v>
      </c>
      <c r="I198" s="105">
        <v>22</v>
      </c>
      <c r="J198" s="106" t="s">
        <v>112</v>
      </c>
      <c r="K198" s="256"/>
      <c r="L198" s="256"/>
      <c r="M198" s="242"/>
      <c r="N198" s="242"/>
    </row>
    <row r="199" spans="1:14" x14ac:dyDescent="0.2">
      <c r="A199" s="104">
        <v>198</v>
      </c>
      <c r="B199" s="104" t="s">
        <v>82</v>
      </c>
      <c r="C199" s="104" t="s">
        <v>110</v>
      </c>
      <c r="D199" s="104">
        <v>2611</v>
      </c>
      <c r="E199" s="104">
        <v>138.9</v>
      </c>
      <c r="F199" s="246"/>
      <c r="G199" s="104" t="s">
        <v>83</v>
      </c>
      <c r="H199" s="104" t="s">
        <v>108</v>
      </c>
      <c r="I199" s="105">
        <v>22</v>
      </c>
      <c r="J199" s="106" t="s">
        <v>112</v>
      </c>
      <c r="K199" s="106">
        <v>641.92999999999995</v>
      </c>
      <c r="L199" s="106">
        <v>891.72164730796919</v>
      </c>
      <c r="M199" s="242"/>
      <c r="N199" s="242"/>
    </row>
    <row r="200" spans="1:14" x14ac:dyDescent="0.2">
      <c r="A200" s="104">
        <v>199</v>
      </c>
      <c r="B200" s="104" t="s">
        <v>82</v>
      </c>
      <c r="C200" s="104" t="s">
        <v>110</v>
      </c>
      <c r="D200" s="104">
        <v>2612</v>
      </c>
      <c r="E200" s="104">
        <v>210.76</v>
      </c>
      <c r="F200" s="247"/>
      <c r="G200" s="104" t="s">
        <v>83</v>
      </c>
      <c r="H200" s="104" t="s">
        <v>108</v>
      </c>
      <c r="I200" s="105">
        <v>22</v>
      </c>
      <c r="J200" s="106" t="s">
        <v>112</v>
      </c>
      <c r="K200" s="106">
        <v>974.03</v>
      </c>
      <c r="L200" s="106">
        <v>1353.0503888700969</v>
      </c>
      <c r="M200" s="242"/>
      <c r="N200" s="242"/>
    </row>
    <row r="201" spans="1:14" x14ac:dyDescent="0.2">
      <c r="A201" s="107">
        <v>200</v>
      </c>
      <c r="B201" s="107" t="s">
        <v>82</v>
      </c>
      <c r="C201" s="107" t="s">
        <v>110</v>
      </c>
      <c r="D201" s="107">
        <v>2701</v>
      </c>
      <c r="E201" s="107">
        <v>134.94</v>
      </c>
      <c r="F201" s="248">
        <f>SUM(E201:E210)</f>
        <v>1628.04</v>
      </c>
      <c r="G201" s="107" t="s">
        <v>83</v>
      </c>
      <c r="H201" s="107" t="s">
        <v>108</v>
      </c>
      <c r="I201" s="108">
        <v>23</v>
      </c>
      <c r="J201" s="109" t="s">
        <v>112</v>
      </c>
      <c r="K201" s="109">
        <v>623.63</v>
      </c>
      <c r="L201" s="109">
        <v>866.30064167536796</v>
      </c>
      <c r="M201" s="243">
        <v>10399.872316896332</v>
      </c>
      <c r="N201" s="243">
        <f>ROUND(M201*10000/F201,0)</f>
        <v>63880</v>
      </c>
    </row>
    <row r="202" spans="1:14" x14ac:dyDescent="0.2">
      <c r="A202" s="107">
        <v>201</v>
      </c>
      <c r="B202" s="107" t="s">
        <v>82</v>
      </c>
      <c r="C202" s="107" t="s">
        <v>110</v>
      </c>
      <c r="D202" s="107">
        <v>2702</v>
      </c>
      <c r="E202" s="107">
        <v>216.1</v>
      </c>
      <c r="F202" s="249"/>
      <c r="G202" s="107" t="s">
        <v>83</v>
      </c>
      <c r="H202" s="107" t="s">
        <v>108</v>
      </c>
      <c r="I202" s="108">
        <v>23</v>
      </c>
      <c r="J202" s="109" t="s">
        <v>112</v>
      </c>
      <c r="K202" s="109">
        <v>998.71</v>
      </c>
      <c r="L202" s="109">
        <v>1387.3340183243376</v>
      </c>
      <c r="M202" s="243"/>
      <c r="N202" s="243"/>
    </row>
    <row r="203" spans="1:14" x14ac:dyDescent="0.2">
      <c r="A203" s="107">
        <v>202</v>
      </c>
      <c r="B203" s="107" t="s">
        <v>82</v>
      </c>
      <c r="C203" s="107" t="s">
        <v>110</v>
      </c>
      <c r="D203" s="107">
        <v>2703</v>
      </c>
      <c r="E203" s="107">
        <v>218.02</v>
      </c>
      <c r="F203" s="249"/>
      <c r="G203" s="107" t="s">
        <v>83</v>
      </c>
      <c r="H203" s="107" t="s">
        <v>108</v>
      </c>
      <c r="I203" s="108">
        <v>23</v>
      </c>
      <c r="J203" s="109" t="s">
        <v>112</v>
      </c>
      <c r="K203" s="109">
        <v>1007.58</v>
      </c>
      <c r="L203" s="109">
        <v>1399.6555658631996</v>
      </c>
      <c r="M203" s="243"/>
      <c r="N203" s="243"/>
    </row>
    <row r="204" spans="1:14" x14ac:dyDescent="0.2">
      <c r="A204" s="107">
        <v>203</v>
      </c>
      <c r="B204" s="107" t="s">
        <v>82</v>
      </c>
      <c r="C204" s="107" t="s">
        <v>110</v>
      </c>
      <c r="D204" s="107">
        <v>2706</v>
      </c>
      <c r="E204" s="107">
        <v>160.22</v>
      </c>
      <c r="F204" s="249"/>
      <c r="G204" s="107" t="s">
        <v>83</v>
      </c>
      <c r="H204" s="107" t="s">
        <v>108</v>
      </c>
      <c r="I204" s="108">
        <v>23</v>
      </c>
      <c r="J204" s="109" t="s">
        <v>112</v>
      </c>
      <c r="K204" s="257">
        <v>2607.63</v>
      </c>
      <c r="L204" s="257">
        <v>3622.3266075268025</v>
      </c>
      <c r="M204" s="243"/>
      <c r="N204" s="243"/>
    </row>
    <row r="205" spans="1:14" x14ac:dyDescent="0.2">
      <c r="A205" s="107">
        <v>204</v>
      </c>
      <c r="B205" s="107" t="s">
        <v>82</v>
      </c>
      <c r="C205" s="107" t="s">
        <v>110</v>
      </c>
      <c r="D205" s="107">
        <v>2707</v>
      </c>
      <c r="E205" s="107">
        <v>139.97999999999999</v>
      </c>
      <c r="F205" s="249"/>
      <c r="G205" s="107" t="s">
        <v>83</v>
      </c>
      <c r="H205" s="107" t="s">
        <v>108</v>
      </c>
      <c r="I205" s="108">
        <v>23</v>
      </c>
      <c r="J205" s="109" t="s">
        <v>112</v>
      </c>
      <c r="K205" s="257"/>
      <c r="L205" s="257"/>
      <c r="M205" s="243"/>
      <c r="N205" s="243"/>
    </row>
    <row r="206" spans="1:14" x14ac:dyDescent="0.2">
      <c r="A206" s="107">
        <v>205</v>
      </c>
      <c r="B206" s="107" t="s">
        <v>82</v>
      </c>
      <c r="C206" s="107" t="s">
        <v>110</v>
      </c>
      <c r="D206" s="107">
        <v>2708</v>
      </c>
      <c r="E206" s="107">
        <v>135.16999999999999</v>
      </c>
      <c r="F206" s="249"/>
      <c r="G206" s="107" t="s">
        <v>83</v>
      </c>
      <c r="H206" s="107" t="s">
        <v>108</v>
      </c>
      <c r="I206" s="108">
        <v>23</v>
      </c>
      <c r="J206" s="109" t="s">
        <v>112</v>
      </c>
      <c r="K206" s="257"/>
      <c r="L206" s="257"/>
      <c r="M206" s="243"/>
      <c r="N206" s="243"/>
    </row>
    <row r="207" spans="1:14" x14ac:dyDescent="0.2">
      <c r="A207" s="107">
        <v>206</v>
      </c>
      <c r="B207" s="107" t="s">
        <v>82</v>
      </c>
      <c r="C207" s="107" t="s">
        <v>110</v>
      </c>
      <c r="D207" s="107">
        <v>2709</v>
      </c>
      <c r="E207" s="107">
        <v>135.16999999999999</v>
      </c>
      <c r="F207" s="249"/>
      <c r="G207" s="107" t="s">
        <v>83</v>
      </c>
      <c r="H207" s="107" t="s">
        <v>108</v>
      </c>
      <c r="I207" s="108">
        <v>23</v>
      </c>
      <c r="J207" s="109" t="s">
        <v>112</v>
      </c>
      <c r="K207" s="257"/>
      <c r="L207" s="257"/>
      <c r="M207" s="243"/>
      <c r="N207" s="243"/>
    </row>
    <row r="208" spans="1:14" x14ac:dyDescent="0.2">
      <c r="A208" s="107">
        <v>207</v>
      </c>
      <c r="B208" s="107" t="s">
        <v>82</v>
      </c>
      <c r="C208" s="107" t="s">
        <v>110</v>
      </c>
      <c r="D208" s="107">
        <v>2710</v>
      </c>
      <c r="E208" s="107">
        <v>138.78</v>
      </c>
      <c r="F208" s="249"/>
      <c r="G208" s="107" t="s">
        <v>83</v>
      </c>
      <c r="H208" s="107" t="s">
        <v>108</v>
      </c>
      <c r="I208" s="108">
        <v>23</v>
      </c>
      <c r="J208" s="109" t="s">
        <v>112</v>
      </c>
      <c r="K208" s="109">
        <v>641.37</v>
      </c>
      <c r="L208" s="109">
        <v>890.94373675309191</v>
      </c>
      <c r="M208" s="243"/>
      <c r="N208" s="243"/>
    </row>
    <row r="209" spans="1:14" x14ac:dyDescent="0.2">
      <c r="A209" s="107">
        <v>208</v>
      </c>
      <c r="B209" s="107" t="s">
        <v>82</v>
      </c>
      <c r="C209" s="107" t="s">
        <v>110</v>
      </c>
      <c r="D209" s="107">
        <v>2711</v>
      </c>
      <c r="E209" s="107">
        <v>138.9</v>
      </c>
      <c r="F209" s="249"/>
      <c r="G209" s="107" t="s">
        <v>83</v>
      </c>
      <c r="H209" s="107" t="s">
        <v>108</v>
      </c>
      <c r="I209" s="108">
        <v>23</v>
      </c>
      <c r="J209" s="109" t="s">
        <v>112</v>
      </c>
      <c r="K209" s="109">
        <v>633.67999999999995</v>
      </c>
      <c r="L209" s="109">
        <v>880.26135788343583</v>
      </c>
      <c r="M209" s="243"/>
      <c r="N209" s="243"/>
    </row>
    <row r="210" spans="1:14" x14ac:dyDescent="0.2">
      <c r="A210" s="107">
        <v>209</v>
      </c>
      <c r="B210" s="107" t="s">
        <v>82</v>
      </c>
      <c r="C210" s="107" t="s">
        <v>110</v>
      </c>
      <c r="D210" s="107">
        <v>2712</v>
      </c>
      <c r="E210" s="107">
        <v>210.76</v>
      </c>
      <c r="F210" s="250"/>
      <c r="G210" s="107" t="s">
        <v>83</v>
      </c>
      <c r="H210" s="107" t="s">
        <v>108</v>
      </c>
      <c r="I210" s="108">
        <v>23</v>
      </c>
      <c r="J210" s="109" t="s">
        <v>112</v>
      </c>
      <c r="K210" s="109">
        <v>974.03</v>
      </c>
      <c r="L210" s="109">
        <v>1353.0503888700969</v>
      </c>
      <c r="M210" s="243"/>
      <c r="N210" s="243"/>
    </row>
    <row r="211" spans="1:14" x14ac:dyDescent="0.2">
      <c r="A211" s="104">
        <v>210</v>
      </c>
      <c r="B211" s="104" t="s">
        <v>82</v>
      </c>
      <c r="C211" s="104" t="s">
        <v>110</v>
      </c>
      <c r="D211" s="104">
        <v>2802</v>
      </c>
      <c r="E211" s="104">
        <v>216.1</v>
      </c>
      <c r="F211" s="245">
        <f>SUM(E211:E220)</f>
        <v>1578.71</v>
      </c>
      <c r="G211" s="104" t="s">
        <v>83</v>
      </c>
      <c r="H211" s="104" t="s">
        <v>108</v>
      </c>
      <c r="I211" s="105">
        <v>24</v>
      </c>
      <c r="J211" s="106" t="s">
        <v>112</v>
      </c>
      <c r="K211" s="256">
        <v>1800.55</v>
      </c>
      <c r="L211" s="256">
        <v>2501.1908028295361</v>
      </c>
      <c r="M211" s="242">
        <v>9961.4224804035439</v>
      </c>
      <c r="N211" s="242">
        <f>ROUND(M211*10000/F211,0)</f>
        <v>63098</v>
      </c>
    </row>
    <row r="212" spans="1:14" x14ac:dyDescent="0.2">
      <c r="A212" s="104">
        <v>211</v>
      </c>
      <c r="B212" s="104" t="s">
        <v>82</v>
      </c>
      <c r="C212" s="104" t="s">
        <v>110</v>
      </c>
      <c r="D212" s="104">
        <v>2803</v>
      </c>
      <c r="E212" s="104">
        <v>176.64</v>
      </c>
      <c r="F212" s="246"/>
      <c r="G212" s="104" t="s">
        <v>83</v>
      </c>
      <c r="H212" s="104" t="s">
        <v>108</v>
      </c>
      <c r="I212" s="105">
        <v>24</v>
      </c>
      <c r="J212" s="106" t="s">
        <v>112</v>
      </c>
      <c r="K212" s="256"/>
      <c r="L212" s="256"/>
      <c r="M212" s="242"/>
      <c r="N212" s="242"/>
    </row>
    <row r="213" spans="1:14" x14ac:dyDescent="0.2">
      <c r="A213" s="104">
        <v>212</v>
      </c>
      <c r="B213" s="104" t="s">
        <v>82</v>
      </c>
      <c r="C213" s="104" t="s">
        <v>110</v>
      </c>
      <c r="D213" s="104">
        <v>2806</v>
      </c>
      <c r="E213" s="104">
        <v>155.54</v>
      </c>
      <c r="F213" s="246"/>
      <c r="G213" s="104" t="s">
        <v>83</v>
      </c>
      <c r="H213" s="104" t="s">
        <v>108</v>
      </c>
      <c r="I213" s="105">
        <v>24</v>
      </c>
      <c r="J213" s="106" t="s">
        <v>112</v>
      </c>
      <c r="K213" s="256">
        <v>1340.24</v>
      </c>
      <c r="L213" s="256">
        <v>1861.7622179802047</v>
      </c>
      <c r="M213" s="242"/>
      <c r="N213" s="242"/>
    </row>
    <row r="214" spans="1:14" x14ac:dyDescent="0.2">
      <c r="A214" s="104">
        <v>213</v>
      </c>
      <c r="B214" s="104" t="s">
        <v>82</v>
      </c>
      <c r="C214" s="104" t="s">
        <v>110</v>
      </c>
      <c r="D214" s="104">
        <v>2807</v>
      </c>
      <c r="E214" s="104">
        <v>139.97999999999999</v>
      </c>
      <c r="F214" s="246"/>
      <c r="G214" s="104" t="s">
        <v>83</v>
      </c>
      <c r="H214" s="104" t="s">
        <v>108</v>
      </c>
      <c r="I214" s="105">
        <v>24</v>
      </c>
      <c r="J214" s="106" t="s">
        <v>112</v>
      </c>
      <c r="K214" s="256"/>
      <c r="L214" s="256"/>
      <c r="M214" s="242"/>
      <c r="N214" s="242"/>
    </row>
    <row r="215" spans="1:14" x14ac:dyDescent="0.2">
      <c r="A215" s="104">
        <v>214</v>
      </c>
      <c r="B215" s="104" t="s">
        <v>82</v>
      </c>
      <c r="C215" s="104" t="s">
        <v>110</v>
      </c>
      <c r="D215" s="104">
        <v>2808</v>
      </c>
      <c r="E215" s="104">
        <v>135.16999999999999</v>
      </c>
      <c r="F215" s="246"/>
      <c r="G215" s="104" t="s">
        <v>83</v>
      </c>
      <c r="H215" s="104" t="s">
        <v>108</v>
      </c>
      <c r="I215" s="105">
        <v>24</v>
      </c>
      <c r="J215" s="106" t="s">
        <v>112</v>
      </c>
      <c r="K215" s="106">
        <v>613.03</v>
      </c>
      <c r="L215" s="106">
        <v>851.57590617233086</v>
      </c>
      <c r="M215" s="242"/>
      <c r="N215" s="242"/>
    </row>
    <row r="216" spans="1:14" x14ac:dyDescent="0.2">
      <c r="A216" s="104">
        <v>215</v>
      </c>
      <c r="B216" s="104" t="s">
        <v>82</v>
      </c>
      <c r="C216" s="104" t="s">
        <v>110</v>
      </c>
      <c r="D216" s="104">
        <v>2809</v>
      </c>
      <c r="E216" s="104">
        <v>135.16999999999999</v>
      </c>
      <c r="F216" s="246"/>
      <c r="G216" s="104" t="s">
        <v>83</v>
      </c>
      <c r="H216" s="104" t="s">
        <v>108</v>
      </c>
      <c r="I216" s="105">
        <v>24</v>
      </c>
      <c r="J216" s="106" t="s">
        <v>112</v>
      </c>
      <c r="K216" s="256">
        <v>1854.5</v>
      </c>
      <c r="L216" s="256">
        <v>2576.1341500360304</v>
      </c>
      <c r="M216" s="242"/>
      <c r="N216" s="242"/>
    </row>
    <row r="217" spans="1:14" x14ac:dyDescent="0.2">
      <c r="A217" s="104">
        <v>216</v>
      </c>
      <c r="B217" s="104" t="s">
        <v>82</v>
      </c>
      <c r="C217" s="104" t="s">
        <v>110</v>
      </c>
      <c r="D217" s="104">
        <v>2810</v>
      </c>
      <c r="E217" s="104">
        <v>138.29</v>
      </c>
      <c r="F217" s="246"/>
      <c r="G217" s="104" t="s">
        <v>83</v>
      </c>
      <c r="H217" s="104" t="s">
        <v>108</v>
      </c>
      <c r="I217" s="105">
        <v>24</v>
      </c>
      <c r="J217" s="106" t="s">
        <v>112</v>
      </c>
      <c r="K217" s="256"/>
      <c r="L217" s="256"/>
      <c r="M217" s="242"/>
      <c r="N217" s="242"/>
    </row>
    <row r="218" spans="1:14" x14ac:dyDescent="0.2">
      <c r="A218" s="104">
        <v>217</v>
      </c>
      <c r="B218" s="104" t="s">
        <v>82</v>
      </c>
      <c r="C218" s="104" t="s">
        <v>110</v>
      </c>
      <c r="D218" s="104">
        <v>2811</v>
      </c>
      <c r="E218" s="104">
        <v>138.9</v>
      </c>
      <c r="F218" s="246"/>
      <c r="G218" s="104" t="s">
        <v>83</v>
      </c>
      <c r="H218" s="104" t="s">
        <v>108</v>
      </c>
      <c r="I218" s="105">
        <v>24</v>
      </c>
      <c r="J218" s="106" t="s">
        <v>112</v>
      </c>
      <c r="K218" s="256"/>
      <c r="L218" s="256"/>
      <c r="M218" s="242"/>
      <c r="N218" s="242"/>
    </row>
    <row r="219" spans="1:14" x14ac:dyDescent="0.2">
      <c r="A219" s="104">
        <v>218</v>
      </c>
      <c r="B219" s="104" t="s">
        <v>82</v>
      </c>
      <c r="C219" s="104" t="s">
        <v>110</v>
      </c>
      <c r="D219" s="104">
        <v>2801</v>
      </c>
      <c r="E219" s="104">
        <v>134.94</v>
      </c>
      <c r="F219" s="246"/>
      <c r="G219" s="104" t="s">
        <v>83</v>
      </c>
      <c r="H219" s="104" t="s">
        <v>108</v>
      </c>
      <c r="I219" s="105">
        <v>24</v>
      </c>
      <c r="J219" s="106" t="s">
        <v>112</v>
      </c>
      <c r="K219" s="256">
        <v>1562.68</v>
      </c>
      <c r="L219" s="256">
        <v>2170.759403385443</v>
      </c>
      <c r="M219" s="242"/>
      <c r="N219" s="242"/>
    </row>
    <row r="220" spans="1:14" x14ac:dyDescent="0.2">
      <c r="A220" s="104">
        <v>219</v>
      </c>
      <c r="B220" s="104" t="s">
        <v>82</v>
      </c>
      <c r="C220" s="104" t="s">
        <v>110</v>
      </c>
      <c r="D220" s="104">
        <v>2812</v>
      </c>
      <c r="E220" s="104">
        <v>207.98</v>
      </c>
      <c r="F220" s="247"/>
      <c r="G220" s="104" t="s">
        <v>83</v>
      </c>
      <c r="H220" s="104" t="s">
        <v>108</v>
      </c>
      <c r="I220" s="105">
        <v>24</v>
      </c>
      <c r="J220" s="106" t="s">
        <v>112</v>
      </c>
      <c r="K220" s="256"/>
      <c r="L220" s="256"/>
      <c r="M220" s="242"/>
      <c r="N220" s="242"/>
    </row>
    <row r="221" spans="1:14" x14ac:dyDescent="0.2">
      <c r="A221" s="107">
        <v>220</v>
      </c>
      <c r="B221" s="107" t="s">
        <v>82</v>
      </c>
      <c r="C221" s="107" t="s">
        <v>110</v>
      </c>
      <c r="D221" s="107">
        <v>2901</v>
      </c>
      <c r="E221" s="107">
        <v>134.94</v>
      </c>
      <c r="F221" s="248">
        <f>SUM(E221:E225)</f>
        <v>760.76</v>
      </c>
      <c r="G221" s="107" t="s">
        <v>83</v>
      </c>
      <c r="H221" s="107" t="s">
        <v>108</v>
      </c>
      <c r="I221" s="108">
        <v>25</v>
      </c>
      <c r="J221" s="109" t="s">
        <v>112</v>
      </c>
      <c r="K221" s="257">
        <v>3128.37</v>
      </c>
      <c r="L221" s="257">
        <v>4345.7000760033516</v>
      </c>
      <c r="M221" s="243">
        <v>4815.1968783916918</v>
      </c>
      <c r="N221" s="243">
        <f>ROUND(M221*10000/F221,0)</f>
        <v>63295</v>
      </c>
    </row>
    <row r="222" spans="1:14" x14ac:dyDescent="0.2">
      <c r="A222" s="107">
        <v>221</v>
      </c>
      <c r="B222" s="107" t="s">
        <v>82</v>
      </c>
      <c r="C222" s="107" t="s">
        <v>110</v>
      </c>
      <c r="D222" s="107">
        <v>2902</v>
      </c>
      <c r="E222" s="107">
        <v>215.08</v>
      </c>
      <c r="F222" s="249"/>
      <c r="G222" s="107" t="s">
        <v>83</v>
      </c>
      <c r="H222" s="107" t="s">
        <v>108</v>
      </c>
      <c r="I222" s="108">
        <v>25</v>
      </c>
      <c r="J222" s="109" t="s">
        <v>112</v>
      </c>
      <c r="K222" s="257"/>
      <c r="L222" s="257"/>
      <c r="M222" s="243"/>
      <c r="N222" s="243"/>
    </row>
    <row r="223" spans="1:14" x14ac:dyDescent="0.2">
      <c r="A223" s="107">
        <v>222</v>
      </c>
      <c r="B223" s="107" t="s">
        <v>82</v>
      </c>
      <c r="C223" s="107" t="s">
        <v>110</v>
      </c>
      <c r="D223" s="107">
        <v>2905</v>
      </c>
      <c r="E223" s="107">
        <v>131.43</v>
      </c>
      <c r="F223" s="249"/>
      <c r="G223" s="107" t="s">
        <v>83</v>
      </c>
      <c r="H223" s="107" t="s">
        <v>108</v>
      </c>
      <c r="I223" s="108">
        <v>25</v>
      </c>
      <c r="J223" s="109" t="s">
        <v>112</v>
      </c>
      <c r="K223" s="257"/>
      <c r="L223" s="257"/>
      <c r="M223" s="243"/>
      <c r="N223" s="243"/>
    </row>
    <row r="224" spans="1:14" x14ac:dyDescent="0.2">
      <c r="A224" s="107">
        <v>223</v>
      </c>
      <c r="B224" s="107" t="s">
        <v>82</v>
      </c>
      <c r="C224" s="107" t="s">
        <v>110</v>
      </c>
      <c r="D224" s="107">
        <v>2906</v>
      </c>
      <c r="E224" s="107">
        <v>206.18</v>
      </c>
      <c r="F224" s="249"/>
      <c r="G224" s="107" t="s">
        <v>83</v>
      </c>
      <c r="H224" s="107" t="s">
        <v>108</v>
      </c>
      <c r="I224" s="108">
        <v>25</v>
      </c>
      <c r="J224" s="109" t="s">
        <v>112</v>
      </c>
      <c r="K224" s="257"/>
      <c r="L224" s="257"/>
      <c r="M224" s="243"/>
      <c r="N224" s="243"/>
    </row>
    <row r="225" spans="1:14" x14ac:dyDescent="0.2">
      <c r="A225" s="107">
        <v>224</v>
      </c>
      <c r="B225" s="107" t="s">
        <v>82</v>
      </c>
      <c r="C225" s="107" t="s">
        <v>110</v>
      </c>
      <c r="D225" s="107">
        <v>2903</v>
      </c>
      <c r="E225" s="107">
        <v>73.13</v>
      </c>
      <c r="F225" s="250"/>
      <c r="G225" s="107" t="s">
        <v>83</v>
      </c>
      <c r="H225" s="107" t="s">
        <v>108</v>
      </c>
      <c r="I225" s="108">
        <v>25</v>
      </c>
      <c r="J225" s="109" t="s">
        <v>112</v>
      </c>
      <c r="K225" s="109">
        <v>337.98</v>
      </c>
      <c r="L225" s="109">
        <v>469.49680238834065</v>
      </c>
      <c r="M225" s="243"/>
      <c r="N225" s="243"/>
    </row>
    <row r="226" spans="1:14" x14ac:dyDescent="0.2">
      <c r="A226" s="104">
        <v>225</v>
      </c>
      <c r="B226" s="104" t="s">
        <v>82</v>
      </c>
      <c r="C226" s="104" t="s">
        <v>110</v>
      </c>
      <c r="D226" s="104">
        <v>3001</v>
      </c>
      <c r="E226" s="104">
        <v>243.26</v>
      </c>
      <c r="F226" s="245">
        <f>SUM(E226:E229)</f>
        <v>786.8</v>
      </c>
      <c r="G226" s="104" t="s">
        <v>83</v>
      </c>
      <c r="H226" s="104" t="s">
        <v>108</v>
      </c>
      <c r="I226" s="105">
        <v>26</v>
      </c>
      <c r="J226" s="106" t="s">
        <v>112</v>
      </c>
      <c r="K226" s="106">
        <v>1124.23</v>
      </c>
      <c r="L226" s="106">
        <v>1561.697112696148</v>
      </c>
      <c r="M226" s="242">
        <v>5051.1677104578139</v>
      </c>
      <c r="N226" s="242">
        <f>ROUND(M221*10000/F226,0)</f>
        <v>61200</v>
      </c>
    </row>
    <row r="227" spans="1:14" x14ac:dyDescent="0.2">
      <c r="A227" s="104">
        <v>226</v>
      </c>
      <c r="B227" s="104" t="s">
        <v>82</v>
      </c>
      <c r="C227" s="104" t="s">
        <v>110</v>
      </c>
      <c r="D227" s="104">
        <v>3002</v>
      </c>
      <c r="E227" s="104">
        <v>203.56</v>
      </c>
      <c r="F227" s="246"/>
      <c r="G227" s="104" t="s">
        <v>83</v>
      </c>
      <c r="H227" s="104" t="s">
        <v>108</v>
      </c>
      <c r="I227" s="105">
        <v>26</v>
      </c>
      <c r="J227" s="106" t="s">
        <v>112</v>
      </c>
      <c r="K227" s="106">
        <v>940.76</v>
      </c>
      <c r="L227" s="106">
        <v>1306.8341671544331</v>
      </c>
      <c r="M227" s="242"/>
      <c r="N227" s="242"/>
    </row>
    <row r="228" spans="1:14" x14ac:dyDescent="0.2">
      <c r="A228" s="104">
        <v>227</v>
      </c>
      <c r="B228" s="104" t="s">
        <v>82</v>
      </c>
      <c r="C228" s="104" t="s">
        <v>110</v>
      </c>
      <c r="D228" s="104">
        <v>3003</v>
      </c>
      <c r="E228" s="104">
        <v>131.43</v>
      </c>
      <c r="F228" s="246"/>
      <c r="G228" s="104" t="s">
        <v>83</v>
      </c>
      <c r="H228" s="104" t="s">
        <v>108</v>
      </c>
      <c r="I228" s="105">
        <v>26</v>
      </c>
      <c r="J228" s="106" t="s">
        <v>112</v>
      </c>
      <c r="K228" s="106">
        <v>607.41</v>
      </c>
      <c r="L228" s="106">
        <v>843.76901810373965</v>
      </c>
      <c r="M228" s="242"/>
      <c r="N228" s="242"/>
    </row>
    <row r="229" spans="1:14" x14ac:dyDescent="0.2">
      <c r="A229" s="104">
        <v>228</v>
      </c>
      <c r="B229" s="104" t="s">
        <v>82</v>
      </c>
      <c r="C229" s="104" t="s">
        <v>110</v>
      </c>
      <c r="D229" s="104">
        <v>3005</v>
      </c>
      <c r="E229" s="104">
        <v>208.55</v>
      </c>
      <c r="F229" s="247"/>
      <c r="G229" s="104" t="s">
        <v>83</v>
      </c>
      <c r="H229" s="104" t="s">
        <v>108</v>
      </c>
      <c r="I229" s="105">
        <v>26</v>
      </c>
      <c r="J229" s="106" t="s">
        <v>112</v>
      </c>
      <c r="K229" s="106">
        <v>963.82</v>
      </c>
      <c r="L229" s="106">
        <v>1338.8674125034927</v>
      </c>
      <c r="M229" s="242"/>
      <c r="N229" s="242"/>
    </row>
    <row r="230" spans="1:14" x14ac:dyDescent="0.2">
      <c r="E230" s="100">
        <f>SUM(E2:E229)</f>
        <v>53871.500000000065</v>
      </c>
      <c r="F230" s="100">
        <f>SUM(F2:F229)</f>
        <v>53871.499999999993</v>
      </c>
      <c r="K230" s="101">
        <v>169992.50000000003</v>
      </c>
      <c r="L230" s="101">
        <f>SUM(L2:L229)</f>
        <v>236143.11394861533</v>
      </c>
      <c r="M230" s="103">
        <f>SUM(M2:M229)</f>
        <v>236141.49825892318</v>
      </c>
    </row>
    <row r="231" spans="1:14" x14ac:dyDescent="0.2">
      <c r="H231" s="100" t="s">
        <v>86</v>
      </c>
    </row>
    <row r="232" spans="1:14" x14ac:dyDescent="0.2">
      <c r="H232" s="100" t="s">
        <v>87</v>
      </c>
    </row>
    <row r="233" spans="1:14" x14ac:dyDescent="0.2">
      <c r="H233" s="100" t="s">
        <v>106</v>
      </c>
    </row>
    <row r="234" spans="1:14" x14ac:dyDescent="0.2">
      <c r="H234" s="100" t="s">
        <v>83</v>
      </c>
    </row>
    <row r="235" spans="1:14" x14ac:dyDescent="0.2">
      <c r="H235" s="100" t="s">
        <v>115</v>
      </c>
    </row>
  </sheetData>
  <mergeCells count="143">
    <mergeCell ref="K211:K212"/>
    <mergeCell ref="L211:L212"/>
    <mergeCell ref="M211:M220"/>
    <mergeCell ref="K213:K214"/>
    <mergeCell ref="L213:L214"/>
    <mergeCell ref="K216:K218"/>
    <mergeCell ref="M226:M229"/>
    <mergeCell ref="L216:L218"/>
    <mergeCell ref="K219:K220"/>
    <mergeCell ref="L219:L220"/>
    <mergeCell ref="K221:K224"/>
    <mergeCell ref="L221:L224"/>
    <mergeCell ref="M221:M225"/>
    <mergeCell ref="K190:K192"/>
    <mergeCell ref="L190:L192"/>
    <mergeCell ref="M190:M200"/>
    <mergeCell ref="K194:K195"/>
    <mergeCell ref="L194:L195"/>
    <mergeCell ref="K197:K198"/>
    <mergeCell ref="L197:L198"/>
    <mergeCell ref="M201:M210"/>
    <mergeCell ref="K204:K207"/>
    <mergeCell ref="L204:L207"/>
    <mergeCell ref="M141:M146"/>
    <mergeCell ref="K147:K154"/>
    <mergeCell ref="L147:L154"/>
    <mergeCell ref="M147:M157"/>
    <mergeCell ref="M158:M168"/>
    <mergeCell ref="K166:K167"/>
    <mergeCell ref="L166:L167"/>
    <mergeCell ref="M169:M179"/>
    <mergeCell ref="K180:K183"/>
    <mergeCell ref="L180:L183"/>
    <mergeCell ref="M180:M189"/>
    <mergeCell ref="M121:M128"/>
    <mergeCell ref="K124:K125"/>
    <mergeCell ref="L124:L125"/>
    <mergeCell ref="M129:M130"/>
    <mergeCell ref="K131:K132"/>
    <mergeCell ref="L131:L132"/>
    <mergeCell ref="M131:M140"/>
    <mergeCell ref="K139:K140"/>
    <mergeCell ref="L139:L140"/>
    <mergeCell ref="K89:K109"/>
    <mergeCell ref="L89:L109"/>
    <mergeCell ref="M89:M99"/>
    <mergeCell ref="M100:M109"/>
    <mergeCell ref="K110:K114"/>
    <mergeCell ref="L110:L114"/>
    <mergeCell ref="M110:M120"/>
    <mergeCell ref="K115:K117"/>
    <mergeCell ref="L115:L117"/>
    <mergeCell ref="M58:M67"/>
    <mergeCell ref="K59:K63"/>
    <mergeCell ref="L59:L63"/>
    <mergeCell ref="K79:K81"/>
    <mergeCell ref="L79:L81"/>
    <mergeCell ref="M79:M88"/>
    <mergeCell ref="K82:K84"/>
    <mergeCell ref="L82:L84"/>
    <mergeCell ref="M68:M78"/>
    <mergeCell ref="K72:K73"/>
    <mergeCell ref="L72:L73"/>
    <mergeCell ref="K74:K76"/>
    <mergeCell ref="L74:L76"/>
    <mergeCell ref="K26:K32"/>
    <mergeCell ref="L26:L32"/>
    <mergeCell ref="M26:M32"/>
    <mergeCell ref="K33:K40"/>
    <mergeCell ref="L33:L40"/>
    <mergeCell ref="M33:M40"/>
    <mergeCell ref="M41:M45"/>
    <mergeCell ref="M46:M50"/>
    <mergeCell ref="M51:M57"/>
    <mergeCell ref="K22:K25"/>
    <mergeCell ref="L22:L25"/>
    <mergeCell ref="M22:M25"/>
    <mergeCell ref="K2:K4"/>
    <mergeCell ref="L2:L4"/>
    <mergeCell ref="M5:M11"/>
    <mergeCell ref="K9:K11"/>
    <mergeCell ref="L9:L11"/>
    <mergeCell ref="K12:K13"/>
    <mergeCell ref="L12:L13"/>
    <mergeCell ref="M14:M21"/>
    <mergeCell ref="K16:K21"/>
    <mergeCell ref="L16:L21"/>
    <mergeCell ref="F33:F40"/>
    <mergeCell ref="F41:F45"/>
    <mergeCell ref="F46:F50"/>
    <mergeCell ref="F51:F57"/>
    <mergeCell ref="F58:F67"/>
    <mergeCell ref="F2:F4"/>
    <mergeCell ref="F5:F11"/>
    <mergeCell ref="F14:F21"/>
    <mergeCell ref="F22:F25"/>
    <mergeCell ref="F26:F32"/>
    <mergeCell ref="F190:F200"/>
    <mergeCell ref="F201:F210"/>
    <mergeCell ref="F121:F128"/>
    <mergeCell ref="F129:F130"/>
    <mergeCell ref="F131:F140"/>
    <mergeCell ref="F141:F146"/>
    <mergeCell ref="F147:F157"/>
    <mergeCell ref="F68:F78"/>
    <mergeCell ref="F79:F88"/>
    <mergeCell ref="F89:F99"/>
    <mergeCell ref="F100:F109"/>
    <mergeCell ref="F110:F120"/>
    <mergeCell ref="N100:N109"/>
    <mergeCell ref="N110:N120"/>
    <mergeCell ref="N121:N128"/>
    <mergeCell ref="N129:N130"/>
    <mergeCell ref="N131:N140"/>
    <mergeCell ref="F211:F220"/>
    <mergeCell ref="F221:F225"/>
    <mergeCell ref="F226:F229"/>
    <mergeCell ref="N2:N4"/>
    <mergeCell ref="N5:N11"/>
    <mergeCell ref="N14:N21"/>
    <mergeCell ref="N22:N25"/>
    <mergeCell ref="N26:N32"/>
    <mergeCell ref="N33:N40"/>
    <mergeCell ref="N41:N45"/>
    <mergeCell ref="N46:N50"/>
    <mergeCell ref="N51:N57"/>
    <mergeCell ref="N58:N67"/>
    <mergeCell ref="N68:N78"/>
    <mergeCell ref="N79:N88"/>
    <mergeCell ref="N89:N99"/>
    <mergeCell ref="F158:F168"/>
    <mergeCell ref="F169:F179"/>
    <mergeCell ref="F180:F189"/>
    <mergeCell ref="N190:N200"/>
    <mergeCell ref="N201:N210"/>
    <mergeCell ref="N211:N220"/>
    <mergeCell ref="N221:N225"/>
    <mergeCell ref="N226:N229"/>
    <mergeCell ref="N141:N146"/>
    <mergeCell ref="N147:N157"/>
    <mergeCell ref="N158:N168"/>
    <mergeCell ref="N169:N179"/>
    <mergeCell ref="N180:N18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收益法汇总</vt:lpstr>
      <vt:lpstr>Sheet1</vt:lpstr>
      <vt:lpstr>分层价值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2023-06-26T02:29:23Z</dcterms:created>
  <dcterms:modified xsi:type="dcterms:W3CDTF">2023-06-27T09:53:47Z</dcterms:modified>
</cp:coreProperties>
</file>