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CCF3C415-7E2D-4972-A0F8-96DAE5C16C4D}" xr6:coauthVersionLast="47" xr6:coauthVersionMax="47" xr10:uidLastSave="{00000000-0000-0000-0000-000000000000}"/>
  <bookViews>
    <workbookView xWindow="-110" yWindow="-110" windowWidth="25820" windowHeight="14020" tabRatio="899" firstSheet="9"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面积信息" sheetId="80" r:id="rId37"/>
    <sheet name="租金案例"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6" i="80" l="1"/>
  <c r="J49" i="15"/>
  <c r="N6" i="1"/>
  <c r="N18" i="1"/>
  <c r="N17" i="1"/>
  <c r="B59" i="1"/>
  <c r="Y6" i="1"/>
  <c r="B21" i="1"/>
  <c r="I24" i="3"/>
  <c r="I25" i="3"/>
  <c r="I26" i="3"/>
  <c r="I14" i="3"/>
  <c r="I15" i="3"/>
  <c r="I16" i="3"/>
  <c r="I17" i="3"/>
  <c r="I18" i="3"/>
  <c r="I19" i="3"/>
  <c r="I20" i="3"/>
  <c r="I21" i="3"/>
  <c r="I22" i="3"/>
  <c r="I23" i="3"/>
  <c r="I13" i="3"/>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D80" i="71"/>
  <c r="C87" i="71"/>
  <c r="C86" i="71" s="1"/>
  <c r="D86" i="71" s="1"/>
  <c r="F28"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S21" i="34"/>
  <c r="H25" i="40"/>
  <c r="AB25" i="40" s="1"/>
  <c r="J25" i="40"/>
  <c r="H29" i="39"/>
  <c r="AB29" i="39" s="1"/>
  <c r="J29" i="39"/>
  <c r="AC29" i="39" s="1"/>
  <c r="J18" i="36"/>
  <c r="AC18" i="36" s="1"/>
  <c r="H18" i="35"/>
  <c r="AB18" i="35" s="1"/>
  <c r="J18" i="35"/>
  <c r="H21" i="37"/>
  <c r="F21" i="37"/>
  <c r="AA21" i="37" s="1"/>
  <c r="F84" i="34"/>
  <c r="G84" i="34" s="1"/>
  <c r="H21" i="34"/>
  <c r="AB21" i="34" s="1"/>
  <c r="H21" i="33"/>
  <c r="U21" i="33" s="1"/>
  <c r="F21" i="33"/>
  <c r="E83" i="21"/>
  <c r="F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F34" i="36" s="1"/>
  <c r="S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AB36" i="35" s="1"/>
  <c r="B99" i="35"/>
  <c r="B97" i="35"/>
  <c r="H34" i="35" s="1"/>
  <c r="B77" i="35"/>
  <c r="J25" i="35" s="1"/>
  <c r="B75" i="35"/>
  <c r="J24" i="35" s="1"/>
  <c r="AC24" i="35" s="1"/>
  <c r="B73" i="35"/>
  <c r="J23" i="35" s="1"/>
  <c r="AC23" i="35" s="1"/>
  <c r="B57" i="35"/>
  <c r="F11" i="35" s="1"/>
  <c r="S11" i="35" s="1"/>
  <c r="B61" i="35"/>
  <c r="B59" i="35"/>
  <c r="H12" i="35" s="1"/>
  <c r="B131" i="34"/>
  <c r="B129" i="34"/>
  <c r="J46" i="34" s="1"/>
  <c r="B127" i="34"/>
  <c r="B99" i="34"/>
  <c r="J32" i="34" s="1"/>
  <c r="W32" i="34" s="1"/>
  <c r="B97" i="34"/>
  <c r="H31" i="34" s="1"/>
  <c r="B95" i="34"/>
  <c r="B93" i="34"/>
  <c r="B75" i="34"/>
  <c r="J14" i="34" s="1"/>
  <c r="W14" i="34" s="1"/>
  <c r="B73" i="34"/>
  <c r="B71" i="34"/>
  <c r="J12" i="34" s="1"/>
  <c r="W12" i="34" s="1"/>
  <c r="B130" i="33"/>
  <c r="B128" i="33"/>
  <c r="F45" i="33" s="1"/>
  <c r="B126" i="33"/>
  <c r="F44" i="33" s="1"/>
  <c r="S44" i="33" s="1"/>
  <c r="B98" i="33"/>
  <c r="F31" i="33" s="1"/>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U40" i="33" s="1"/>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J44" i="21" s="1"/>
  <c r="B98" i="21"/>
  <c r="H31" i="21"/>
  <c r="B96" i="21"/>
  <c r="J30" i="21" s="1"/>
  <c r="AC30" i="21" s="1"/>
  <c r="B94" i="21"/>
  <c r="B92" i="21"/>
  <c r="J28" i="21" s="1"/>
  <c r="W28" i="21" s="1"/>
  <c r="B90" i="21"/>
  <c r="B74" i="21"/>
  <c r="J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AB36" i="39" s="1"/>
  <c r="J35" i="39"/>
  <c r="AC35" i="39" s="1"/>
  <c r="F35" i="39"/>
  <c r="AA35" i="39" s="1"/>
  <c r="U9" i="39"/>
  <c r="W40" i="39"/>
  <c r="W25" i="37"/>
  <c r="W31" i="37"/>
  <c r="E103" i="37"/>
  <c r="F103" i="37"/>
  <c r="G103" i="37" s="1"/>
  <c r="H103" i="37" s="1"/>
  <c r="I103" i="37" s="1"/>
  <c r="J103" i="37" s="1"/>
  <c r="K103" i="37" s="1"/>
  <c r="L103" i="37" s="1"/>
  <c r="M103" i="37" s="1"/>
  <c r="F29" i="36"/>
  <c r="AA29" i="36" s="1"/>
  <c r="F16" i="36"/>
  <c r="AA16" i="36" s="1"/>
  <c r="W28" i="36"/>
  <c r="J33" i="36"/>
  <c r="AC33" i="36" s="1"/>
  <c r="H22" i="35"/>
  <c r="AB22" i="35" s="1"/>
  <c r="W28" i="35"/>
  <c r="U31" i="35"/>
  <c r="W22" i="35"/>
  <c r="F36" i="34"/>
  <c r="J35" i="34"/>
  <c r="U34" i="34"/>
  <c r="H39" i="33"/>
  <c r="AB39" i="33"/>
  <c r="W33" i="33"/>
  <c r="W39" i="33"/>
  <c r="S27" i="35"/>
  <c r="F11" i="40"/>
  <c r="AA11" i="40"/>
  <c r="H11" i="40"/>
  <c r="AB11" i="40"/>
  <c r="W8" i="40"/>
  <c r="AB39" i="40"/>
  <c r="S34" i="40"/>
  <c r="U38"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c r="F21" i="40"/>
  <c r="AA21" i="40" s="1"/>
  <c r="J21" i="40"/>
  <c r="W21" i="40" s="1"/>
  <c r="H42" i="39"/>
  <c r="AB42" i="39" s="1"/>
  <c r="J34" i="39"/>
  <c r="AC34" i="39" s="1"/>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AC11" i="40" s="1"/>
  <c r="W11" i="40"/>
  <c r="AC12" i="34"/>
  <c r="AB12" i="36"/>
  <c r="W32" i="40"/>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AA24" i="36"/>
  <c r="F14" i="35"/>
  <c r="AA14" i="35" s="1"/>
  <c r="F23" i="35"/>
  <c r="AA23" i="35" s="1"/>
  <c r="J32" i="35"/>
  <c r="AC32" i="35" s="1"/>
  <c r="J16" i="35"/>
  <c r="AC16" i="35" s="1"/>
  <c r="H16" i="35"/>
  <c r="U16" i="35" s="1"/>
  <c r="F16" i="35"/>
  <c r="S16" i="35" s="1"/>
  <c r="H14" i="35"/>
  <c r="AB14" i="35"/>
  <c r="J29" i="35"/>
  <c r="H33" i="35"/>
  <c r="J20" i="35"/>
  <c r="W20" i="35"/>
  <c r="F35" i="37"/>
  <c r="S35"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c r="E113" i="33"/>
  <c r="F32" i="33"/>
  <c r="AA32" i="33" s="1"/>
  <c r="J19" i="33"/>
  <c r="AC19" i="33" s="1"/>
  <c r="J15" i="33"/>
  <c r="AC15" i="33"/>
  <c r="F11" i="33"/>
  <c r="AA11" i="33" s="1"/>
  <c r="W40" i="33"/>
  <c r="F37" i="40"/>
  <c r="AA37" i="40" s="1"/>
  <c r="F36" i="40"/>
  <c r="AA36" i="40" s="1"/>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M123" i="21"/>
  <c r="J42" i="21"/>
  <c r="AC42" i="21"/>
  <c r="H42" i="21"/>
  <c r="U42" i="21"/>
  <c r="J44" i="34"/>
  <c r="F44" i="34"/>
  <c r="AA44" i="34"/>
  <c r="J10" i="35"/>
  <c r="AC10" i="35" s="1"/>
  <c r="W14" i="21"/>
  <c r="F14" i="21"/>
  <c r="S14" i="21" s="1"/>
  <c r="H14" i="21"/>
  <c r="U14" i="21" s="1"/>
  <c r="H28" i="21"/>
  <c r="AB28" i="21" s="1"/>
  <c r="F28" i="21"/>
  <c r="AA28" i="21" s="1"/>
  <c r="F30" i="21"/>
  <c r="S30" i="21" s="1"/>
  <c r="H44" i="21"/>
  <c r="U44" i="21" s="1"/>
  <c r="F44" i="21"/>
  <c r="AA44" i="21" s="1"/>
  <c r="H46" i="21"/>
  <c r="U46" i="2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H27" i="21"/>
  <c r="AB27" i="21"/>
  <c r="J31" i="21"/>
  <c r="AC31" i="21" s="1"/>
  <c r="F31" i="21"/>
  <c r="S31" i="21"/>
  <c r="F45" i="21"/>
  <c r="AA45" i="21" s="1"/>
  <c r="F27" i="33"/>
  <c r="AA27" i="33" s="1"/>
  <c r="J13" i="33"/>
  <c r="H13" i="33"/>
  <c r="U13" i="33" s="1"/>
  <c r="F13" i="33"/>
  <c r="S13" i="33" s="1"/>
  <c r="J29" i="33"/>
  <c r="H29" i="33"/>
  <c r="U29" i="33" s="1"/>
  <c r="J31" i="33"/>
  <c r="W31" i="33"/>
  <c r="H31" i="33"/>
  <c r="J45" i="33"/>
  <c r="AA45" i="33"/>
  <c r="H14" i="34"/>
  <c r="H30" i="34"/>
  <c r="F30" i="34"/>
  <c r="S30" i="34" s="1"/>
  <c r="J30" i="34"/>
  <c r="H32" i="34"/>
  <c r="F32" i="34"/>
  <c r="H46" i="34"/>
  <c r="U46" i="34"/>
  <c r="F46" i="34"/>
  <c r="H11" i="35"/>
  <c r="AB11" i="35" s="1"/>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S14" i="33"/>
  <c r="H30" i="33"/>
  <c r="AB30" i="33"/>
  <c r="F30" i="33"/>
  <c r="J30" i="33"/>
  <c r="H44" i="33"/>
  <c r="J44" i="33"/>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W47" i="34" s="1"/>
  <c r="F13" i="35"/>
  <c r="J13" i="35"/>
  <c r="AC13" i="35"/>
  <c r="H13" i="35"/>
  <c r="U13" i="35" s="1"/>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F43" i="39"/>
  <c r="AA43" i="39" s="1"/>
  <c r="J14" i="39"/>
  <c r="AC14" i="39" s="1"/>
  <c r="F14" i="39"/>
  <c r="H14" i="39"/>
  <c r="AB14" i="39" s="1"/>
  <c r="F12" i="40"/>
  <c r="S12" i="40"/>
  <c r="H12" i="40"/>
  <c r="AB12" i="40" s="1"/>
  <c r="H30" i="40"/>
  <c r="AB30" i="40"/>
  <c r="F33" i="40"/>
  <c r="AA33" i="40" s="1"/>
  <c r="H33" i="40"/>
  <c r="U33" i="40"/>
  <c r="J35" i="40"/>
  <c r="AC35" i="40" s="1"/>
  <c r="J37" i="40"/>
  <c r="AC37" i="40" s="1"/>
  <c r="H13" i="40"/>
  <c r="U13" i="40" s="1"/>
  <c r="J13" i="40"/>
  <c r="W13" i="40"/>
  <c r="F13" i="40"/>
  <c r="AA13" i="40" s="1"/>
  <c r="F14" i="37"/>
  <c r="S14" i="37"/>
  <c r="F27" i="37"/>
  <c r="AA27" i="37" s="1"/>
  <c r="F13" i="39"/>
  <c r="J13" i="39"/>
  <c r="W13" i="39" s="1"/>
  <c r="H13" i="39"/>
  <c r="AB14" i="40"/>
  <c r="J14" i="40"/>
  <c r="W14" i="40" s="1"/>
  <c r="F14" i="40"/>
  <c r="AA14" i="40" s="1"/>
  <c r="J14" i="37"/>
  <c r="J27" i="37"/>
  <c r="AC27" i="37" s="1"/>
  <c r="AA44" i="33"/>
  <c r="U46" i="33"/>
  <c r="AA14" i="33"/>
  <c r="J36" i="37"/>
  <c r="AC36" i="37"/>
  <c r="J10" i="36"/>
  <c r="AC10" i="36" s="1"/>
  <c r="AA14" i="37"/>
  <c r="W31" i="34"/>
  <c r="S11" i="36"/>
  <c r="AB46" i="34"/>
  <c r="S45" i="33"/>
  <c r="AC28" i="21"/>
  <c r="S44" i="34"/>
  <c r="BA586" i="3"/>
  <c r="BA585" i="3"/>
  <c r="F17" i="21"/>
  <c r="AA17" i="21" s="1"/>
  <c r="H17" i="21"/>
  <c r="AB17" i="21" s="1"/>
  <c r="F15" i="21"/>
  <c r="S15" i="21" s="1"/>
  <c r="J41" i="39"/>
  <c r="W41" i="39" s="1"/>
  <c r="S35" i="39"/>
  <c r="G544" i="3"/>
  <c r="G536" i="3"/>
  <c r="G535" i="3"/>
  <c r="G532" i="3"/>
  <c r="G531" i="3"/>
  <c r="G528" i="3"/>
  <c r="G527" i="3"/>
  <c r="G523" i="3"/>
  <c r="G514" i="3"/>
  <c r="G510" i="3"/>
  <c r="G508" i="3"/>
  <c r="G500" i="3"/>
  <c r="G496" i="3"/>
  <c r="G584" i="3"/>
  <c r="G580" i="3"/>
  <c r="G576" i="3"/>
  <c r="G572" i="3"/>
  <c r="G568" i="3"/>
  <c r="G564" i="3"/>
  <c r="G554" i="3"/>
  <c r="G550" i="3"/>
  <c r="BL584" i="3"/>
  <c r="BL580" i="3"/>
  <c r="BL576" i="3"/>
  <c r="BL572" i="3"/>
  <c r="BL568" i="3"/>
  <c r="BL560" i="3"/>
  <c r="BL554" i="3"/>
  <c r="BL538" i="3"/>
  <c r="BL534" i="3"/>
  <c r="BL522" i="3"/>
  <c r="BL516" i="3"/>
  <c r="BL502" i="3"/>
  <c r="BL498" i="3"/>
  <c r="BL582" i="3"/>
  <c r="BL578" i="3"/>
  <c r="BL574" i="3"/>
  <c r="BL570" i="3"/>
  <c r="BL566" i="3"/>
  <c r="BL562" i="3"/>
  <c r="BL556" i="3"/>
  <c r="BL540" i="3"/>
  <c r="AZ540" i="3" s="1"/>
  <c r="BL536" i="3"/>
  <c r="G529" i="3"/>
  <c r="BL528" i="3"/>
  <c r="BL518" i="3"/>
  <c r="BL51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58" i="3"/>
  <c r="AZ558" i="3"/>
  <c r="BA554" i="3"/>
  <c r="AZ554" i="3" s="1"/>
  <c r="BA548" i="3"/>
  <c r="BA546" i="3"/>
  <c r="AZ546" i="3" s="1"/>
  <c r="BA542" i="3"/>
  <c r="AZ542" i="3" s="1"/>
  <c r="AZ538" i="3"/>
  <c r="BA536" i="3"/>
  <c r="AZ536" i="3" s="1"/>
  <c r="AZ534" i="3"/>
  <c r="BA532" i="3"/>
  <c r="AZ532" i="3" s="1"/>
  <c r="BA528" i="3"/>
  <c r="AZ528" i="3" s="1"/>
  <c r="BA526" i="3"/>
  <c r="AZ526" i="3" s="1"/>
  <c r="BA520" i="3"/>
  <c r="BA518" i="3"/>
  <c r="BA512" i="3"/>
  <c r="AZ512" i="3"/>
  <c r="BA508" i="3"/>
  <c r="AZ508" i="3" s="1"/>
  <c r="BA506" i="3"/>
  <c r="BA502" i="3"/>
  <c r="BA500" i="3"/>
  <c r="AZ500" i="3" s="1"/>
  <c r="BA496" i="3"/>
  <c r="BA494" i="3"/>
  <c r="AZ494" i="3" s="1"/>
  <c r="BA583" i="3"/>
  <c r="BA581" i="3"/>
  <c r="BA579" i="3"/>
  <c r="BA577" i="3"/>
  <c r="BA575" i="3"/>
  <c r="BA573" i="3"/>
  <c r="BA571" i="3"/>
  <c r="BA569" i="3"/>
  <c r="BA567" i="3"/>
  <c r="BA565" i="3"/>
  <c r="BA559" i="3"/>
  <c r="BA555" i="3"/>
  <c r="BA547" i="3"/>
  <c r="BA545" i="3"/>
  <c r="BA539" i="3"/>
  <c r="BA537" i="3"/>
  <c r="AZ537" i="3" s="1"/>
  <c r="BA531" i="3"/>
  <c r="BA529" i="3"/>
  <c r="BA523" i="3"/>
  <c r="BA519" i="3"/>
  <c r="BA513" i="3"/>
  <c r="AZ513" i="3" s="1"/>
  <c r="BA511" i="3"/>
  <c r="BA503" i="3"/>
  <c r="BA501" i="3"/>
  <c r="BA495" i="3"/>
  <c r="BA493" i="3"/>
  <c r="G583" i="3"/>
  <c r="G581" i="3"/>
  <c r="G579" i="3"/>
  <c r="G577" i="3"/>
  <c r="G575" i="3"/>
  <c r="G573" i="3"/>
  <c r="G571" i="3"/>
  <c r="G569" i="3"/>
  <c r="G567" i="3"/>
  <c r="G565" i="3"/>
  <c r="G563" i="3"/>
  <c r="BA557" i="3"/>
  <c r="AC557" i="3"/>
  <c r="G557" i="3" s="1"/>
  <c r="BQ557" i="3"/>
  <c r="BQ583" i="3"/>
  <c r="BL583" i="3" s="1"/>
  <c r="BQ581" i="3"/>
  <c r="BL581" i="3" s="1"/>
  <c r="BQ579" i="3"/>
  <c r="BL579" i="3"/>
  <c r="BQ577" i="3"/>
  <c r="BL577" i="3" s="1"/>
  <c r="AZ577" i="3" s="1"/>
  <c r="BQ575" i="3"/>
  <c r="BL575" i="3" s="1"/>
  <c r="BQ573" i="3"/>
  <c r="BL573" i="3" s="1"/>
  <c r="BQ571" i="3"/>
  <c r="BL571" i="3"/>
  <c r="BQ569" i="3"/>
  <c r="BL569" i="3" s="1"/>
  <c r="BQ567" i="3"/>
  <c r="BL567" i="3"/>
  <c r="BQ565" i="3"/>
  <c r="BL565" i="3" s="1"/>
  <c r="BQ563" i="3"/>
  <c r="BL563" i="3"/>
  <c r="BQ561" i="3"/>
  <c r="BQ559" i="3"/>
  <c r="G559" i="3"/>
  <c r="G555" i="3"/>
  <c r="G549" i="3"/>
  <c r="G547" i="3"/>
  <c r="G545" i="3"/>
  <c r="G541" i="3"/>
  <c r="G539" i="3"/>
  <c r="G537" i="3"/>
  <c r="BQ555" i="3"/>
  <c r="BL555" i="3"/>
  <c r="BQ553" i="3"/>
  <c r="BL553" i="3" s="1"/>
  <c r="BQ551" i="3"/>
  <c r="BL551" i="3"/>
  <c r="BQ549" i="3"/>
  <c r="BL549" i="3" s="1"/>
  <c r="AZ549" i="3" s="1"/>
  <c r="BQ547" i="3"/>
  <c r="BQ545" i="3"/>
  <c r="BL545" i="3"/>
  <c r="BQ543" i="3"/>
  <c r="BL543" i="3" s="1"/>
  <c r="BQ541" i="3"/>
  <c r="BL541" i="3"/>
  <c r="AZ541" i="3" s="1"/>
  <c r="BQ539" i="3"/>
  <c r="BL539" i="3" s="1"/>
  <c r="BQ537" i="3"/>
  <c r="BQ535" i="3"/>
  <c r="BL535" i="3" s="1"/>
  <c r="AZ535" i="3" s="1"/>
  <c r="BQ533" i="3"/>
  <c r="BQ531" i="3"/>
  <c r="BQ529" i="3"/>
  <c r="BL529" i="3"/>
  <c r="BQ527" i="3"/>
  <c r="BQ525" i="3"/>
  <c r="BL525" i="3"/>
  <c r="AZ525" i="3" s="1"/>
  <c r="BQ523" i="3"/>
  <c r="AC521" i="3"/>
  <c r="G521" i="3" s="1"/>
  <c r="BQ521" i="3"/>
  <c r="BL520" i="3"/>
  <c r="AZ520" i="3" s="1"/>
  <c r="G517" i="3"/>
  <c r="G515" i="3"/>
  <c r="G513" i="3"/>
  <c r="BQ519" i="3"/>
  <c r="BQ517" i="3"/>
  <c r="BL517" i="3"/>
  <c r="BQ515" i="3"/>
  <c r="BQ513" i="3"/>
  <c r="BL513" i="3"/>
  <c r="BQ511" i="3"/>
  <c r="BL511" i="3" s="1"/>
  <c r="AC509" i="3"/>
  <c r="BQ509" i="3"/>
  <c r="BL509" i="3" s="1"/>
  <c r="AZ509" i="3" s="1"/>
  <c r="G507" i="3"/>
  <c r="G505" i="3"/>
  <c r="G503" i="3"/>
  <c r="G501" i="3"/>
  <c r="G499" i="3"/>
  <c r="G497" i="3"/>
  <c r="G495" i="3"/>
  <c r="BQ507" i="3"/>
  <c r="BQ505" i="3"/>
  <c r="BL505" i="3"/>
  <c r="AZ505" i="3" s="1"/>
  <c r="BQ503" i="3"/>
  <c r="BQ501" i="3"/>
  <c r="BL501" i="3"/>
  <c r="BQ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26" i="37"/>
  <c r="AC36" i="34"/>
  <c r="AA13" i="33"/>
  <c r="AC31" i="33"/>
  <c r="U11" i="33"/>
  <c r="U19"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U45" i="39"/>
  <c r="AB45" i="39"/>
  <c r="G100"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514" i="3"/>
  <c r="AZ522" i="3"/>
  <c r="G546" i="3"/>
  <c r="G524" i="3"/>
  <c r="G303" i="3"/>
  <c r="BL304" i="3"/>
  <c r="G305" i="3"/>
  <c r="BL306" i="3"/>
  <c r="AZ306" i="3" s="1"/>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c r="G133" i="3"/>
  <c r="BA135" i="3"/>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AZ160" i="3" s="1"/>
  <c r="G161" i="3"/>
  <c r="BA163" i="3"/>
  <c r="AZ163" i="3" s="1"/>
  <c r="BL164" i="3"/>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79" i="3"/>
  <c r="AZ176" i="3"/>
  <c r="AZ184" i="3"/>
  <c r="AZ120"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22" i="3"/>
  <c r="G342" i="3"/>
  <c r="BL345" i="3"/>
  <c r="AZ345" i="3" s="1"/>
  <c r="G346" i="3"/>
  <c r="BL349" i="3"/>
  <c r="BL352" i="3"/>
  <c r="G353" i="3"/>
  <c r="BA357" i="3"/>
  <c r="AZ357" i="3" s="1"/>
  <c r="BL358" i="3"/>
  <c r="G359" i="3"/>
  <c r="BA361" i="3"/>
  <c r="AZ361" i="3"/>
  <c r="BL362" i="3"/>
  <c r="AZ362" i="3" s="1"/>
  <c r="G363" i="3"/>
  <c r="BA365" i="3"/>
  <c r="BL366" i="3"/>
  <c r="G367" i="3"/>
  <c r="BA369" i="3"/>
  <c r="BL370" i="3"/>
  <c r="AZ370" i="3" s="1"/>
  <c r="G371" i="3"/>
  <c r="BA373" i="3"/>
  <c r="BL374" i="3"/>
  <c r="G375" i="3"/>
  <c r="BA377" i="3"/>
  <c r="AZ377" i="3"/>
  <c r="AZ237" i="3"/>
  <c r="AZ245" i="3"/>
  <c r="AZ257" i="3"/>
  <c r="AZ265" i="3"/>
  <c r="BA379" i="3"/>
  <c r="AZ379" i="3" s="1"/>
  <c r="BL380" i="3"/>
  <c r="G381" i="3"/>
  <c r="BA383" i="3"/>
  <c r="AZ383" i="3" s="1"/>
  <c r="BL384" i="3"/>
  <c r="G385" i="3"/>
  <c r="BA387" i="3"/>
  <c r="AZ387" i="3" s="1"/>
  <c r="BL388" i="3"/>
  <c r="G389" i="3"/>
  <c r="BA391" i="3"/>
  <c r="AZ391" i="3" s="1"/>
  <c r="BL392" i="3"/>
  <c r="G393" i="3"/>
  <c r="AZ283" i="3"/>
  <c r="BO5" i="3"/>
  <c r="BM5" i="3"/>
  <c r="F29" i="6" s="1"/>
  <c r="BJ5" i="3"/>
  <c r="BH5" i="3"/>
  <c r="BF5" i="3"/>
  <c r="BD5" i="3"/>
  <c r="AC5" i="3"/>
  <c r="AZ506" i="3"/>
  <c r="AZ496" i="3"/>
  <c r="G548" i="3"/>
  <c r="G538" i="3"/>
  <c r="G520" i="3"/>
  <c r="G502" i="3"/>
  <c r="BS5" i="3"/>
  <c r="BP5" i="3"/>
  <c r="BN5" i="3"/>
  <c r="G29" i="6" s="1"/>
  <c r="BK5" i="3"/>
  <c r="BI5" i="3"/>
  <c r="BG5" i="3"/>
  <c r="BE5" i="3"/>
  <c r="BC5" i="3"/>
  <c r="G17" i="3"/>
  <c r="BA17" i="3"/>
  <c r="BT5" i="3"/>
  <c r="AZ356" i="3"/>
  <c r="BA15" i="3"/>
  <c r="BR5" i="3"/>
  <c r="AZ380" i="3"/>
  <c r="AZ392" i="3"/>
  <c r="AZ49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0" i="3"/>
  <c r="AZ280" i="3"/>
  <c r="AZ69"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AA32" i="36"/>
  <c r="S32" i="36"/>
  <c r="BL14" i="3"/>
  <c r="U30" i="33"/>
  <c r="AC13" i="34"/>
  <c r="AA47" i="34"/>
  <c r="W28" i="37"/>
  <c r="S19" i="39"/>
  <c r="F12" i="33"/>
  <c r="H12" i="39"/>
  <c r="U12" i="39" s="1"/>
  <c r="AB12" i="39"/>
  <c r="F39" i="40"/>
  <c r="BA14" i="3"/>
  <c r="AZ367" i="3"/>
  <c r="AZ224" i="3"/>
  <c r="AZ189" i="3"/>
  <c r="B12" i="1"/>
  <c r="E12" i="1" s="1"/>
  <c r="B10" i="1"/>
  <c r="E10" i="1" s="1"/>
  <c r="AZ88" i="3"/>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G13" i="3"/>
  <c r="BL17" i="3"/>
  <c r="BL13" i="3"/>
  <c r="J56" i="9"/>
  <c r="J57" i="9" s="1"/>
  <c r="J59" i="9" s="1"/>
  <c r="J61" i="9" s="1"/>
  <c r="A24" i="51"/>
  <c r="B18" i="72" s="1"/>
  <c r="U29" i="34"/>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AC25" i="33"/>
  <c r="AB19"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D6" i="73"/>
  <c r="F8" i="15"/>
  <c r="L47" i="15"/>
  <c r="M24" i="15"/>
  <c r="F4" i="73"/>
  <c r="AO13" i="1"/>
  <c r="F38" i="15"/>
  <c r="B11" i="76"/>
  <c r="B13" i="76"/>
  <c r="B7" i="76"/>
  <c r="F42" i="15"/>
  <c r="E10" i="76"/>
  <c r="F6" i="15"/>
  <c r="B8" i="76"/>
  <c r="M9" i="15"/>
  <c r="M28" i="15"/>
  <c r="E2" i="69"/>
  <c r="M23" i="15"/>
  <c r="F20" i="31"/>
  <c r="B10" i="76"/>
  <c r="F3" i="73"/>
  <c r="E8" i="76"/>
  <c r="F5" i="73"/>
  <c r="F6" i="73"/>
  <c r="E2" i="68"/>
  <c r="F36" i="15"/>
  <c r="M6" i="15"/>
  <c r="B9" i="76"/>
  <c r="E13" i="76"/>
  <c r="E12" i="76"/>
  <c r="F13" i="15"/>
  <c r="J15" i="15"/>
  <c r="M26" i="15"/>
  <c r="B12" i="76"/>
  <c r="L48" i="15"/>
  <c r="C76" i="15"/>
  <c r="E7" i="76"/>
  <c r="M22" i="15"/>
  <c r="E11" i="76"/>
  <c r="F40" i="15"/>
  <c r="F16" i="15"/>
  <c r="F7" i="73"/>
  <c r="M8" i="15"/>
  <c r="H5" i="3" l="1"/>
  <c r="AZ17" i="3"/>
  <c r="F34" i="15"/>
  <c r="F62" i="15" s="1"/>
  <c r="C21" i="68"/>
  <c r="G1" i="68"/>
  <c r="G1" i="67"/>
  <c r="BA22" i="3"/>
  <c r="BL25" i="3"/>
  <c r="BL16" i="3"/>
  <c r="AZ16" i="3" s="1"/>
  <c r="BL18" i="3"/>
  <c r="BL19" i="3"/>
  <c r="BA20" i="3"/>
  <c r="BB5" i="3"/>
  <c r="E15" i="6" s="1"/>
  <c r="E64" i="39" s="1"/>
  <c r="AZ159" i="3"/>
  <c r="S11" i="39"/>
  <c r="AA11" i="39"/>
  <c r="AA38" i="33"/>
  <c r="S38" i="33"/>
  <c r="U34" i="35"/>
  <c r="AB34" i="35"/>
  <c r="AZ364" i="3"/>
  <c r="AZ529" i="3"/>
  <c r="AZ565" i="3"/>
  <c r="AC44" i="33"/>
  <c r="W44" i="33"/>
  <c r="AZ587" i="3"/>
  <c r="AC27" i="33"/>
  <c r="AC23" i="37"/>
  <c r="AC9" i="21"/>
  <c r="U9" i="21"/>
  <c r="S17" i="37"/>
  <c r="U21" i="39"/>
  <c r="AB33" i="34"/>
  <c r="S23" i="39"/>
  <c r="S43" i="34"/>
  <c r="AZ14" i="3"/>
  <c r="AZ374" i="3"/>
  <c r="AZ366" i="3"/>
  <c r="AZ311" i="3"/>
  <c r="AZ511" i="3"/>
  <c r="AZ575" i="3"/>
  <c r="AC47" i="34"/>
  <c r="J29" i="21"/>
  <c r="H29" i="21"/>
  <c r="AC44" i="21"/>
  <c r="W44" i="21"/>
  <c r="B97" i="43"/>
  <c r="B75" i="43"/>
  <c r="AB35" i="33"/>
  <c r="U35" i="33"/>
  <c r="U12" i="35"/>
  <c r="AB12" i="35"/>
  <c r="U23" i="21"/>
  <c r="AA17" i="33"/>
  <c r="S13" i="21"/>
  <c r="AA35" i="33"/>
  <c r="S20" i="35"/>
  <c r="AZ336" i="3"/>
  <c r="AZ539" i="3"/>
  <c r="AZ518" i="3"/>
  <c r="AZ502" i="3"/>
  <c r="W45" i="33"/>
  <c r="AC45" i="33"/>
  <c r="U17" i="34"/>
  <c r="AB17" i="34"/>
  <c r="AA40" i="21"/>
  <c r="S40" i="21"/>
  <c r="BL561" i="3"/>
  <c r="AZ561" i="3" s="1"/>
  <c r="AZ560" i="3"/>
  <c r="AZ556" i="3"/>
  <c r="AZ553" i="3"/>
  <c r="AZ552" i="3"/>
  <c r="AZ544" i="3"/>
  <c r="AZ543" i="3"/>
  <c r="BL533" i="3"/>
  <c r="AZ533" i="3" s="1"/>
  <c r="AZ530" i="3"/>
  <c r="AZ527" i="3"/>
  <c r="AZ524" i="3"/>
  <c r="AZ516" i="3"/>
  <c r="AZ510" i="3"/>
  <c r="AZ504" i="3"/>
  <c r="AZ498" i="3"/>
  <c r="BL585" i="3"/>
  <c r="AZ585" i="3" s="1"/>
  <c r="J27" i="21"/>
  <c r="F27" i="21"/>
  <c r="F26" i="33"/>
  <c r="H26" i="33"/>
  <c r="J39" i="37"/>
  <c r="F39" i="37"/>
  <c r="S39" i="37" s="1"/>
  <c r="H44" i="39"/>
  <c r="J44" i="39"/>
  <c r="G551" i="3"/>
  <c r="BL550" i="3"/>
  <c r="G542" i="3"/>
  <c r="AZ322" i="3"/>
  <c r="AZ313" i="3"/>
  <c r="AZ394" i="3"/>
  <c r="AB38" i="21"/>
  <c r="W23" i="35"/>
  <c r="BL519" i="3"/>
  <c r="AZ519" i="3" s="1"/>
  <c r="BL531" i="3"/>
  <c r="AZ531" i="3" s="1"/>
  <c r="BL559" i="3"/>
  <c r="AZ559" i="3" s="1"/>
  <c r="AZ573" i="3"/>
  <c r="AZ583" i="3"/>
  <c r="AZ576" i="3"/>
  <c r="U36" i="39"/>
  <c r="F14" i="34"/>
  <c r="H30" i="21"/>
  <c r="AB42" i="34"/>
  <c r="F37" i="39"/>
  <c r="J31" i="39"/>
  <c r="S38" i="39"/>
  <c r="J9" i="33"/>
  <c r="J9" i="34"/>
  <c r="H25" i="37"/>
  <c r="F25" i="37"/>
  <c r="U8" i="39"/>
  <c r="AB8" i="39"/>
  <c r="AC31" i="40"/>
  <c r="W31" i="40"/>
  <c r="G570" i="3"/>
  <c r="AZ388" i="3"/>
  <c r="AZ334" i="3"/>
  <c r="AZ372" i="3"/>
  <c r="AZ347" i="3"/>
  <c r="AZ337" i="3"/>
  <c r="AZ123" i="3"/>
  <c r="AZ376" i="3"/>
  <c r="AZ309" i="3"/>
  <c r="H37" i="39"/>
  <c r="BL503" i="3"/>
  <c r="AZ503" i="3" s="1"/>
  <c r="BL515" i="3"/>
  <c r="AZ515" i="3" s="1"/>
  <c r="BL523" i="3"/>
  <c r="AZ523" i="3" s="1"/>
  <c r="BL527" i="3"/>
  <c r="BL547" i="3"/>
  <c r="AZ547" i="3" s="1"/>
  <c r="AZ569" i="3"/>
  <c r="BL557" i="3"/>
  <c r="AZ557" i="3" s="1"/>
  <c r="AZ571" i="3"/>
  <c r="AZ579" i="3"/>
  <c r="F38" i="37"/>
  <c r="H45" i="33"/>
  <c r="W8" i="34"/>
  <c r="F31" i="39"/>
  <c r="U9" i="40"/>
  <c r="H39" i="37"/>
  <c r="U33" i="33"/>
  <c r="G585" i="3"/>
  <c r="BL587" i="3"/>
  <c r="BL586" i="3"/>
  <c r="AZ586" i="3" s="1"/>
  <c r="B72" i="43"/>
  <c r="C15" i="39"/>
  <c r="H23" i="35"/>
  <c r="AB31" i="36"/>
  <c r="U31" i="36"/>
  <c r="F44" i="39"/>
  <c r="S9" i="40"/>
  <c r="AA9" i="40"/>
  <c r="AA31" i="35"/>
  <c r="S31" i="35"/>
  <c r="F12" i="35"/>
  <c r="J12" i="35"/>
  <c r="J43" i="39"/>
  <c r="H43" i="39"/>
  <c r="G574" i="3"/>
  <c r="AZ413" i="3"/>
  <c r="AZ422" i="3"/>
  <c r="U30" i="37"/>
  <c r="G587" i="3"/>
  <c r="BA551" i="3"/>
  <c r="AZ551" i="3" s="1"/>
  <c r="BA550" i="3"/>
  <c r="BL548" i="3"/>
  <c r="AZ548" i="3" s="1"/>
  <c r="G404" i="3"/>
  <c r="BA424" i="3"/>
  <c r="AZ451" i="3"/>
  <c r="AZ270" i="3"/>
  <c r="BA400" i="3"/>
  <c r="AZ400" i="3" s="1"/>
  <c r="G403" i="3"/>
  <c r="AZ405" i="3"/>
  <c r="G407" i="3"/>
  <c r="BA410" i="3"/>
  <c r="BL15" i="3"/>
  <c r="AZ15" i="3" s="1"/>
  <c r="BA398" i="3"/>
  <c r="AZ398" i="3" s="1"/>
  <c r="BA399" i="3"/>
  <c r="AZ399" i="3" s="1"/>
  <c r="BL402" i="3"/>
  <c r="AZ402" i="3" s="1"/>
  <c r="BL406" i="3"/>
  <c r="AZ406" i="3" s="1"/>
  <c r="AZ407" i="3"/>
  <c r="AZ419" i="3"/>
  <c r="AZ443" i="3"/>
  <c r="AZ487" i="3"/>
  <c r="AZ125" i="3"/>
  <c r="G399" i="3"/>
  <c r="BL400" i="3"/>
  <c r="BL408" i="3"/>
  <c r="BL411" i="3"/>
  <c r="BL413"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BL375" i="3"/>
  <c r="AZ375" i="3" s="1"/>
  <c r="BL385" i="3"/>
  <c r="AZ385" i="3" s="1"/>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AZ258" i="3" s="1"/>
  <c r="BL264" i="3"/>
  <c r="BL266" i="3"/>
  <c r="BA268" i="3"/>
  <c r="BL273" i="3"/>
  <c r="AZ273" i="3" s="1"/>
  <c r="G274" i="3"/>
  <c r="BA277" i="3"/>
  <c r="BL277" i="3"/>
  <c r="BA282" i="3"/>
  <c r="AZ282" i="3" s="1"/>
  <c r="BL282" i="3"/>
  <c r="BA284" i="3"/>
  <c r="AZ284" i="3" s="1"/>
  <c r="BL290" i="3"/>
  <c r="BL291" i="3"/>
  <c r="AZ291" i="3" s="1"/>
  <c r="BL293" i="3"/>
  <c r="BL294" i="3"/>
  <c r="BA297" i="3"/>
  <c r="BL297" i="3"/>
  <c r="BL300" i="3"/>
  <c r="BA302" i="3"/>
  <c r="G115" i="3"/>
  <c r="BA117" i="3"/>
  <c r="BA130" i="3"/>
  <c r="AZ130" i="3" s="1"/>
  <c r="BL130" i="3"/>
  <c r="BL149" i="3"/>
  <c r="AZ149" i="3" s="1"/>
  <c r="BL150" i="3"/>
  <c r="BA152" i="3"/>
  <c r="AZ152" i="3" s="1"/>
  <c r="BA154" i="3"/>
  <c r="AZ154" i="3" s="1"/>
  <c r="BA164" i="3"/>
  <c r="AZ164" i="3" s="1"/>
  <c r="BA173" i="3"/>
  <c r="AZ173" i="3" s="1"/>
  <c r="BA177" i="3"/>
  <c r="BL398" i="3"/>
  <c r="G402" i="3"/>
  <c r="BL403" i="3"/>
  <c r="AZ403" i="3" s="1"/>
  <c r="G405" i="3"/>
  <c r="G406" i="3"/>
  <c r="BA408" i="3"/>
  <c r="AZ408" i="3" s="1"/>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AZ438" i="3" s="1"/>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G362" i="3"/>
  <c r="BL365" i="3"/>
  <c r="AZ365" i="3" s="1"/>
  <c r="G366" i="3"/>
  <c r="BA368" i="3"/>
  <c r="BL368" i="3"/>
  <c r="BA374" i="3"/>
  <c r="BA388" i="3"/>
  <c r="BA396" i="3"/>
  <c r="BA209" i="3"/>
  <c r="BL217" i="3"/>
  <c r="BA219" i="3"/>
  <c r="AZ219" i="3" s="1"/>
  <c r="BA221" i="3"/>
  <c r="BA223" i="3"/>
  <c r="AZ223" i="3" s="1"/>
  <c r="BL228" i="3"/>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AZ126" i="3"/>
  <c r="BA129" i="3"/>
  <c r="BL133" i="3"/>
  <c r="AZ133" i="3" s="1"/>
  <c r="BA144" i="3"/>
  <c r="AZ144" i="3" s="1"/>
  <c r="BL401" i="3"/>
  <c r="AZ401" i="3" s="1"/>
  <c r="BL404" i="3"/>
  <c r="AZ404" i="3" s="1"/>
  <c r="BL405" i="3"/>
  <c r="BL407" i="3"/>
  <c r="BA412" i="3"/>
  <c r="AZ412" i="3" s="1"/>
  <c r="BA414" i="3"/>
  <c r="AZ414" i="3" s="1"/>
  <c r="BA415" i="3"/>
  <c r="BA416" i="3"/>
  <c r="AZ416" i="3" s="1"/>
  <c r="BA418" i="3"/>
  <c r="BA421" i="3"/>
  <c r="AZ421" i="3" s="1"/>
  <c r="BA423" i="3"/>
  <c r="AZ423" i="3" s="1"/>
  <c r="BA425" i="3"/>
  <c r="BA426" i="3"/>
  <c r="AZ426" i="3" s="1"/>
  <c r="BA427" i="3"/>
  <c r="AZ427" i="3" s="1"/>
  <c r="BA433" i="3"/>
  <c r="AZ433" i="3" s="1"/>
  <c r="BA435" i="3"/>
  <c r="BL437" i="3"/>
  <c r="AZ437" i="3" s="1"/>
  <c r="G439" i="3"/>
  <c r="BL441" i="3"/>
  <c r="AZ441" i="3" s="1"/>
  <c r="BL442" i="3"/>
  <c r="BL444" i="3"/>
  <c r="G446" i="3"/>
  <c r="BL448" i="3"/>
  <c r="G450" i="3"/>
  <c r="BA454" i="3"/>
  <c r="AZ454" i="3" s="1"/>
  <c r="BA457" i="3"/>
  <c r="AZ457" i="3" s="1"/>
  <c r="BA459" i="3"/>
  <c r="BA460" i="3"/>
  <c r="BA461" i="3"/>
  <c r="AZ469" i="3"/>
  <c r="AZ483" i="3"/>
  <c r="BA333" i="3"/>
  <c r="BL346" i="3"/>
  <c r="AZ346" i="3" s="1"/>
  <c r="G349" i="3"/>
  <c r="G374" i="3"/>
  <c r="BA384" i="3"/>
  <c r="AZ384" i="3" s="1"/>
  <c r="AZ217" i="3"/>
  <c r="AZ228" i="3"/>
  <c r="G288" i="3"/>
  <c r="BL292" i="3"/>
  <c r="BA294" i="3"/>
  <c r="AZ294" i="3" s="1"/>
  <c r="BL295" i="3"/>
  <c r="BA298" i="3"/>
  <c r="AZ298" i="3" s="1"/>
  <c r="BL301" i="3"/>
  <c r="AZ301" i="3" s="1"/>
  <c r="BL302" i="3"/>
  <c r="BA114" i="3"/>
  <c r="BL123" i="3"/>
  <c r="BA128" i="3"/>
  <c r="AZ128" i="3" s="1"/>
  <c r="BL134" i="3"/>
  <c r="BL135" i="3"/>
  <c r="AZ135" i="3" s="1"/>
  <c r="BL138" i="3"/>
  <c r="BA140" i="3"/>
  <c r="AZ140" i="3" s="1"/>
  <c r="BA142" i="3"/>
  <c r="BL155" i="3"/>
  <c r="AZ155" i="3" s="1"/>
  <c r="BL158" i="3"/>
  <c r="BL162" i="3"/>
  <c r="AZ162" i="3" s="1"/>
  <c r="AZ444" i="3"/>
  <c r="AZ448" i="3"/>
  <c r="BL467" i="3"/>
  <c r="BL468" i="3"/>
  <c r="BL470" i="3"/>
  <c r="AZ470" i="3" s="1"/>
  <c r="BL473" i="3"/>
  <c r="AZ473" i="3" s="1"/>
  <c r="BL474" i="3"/>
  <c r="BA482" i="3"/>
  <c r="BA484" i="3"/>
  <c r="AZ484" i="3" s="1"/>
  <c r="BA303" i="3"/>
  <c r="AZ303" i="3" s="1"/>
  <c r="BA307" i="3"/>
  <c r="AZ307" i="3" s="1"/>
  <c r="BL314" i="3"/>
  <c r="AZ314" i="3" s="1"/>
  <c r="G397" i="3"/>
  <c r="G210" i="3"/>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L270" i="3"/>
  <c r="BA272" i="3"/>
  <c r="AZ272" i="3" s="1"/>
  <c r="BL275" i="3"/>
  <c r="AZ275" i="3" s="1"/>
  <c r="G277" i="3"/>
  <c r="G280" i="3"/>
  <c r="G282" i="3"/>
  <c r="BL285" i="3"/>
  <c r="BL287" i="3"/>
  <c r="BA290" i="3"/>
  <c r="G297" i="3"/>
  <c r="BL299" i="3"/>
  <c r="BL113" i="3"/>
  <c r="BL115" i="3"/>
  <c r="AZ115" i="3" s="1"/>
  <c r="BA118" i="3"/>
  <c r="BL118" i="3"/>
  <c r="BA122" i="3"/>
  <c r="AZ122" i="3" s="1"/>
  <c r="BL125" i="3"/>
  <c r="BL126" i="3"/>
  <c r="AZ137" i="3"/>
  <c r="BL141" i="3"/>
  <c r="BA168" i="3"/>
  <c r="AZ168" i="3" s="1"/>
  <c r="BA169" i="3"/>
  <c r="AZ169" i="3" s="1"/>
  <c r="BA174" i="3"/>
  <c r="BL157" i="3"/>
  <c r="AZ157" i="3" s="1"/>
  <c r="BL159" i="3"/>
  <c r="BL177" i="3"/>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BL53" i="3"/>
  <c r="BA56" i="3"/>
  <c r="BA57" i="3"/>
  <c r="AZ57" i="3" s="1"/>
  <c r="BL58" i="3"/>
  <c r="G60" i="3"/>
  <c r="BA60" i="3"/>
  <c r="AZ60" i="3" s="1"/>
  <c r="BA63" i="3"/>
  <c r="AZ63" i="3" s="1"/>
  <c r="BA66" i="3"/>
  <c r="AZ66" i="3" s="1"/>
  <c r="BA71" i="3"/>
  <c r="BL75" i="3"/>
  <c r="V24" i="71"/>
  <c r="E23" i="71"/>
  <c r="E22" i="71" s="1"/>
  <c r="E21" i="71" s="1"/>
  <c r="E20" i="71" s="1"/>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BL63" i="3"/>
  <c r="G65" i="3"/>
  <c r="BL65" i="3"/>
  <c r="BL66" i="3"/>
  <c r="BL67" i="3"/>
  <c r="AZ67" i="3" s="1"/>
  <c r="G69" i="3"/>
  <c r="G70" i="3"/>
  <c r="BL70" i="3"/>
  <c r="BL71" i="3"/>
  <c r="BA78" i="3"/>
  <c r="AZ78" i="3" s="1"/>
  <c r="BA80" i="3"/>
  <c r="G84" i="3"/>
  <c r="BL84" i="3"/>
  <c r="AZ84" i="3" s="1"/>
  <c r="BA89" i="3"/>
  <c r="BL92" i="3"/>
  <c r="BL94" i="3"/>
  <c r="BL99" i="3"/>
  <c r="G101" i="3"/>
  <c r="BA101" i="3"/>
  <c r="BA102" i="3"/>
  <c r="G111" i="3"/>
  <c r="C44" i="71"/>
  <c r="D43" i="71"/>
  <c r="AZ62" i="3"/>
  <c r="AZ64" i="3"/>
  <c r="AZ65" i="3"/>
  <c r="AZ70" i="3"/>
  <c r="BA72" i="3"/>
  <c r="AZ72" i="3" s="1"/>
  <c r="BA73" i="3"/>
  <c r="AZ73" i="3" s="1"/>
  <c r="BA105" i="3"/>
  <c r="AZ105" i="3" s="1"/>
  <c r="BA106" i="3"/>
  <c r="BL108" i="3"/>
  <c r="AA21" i="33"/>
  <c r="S21" i="33"/>
  <c r="C47" i="71"/>
  <c r="D47" i="71" s="1"/>
  <c r="D46" i="71"/>
  <c r="BL179" i="3"/>
  <c r="AZ179" i="3" s="1"/>
  <c r="BA181" i="3"/>
  <c r="AZ181" i="3" s="1"/>
  <c r="BA182" i="3"/>
  <c r="BL185" i="3"/>
  <c r="BL193" i="3"/>
  <c r="AZ193" i="3" s="1"/>
  <c r="BL194" i="3"/>
  <c r="AZ194" i="3" s="1"/>
  <c r="BA198" i="3"/>
  <c r="AZ198" i="3" s="1"/>
  <c r="G199" i="3"/>
  <c r="G205" i="3"/>
  <c r="BL206" i="3"/>
  <c r="BA19" i="3"/>
  <c r="AZ19" i="3" s="1"/>
  <c r="G27" i="3"/>
  <c r="BA27" i="3"/>
  <c r="AZ27" i="3" s="1"/>
  <c r="BL30" i="3"/>
  <c r="BL31" i="3"/>
  <c r="AZ31" i="3" s="1"/>
  <c r="G37" i="3"/>
  <c r="BL40" i="3"/>
  <c r="AZ40" i="3" s="1"/>
  <c r="BL41" i="3"/>
  <c r="AZ41" i="3" s="1"/>
  <c r="BL45" i="3"/>
  <c r="BA48" i="3"/>
  <c r="BA49" i="3"/>
  <c r="AZ49" i="3" s="1"/>
  <c r="BA51" i="3"/>
  <c r="AZ51" i="3" s="1"/>
  <c r="G55" i="3"/>
  <c r="BL56" i="3"/>
  <c r="BA58" i="3"/>
  <c r="AZ58" i="3" s="1"/>
  <c r="BL59" i="3"/>
  <c r="AZ59" i="3" s="1"/>
  <c r="BL60" i="3"/>
  <c r="BA61" i="3"/>
  <c r="AZ61" i="3" s="1"/>
  <c r="BA68" i="3"/>
  <c r="BL77" i="3"/>
  <c r="AZ77" i="3" s="1"/>
  <c r="BL81" i="3"/>
  <c r="BA82" i="3"/>
  <c r="AZ82" i="3" s="1"/>
  <c r="BL83" i="3"/>
  <c r="G88" i="3"/>
  <c r="BA90" i="3"/>
  <c r="BA94" i="3"/>
  <c r="AZ94" i="3" s="1"/>
  <c r="BA100" i="3"/>
  <c r="AZ100" i="3" s="1"/>
  <c r="G102" i="3"/>
  <c r="BA103" i="3"/>
  <c r="AZ103" i="3" s="1"/>
  <c r="BA104" i="3"/>
  <c r="G108" i="3"/>
  <c r="G109" i="3"/>
  <c r="D31" i="71"/>
  <c r="C32" i="71"/>
  <c r="C52" i="71"/>
  <c r="D51" i="71"/>
  <c r="C55" i="71"/>
  <c r="D54" i="71"/>
  <c r="C60" i="71"/>
  <c r="D59" i="71"/>
  <c r="N67" i="71"/>
  <c r="B66" i="71"/>
  <c r="F66" i="71"/>
  <c r="Q66" i="71" s="1"/>
  <c r="Q67" i="71"/>
  <c r="BL73" i="3"/>
  <c r="BA74" i="3"/>
  <c r="AZ74" i="3" s="1"/>
  <c r="BA75" i="3"/>
  <c r="AZ75" i="3" s="1"/>
  <c r="G81" i="3"/>
  <c r="G85" i="3"/>
  <c r="BL85" i="3"/>
  <c r="BA86" i="3"/>
  <c r="AZ86" i="3" s="1"/>
  <c r="BA87" i="3"/>
  <c r="BA91" i="3"/>
  <c r="AZ91" i="3" s="1"/>
  <c r="G96" i="3"/>
  <c r="BL97" i="3"/>
  <c r="AZ97" i="3" s="1"/>
  <c r="BL101" i="3"/>
  <c r="BL102" i="3"/>
  <c r="G104" i="3"/>
  <c r="G105" i="3"/>
  <c r="BL106" i="3"/>
  <c r="BA108" i="3"/>
  <c r="BA110" i="3"/>
  <c r="AZ110" i="3" s="1"/>
  <c r="F3" i="35"/>
  <c r="S21" i="37"/>
  <c r="W29" i="39"/>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L111" i="3"/>
  <c r="AZ111" i="3" s="1"/>
  <c r="U29" i="39"/>
  <c r="C66" i="71"/>
  <c r="AA27" i="71"/>
  <c r="S28" i="71"/>
  <c r="C83" i="71"/>
  <c r="C79" i="71"/>
  <c r="C71" i="71"/>
  <c r="C39" i="71"/>
  <c r="Y28" i="71"/>
  <c r="Z28" i="71" s="1"/>
  <c r="C28" i="71"/>
  <c r="Y37" i="71"/>
  <c r="Z37" i="71" s="1"/>
  <c r="X35" i="71"/>
  <c r="Y30" i="71"/>
  <c r="Z30" i="71" s="1"/>
  <c r="X28" i="71"/>
  <c r="X32" i="71"/>
  <c r="F40" i="71"/>
  <c r="V40" i="71" s="1"/>
  <c r="AB38" i="71"/>
  <c r="AA39" i="71"/>
  <c r="F75" i="71"/>
  <c r="F74" i="71" s="1"/>
  <c r="BL112" i="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63" i="3"/>
  <c r="AZ489" i="3"/>
  <c r="AZ212"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90" i="3"/>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BL202" i="3"/>
  <c r="AZ202" i="3" s="1"/>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D86" i="43" s="1"/>
  <c r="J87" i="43"/>
  <c r="J88" i="43"/>
  <c r="D88" i="43" s="1"/>
  <c r="J89" i="43"/>
  <c r="J90" i="43"/>
  <c r="D83" i="43"/>
  <c r="D66" i="43"/>
  <c r="D64" i="43"/>
  <c r="D62" i="43"/>
  <c r="D67" i="43"/>
  <c r="D65" i="43"/>
  <c r="D63" i="43"/>
  <c r="D69" i="43"/>
  <c r="D73" i="43"/>
  <c r="D75" i="43"/>
  <c r="D79" i="43"/>
  <c r="D22" i="67"/>
  <c r="AQ13" i="1"/>
  <c r="E8" i="6"/>
  <c r="E12" i="6"/>
  <c r="E57" i="40" s="1"/>
  <c r="E10" i="6"/>
  <c r="E13" i="6"/>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15"/>
  <c r="L59" i="15"/>
  <c r="N59" i="15"/>
  <c r="L58" i="15"/>
  <c r="M59" i="15"/>
  <c r="F66" i="15"/>
  <c r="F64" i="15"/>
  <c r="B13" i="70"/>
  <c r="F68" i="15"/>
  <c r="D9" i="69"/>
  <c r="D9" i="68"/>
  <c r="M24" i="67"/>
  <c r="M22" i="67"/>
  <c r="F43" i="67"/>
  <c r="F16" i="67"/>
  <c r="F13" i="67"/>
  <c r="F40" i="67"/>
  <c r="M28" i="67"/>
  <c r="F8" i="67"/>
  <c r="L48" i="67"/>
  <c r="F37" i="67"/>
  <c r="L47" i="67"/>
  <c r="M9" i="67"/>
  <c r="F38" i="67"/>
  <c r="F6" i="67"/>
  <c r="M6" i="67"/>
  <c r="F26" i="67"/>
  <c r="J15" i="67"/>
  <c r="M26" i="67"/>
  <c r="M29" i="67"/>
  <c r="F9" i="67"/>
  <c r="F42" i="67"/>
  <c r="M8" i="67"/>
  <c r="F7" i="67"/>
  <c r="M23" i="67"/>
  <c r="C76" i="67"/>
  <c r="F36" i="67"/>
  <c r="F9" i="15"/>
  <c r="D4" i="73"/>
  <c r="D3" i="73"/>
  <c r="C16" i="67"/>
  <c r="D5" i="73"/>
  <c r="D7" i="73"/>
  <c r="F37" i="15"/>
  <c r="F26" i="15"/>
  <c r="E14" i="6" l="1"/>
  <c r="E63" i="39" s="1"/>
  <c r="E11" i="6"/>
  <c r="E60" i="39" s="1"/>
  <c r="E83" i="43"/>
  <c r="B81" i="43" s="1"/>
  <c r="F64" i="67"/>
  <c r="Q71" i="67"/>
  <c r="M7" i="67"/>
  <c r="J6" i="67" s="1"/>
  <c r="J18" i="67" s="1"/>
  <c r="F50" i="67"/>
  <c r="C27" i="67"/>
  <c r="C6" i="67"/>
  <c r="F66" i="67"/>
  <c r="L59" i="67"/>
  <c r="Q61" i="67" s="1"/>
  <c r="N59" i="67"/>
  <c r="L58" i="67"/>
  <c r="Q73" i="67" s="1"/>
  <c r="M59" i="67"/>
  <c r="F65" i="67"/>
  <c r="J57" i="67"/>
  <c r="J55" i="67" s="1"/>
  <c r="J58" i="67" s="1"/>
  <c r="Q50" i="67" s="1"/>
  <c r="L56" i="67"/>
  <c r="I54" i="67"/>
  <c r="J53" i="67"/>
  <c r="F1" i="67" s="1"/>
  <c r="F51" i="67"/>
  <c r="F68" i="67"/>
  <c r="F71" i="67"/>
  <c r="N370" i="46"/>
  <c r="E26" i="43"/>
  <c r="H26" i="43"/>
  <c r="G26" i="43"/>
  <c r="J26" i="43"/>
  <c r="P6" i="1"/>
  <c r="C13" i="12" s="1"/>
  <c r="E59" i="40"/>
  <c r="C27" i="15"/>
  <c r="F65" i="15"/>
  <c r="T52" i="71"/>
  <c r="D52" i="71"/>
  <c r="D44" i="71"/>
  <c r="T44" i="71"/>
  <c r="AB43" i="39"/>
  <c r="U43" i="39"/>
  <c r="AA44" i="39"/>
  <c r="S44" i="39"/>
  <c r="D20" i="53"/>
  <c r="B40" i="72" s="1"/>
  <c r="E28" i="6"/>
  <c r="K14" i="1" s="1"/>
  <c r="AZ83" i="3"/>
  <c r="AZ141" i="3"/>
  <c r="AZ117" i="3"/>
  <c r="AZ287" i="3"/>
  <c r="AZ209" i="3"/>
  <c r="AZ234" i="3"/>
  <c r="T28" i="71"/>
  <c r="D28" i="71"/>
  <c r="U28" i="71" s="1"/>
  <c r="C27" i="71"/>
  <c r="D79" i="71"/>
  <c r="C78" i="71"/>
  <c r="D78" i="71" s="1"/>
  <c r="O65" i="71"/>
  <c r="D66" i="71"/>
  <c r="O66" i="71"/>
  <c r="N65" i="71"/>
  <c r="N66" i="71"/>
  <c r="T32" i="71"/>
  <c r="D32" i="71"/>
  <c r="AZ21" i="3"/>
  <c r="AZ461" i="3"/>
  <c r="AZ418" i="3"/>
  <c r="AZ263" i="3"/>
  <c r="AZ243" i="3"/>
  <c r="AZ368" i="3"/>
  <c r="AZ471" i="3"/>
  <c r="AZ297" i="3"/>
  <c r="AZ241" i="3"/>
  <c r="AZ210" i="3"/>
  <c r="AC43" i="39"/>
  <c r="W43" i="39"/>
  <c r="AB37" i="39"/>
  <c r="U37" i="39"/>
  <c r="AC9" i="33"/>
  <c r="W9" i="33"/>
  <c r="AC39" i="37"/>
  <c r="W39" i="37"/>
  <c r="W27" i="21"/>
  <c r="AC27" i="21"/>
  <c r="C70" i="71"/>
  <c r="D70" i="71" s="1"/>
  <c r="D71" i="71"/>
  <c r="AA31" i="39"/>
  <c r="S31" i="39"/>
  <c r="AA37" i="39"/>
  <c r="S37" i="39"/>
  <c r="AC29" i="21"/>
  <c r="W29" i="21"/>
  <c r="Q65" i="71"/>
  <c r="AZ114" i="3"/>
  <c r="D83" i="71"/>
  <c r="C82" i="71"/>
  <c r="D82" i="71" s="1"/>
  <c r="C36" i="71"/>
  <c r="D35" i="71"/>
  <c r="AZ108" i="3"/>
  <c r="C56" i="71"/>
  <c r="D55" i="71"/>
  <c r="AZ182" i="3"/>
  <c r="AZ102" i="3"/>
  <c r="AZ71" i="3"/>
  <c r="AZ118" i="3"/>
  <c r="AZ249" i="3"/>
  <c r="AZ218" i="3"/>
  <c r="AZ460" i="3"/>
  <c r="AZ435" i="3"/>
  <c r="AZ425" i="3"/>
  <c r="AZ271" i="3"/>
  <c r="AZ238" i="3"/>
  <c r="AZ302" i="3"/>
  <c r="AZ277" i="3"/>
  <c r="AZ256" i="3"/>
  <c r="AZ550" i="3"/>
  <c r="W12" i="35"/>
  <c r="AC12" i="35"/>
  <c r="AB39" i="37"/>
  <c r="U39" i="37"/>
  <c r="U45" i="33"/>
  <c r="AB45" i="33"/>
  <c r="AA25" i="37"/>
  <c r="S25" i="37"/>
  <c r="AB30" i="21"/>
  <c r="U30" i="21"/>
  <c r="AC44" i="39"/>
  <c r="W44" i="39"/>
  <c r="AB26" i="33"/>
  <c r="U26" i="33"/>
  <c r="D60" i="71"/>
  <c r="T60" i="71"/>
  <c r="AC9" i="34"/>
  <c r="W9" i="34"/>
  <c r="AA27" i="21"/>
  <c r="S27" i="21"/>
  <c r="G5" i="3"/>
  <c r="B3" i="3" s="1"/>
  <c r="E235" i="3" s="1"/>
  <c r="AZ113" i="3"/>
  <c r="AZ295" i="3"/>
  <c r="AZ281" i="3"/>
  <c r="C40" i="71"/>
  <c r="D39" i="71"/>
  <c r="AZ101" i="3"/>
  <c r="AZ150" i="3"/>
  <c r="AZ459" i="3"/>
  <c r="AZ415" i="3"/>
  <c r="AZ411" i="3"/>
  <c r="AZ177" i="3"/>
  <c r="U23" i="35"/>
  <c r="AB23" i="35"/>
  <c r="S38" i="37"/>
  <c r="AA38" i="37"/>
  <c r="U25" i="37"/>
  <c r="AB25" i="37"/>
  <c r="AC31" i="39"/>
  <c r="W31" i="39"/>
  <c r="S14" i="34"/>
  <c r="AA14" i="34"/>
  <c r="AB44" i="39"/>
  <c r="U44" i="39"/>
  <c r="S26" i="33"/>
  <c r="AA26" i="33"/>
  <c r="U29" i="21"/>
  <c r="AB29" i="21"/>
  <c r="J7" i="37"/>
  <c r="AC7" i="37" s="1"/>
  <c r="K1" i="73"/>
  <c r="E339" i="3"/>
  <c r="E297" i="3"/>
  <c r="E462" i="3"/>
  <c r="W6" i="3"/>
  <c r="E196" i="3"/>
  <c r="E367" i="3"/>
  <c r="E426" i="3"/>
  <c r="S6" i="3"/>
  <c r="E237" i="3"/>
  <c r="E353" i="3"/>
  <c r="E238" i="3"/>
  <c r="E120" i="3"/>
  <c r="AE6" i="3"/>
  <c r="E73" i="3"/>
  <c r="E394" i="3"/>
  <c r="AG6" i="3"/>
  <c r="E558" i="3"/>
  <c r="E88" i="3"/>
  <c r="E125" i="3"/>
  <c r="N6" i="3"/>
  <c r="E396" i="3"/>
  <c r="E320" i="3"/>
  <c r="E114" i="3"/>
  <c r="E550" i="3"/>
  <c r="E293" i="3"/>
  <c r="E453" i="3"/>
  <c r="E99" i="3"/>
  <c r="E562" i="3"/>
  <c r="E72" i="3"/>
  <c r="E351" i="3"/>
  <c r="E585" i="3"/>
  <c r="E414" i="3"/>
  <c r="E505" i="3"/>
  <c r="E27" i="3"/>
  <c r="E186" i="3"/>
  <c r="E331" i="3"/>
  <c r="E175" i="3"/>
  <c r="E343" i="3"/>
  <c r="E508" i="3"/>
  <c r="E337" i="3"/>
  <c r="E270" i="3"/>
  <c r="AR6" i="3"/>
  <c r="E380" i="3"/>
  <c r="E216" i="3"/>
  <c r="E261" i="3"/>
  <c r="E503" i="3"/>
  <c r="E91" i="3"/>
  <c r="E301" i="3"/>
  <c r="E124" i="3"/>
  <c r="E347" i="3"/>
  <c r="E568" i="3"/>
  <c r="E228" i="3"/>
  <c r="E133" i="3"/>
  <c r="E560" i="3"/>
  <c r="E587" i="3"/>
  <c r="E468" i="3"/>
  <c r="E106" i="3"/>
  <c r="E315" i="3"/>
  <c r="E74" i="3"/>
  <c r="E368" i="3"/>
  <c r="Z6" i="3"/>
  <c r="E485" i="3"/>
  <c r="E345" i="3"/>
  <c r="E28" i="3"/>
  <c r="E182" i="3"/>
  <c r="E273" i="3"/>
  <c r="E217" i="3"/>
  <c r="E268" i="3"/>
  <c r="AJ6" i="3"/>
  <c r="E247" i="3"/>
  <c r="E311" i="3"/>
  <c r="E570" i="3"/>
  <c r="E335" i="3"/>
  <c r="E189" i="3"/>
  <c r="E278" i="3"/>
  <c r="E535" i="3"/>
  <c r="E135" i="3"/>
  <c r="E263" i="3"/>
  <c r="E246" i="3"/>
  <c r="E100" i="3"/>
  <c r="E148" i="3"/>
  <c r="E275" i="3"/>
  <c r="E483" i="3"/>
  <c r="AA26" i="37"/>
  <c r="S26" i="37"/>
  <c r="BA5" i="3"/>
  <c r="C19" i="71"/>
  <c r="T20" i="71"/>
  <c r="D20" i="71"/>
  <c r="U20" i="71" s="1"/>
  <c r="AZ5" i="3"/>
  <c r="AY6" i="3" s="1"/>
  <c r="E240" i="3"/>
  <c r="E219" i="3"/>
  <c r="W40" i="40"/>
  <c r="AC40" i="40"/>
  <c r="AC12" i="21"/>
  <c r="W12" i="21"/>
  <c r="AB12" i="21"/>
  <c r="U12" i="21"/>
  <c r="AA27" i="34"/>
  <c r="S27" i="34"/>
  <c r="AC26" i="37"/>
  <c r="W26" i="37"/>
  <c r="BL5" i="3"/>
  <c r="B15" i="71"/>
  <c r="B14" i="71" s="1"/>
  <c r="B13" i="71" s="1"/>
  <c r="B12" i="71" s="1"/>
  <c r="S16" i="71"/>
  <c r="F7" i="36"/>
  <c r="AA7" i="36" s="1"/>
  <c r="H7" i="36"/>
  <c r="E94"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D26" i="43"/>
  <c r="C25" i="43"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32" i="67"/>
  <c r="M11" i="67"/>
  <c r="J10" i="67" s="1"/>
  <c r="F11" i="15"/>
  <c r="M11" i="15"/>
  <c r="J10" i="15" s="1"/>
  <c r="F11" i="67"/>
  <c r="F1" i="15"/>
  <c r="Q52" i="15"/>
  <c r="Q60" i="15"/>
  <c r="Q73" i="15"/>
  <c r="Q74" i="15"/>
  <c r="Q61" i="15"/>
  <c r="AE11" i="1"/>
  <c r="AE9" i="1"/>
  <c r="AE7" i="1"/>
  <c r="AE8" i="1"/>
  <c r="AE12" i="1"/>
  <c r="AE10" i="1"/>
  <c r="C36" i="68"/>
  <c r="F27" i="68"/>
  <c r="AE6" i="1"/>
  <c r="F41" i="67"/>
  <c r="G1" i="73"/>
  <c r="E131" i="3" l="1"/>
  <c r="E132" i="3"/>
  <c r="AI6" i="3"/>
  <c r="E172" i="3"/>
  <c r="AB6" i="3"/>
  <c r="E579" i="3"/>
  <c r="E572" i="3"/>
  <c r="E531" i="3"/>
  <c r="E204" i="3"/>
  <c r="E171" i="3"/>
  <c r="E406" i="3"/>
  <c r="E545" i="3"/>
  <c r="E586" i="3"/>
  <c r="E183" i="3"/>
  <c r="E538" i="3"/>
  <c r="E555" i="3"/>
  <c r="E44" i="3"/>
  <c r="E476" i="3"/>
  <c r="E549" i="3"/>
  <c r="E573" i="3"/>
  <c r="E245" i="3"/>
  <c r="E559" i="3"/>
  <c r="E316" i="3"/>
  <c r="E236" i="3"/>
  <c r="E437" i="3"/>
  <c r="E159" i="3"/>
  <c r="E291" i="3"/>
  <c r="E136" i="3"/>
  <c r="E212" i="3"/>
  <c r="F19" i="6"/>
  <c r="E310" i="3"/>
  <c r="E299" i="3"/>
  <c r="E101" i="3"/>
  <c r="E416" i="3"/>
  <c r="E436" i="3"/>
  <c r="E374" i="3"/>
  <c r="E195" i="3"/>
  <c r="E461" i="3"/>
  <c r="E474" i="3"/>
  <c r="E357" i="3"/>
  <c r="E411" i="3"/>
  <c r="E92" i="3"/>
  <c r="E319" i="3"/>
  <c r="E285" i="3"/>
  <c r="E321" i="3"/>
  <c r="E302" i="3"/>
  <c r="E280" i="3"/>
  <c r="E177" i="3"/>
  <c r="E429" i="3"/>
  <c r="E580" i="3"/>
  <c r="E448" i="3"/>
  <c r="E121" i="3"/>
  <c r="E366" i="3"/>
  <c r="E229" i="3"/>
  <c r="E294" i="3"/>
  <c r="E117" i="3"/>
  <c r="E336" i="3"/>
  <c r="E45" i="3"/>
  <c r="E571" i="3"/>
  <c r="E318" i="3"/>
  <c r="E515"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0" i="3"/>
  <c r="E289" i="3"/>
  <c r="E521" i="3"/>
  <c r="E354" i="3"/>
  <c r="E266" i="3"/>
  <c r="E179" i="3"/>
  <c r="E187" i="3"/>
  <c r="E157" i="3"/>
  <c r="E54" i="3"/>
  <c r="E207" i="3"/>
  <c r="E547" i="3"/>
  <c r="E317" i="3"/>
  <c r="E328" i="3"/>
  <c r="E523" i="3"/>
  <c r="E304" i="3"/>
  <c r="E303" i="3"/>
  <c r="E434" i="3"/>
  <c r="E481" i="3"/>
  <c r="E203" i="3"/>
  <c r="E252" i="3"/>
  <c r="E581" i="3"/>
  <c r="E334" i="3"/>
  <c r="E239" i="3"/>
  <c r="E551" i="3"/>
  <c r="E415" i="3"/>
  <c r="E382" i="3"/>
  <c r="E85" i="3"/>
  <c r="E458" i="3"/>
  <c r="E111" i="3"/>
  <c r="E269"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202" i="3"/>
  <c r="E364" i="3"/>
  <c r="E65" i="3"/>
  <c r="E48" i="3"/>
  <c r="E542" i="3"/>
  <c r="AD6" i="3"/>
  <c r="E307" i="3"/>
  <c r="E529" i="3"/>
  <c r="E168" i="3"/>
  <c r="U6" i="3"/>
  <c r="E71" i="3"/>
  <c r="E53" i="3"/>
  <c r="E359" i="3"/>
  <c r="E338" i="3"/>
  <c r="E17" i="3"/>
  <c r="E500" i="3"/>
  <c r="E413" i="3"/>
  <c r="E165" i="3"/>
  <c r="Q60" i="67"/>
  <c r="C49" i="67"/>
  <c r="J5" i="67"/>
  <c r="J24" i="67" s="1"/>
  <c r="Q74" i="67"/>
  <c r="Q52" i="67"/>
  <c r="E14" i="3"/>
  <c r="E537" i="3"/>
  <c r="E224" i="3"/>
  <c r="E127" i="3"/>
  <c r="E87" i="3"/>
  <c r="E163" i="3"/>
  <c r="E584" i="3"/>
  <c r="E149" i="3"/>
  <c r="E446" i="3"/>
  <c r="E222" i="3"/>
  <c r="E90" i="3"/>
  <c r="E218" i="3"/>
  <c r="E36" i="3"/>
  <c r="E170" i="3"/>
  <c r="E564" i="3"/>
  <c r="E323" i="3"/>
  <c r="E110" i="3"/>
  <c r="E51" i="3"/>
  <c r="E566" i="3"/>
  <c r="E176" i="3"/>
  <c r="E52" i="3"/>
  <c r="E455" i="3"/>
  <c r="E80" i="3"/>
  <c r="M14" i="1"/>
  <c r="O14" i="1" s="1"/>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250" i="3"/>
  <c r="E348" i="3"/>
  <c r="E398" i="3"/>
  <c r="E524" i="3"/>
  <c r="E20" i="3"/>
  <c r="E147" i="3"/>
  <c r="AQ6" i="3"/>
  <c r="E194" i="3"/>
  <c r="E43" i="3"/>
  <c r="J6" i="3"/>
  <c r="E428" i="3"/>
  <c r="E442"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386" i="3"/>
  <c r="E155" i="3"/>
  <c r="E552" i="3"/>
  <c r="E265" i="3"/>
  <c r="E50" i="3"/>
  <c r="E123" i="3"/>
  <c r="E325" i="3"/>
  <c r="E137" i="3"/>
  <c r="E333" i="3"/>
  <c r="E422" i="3"/>
  <c r="E556" i="3"/>
  <c r="E79" i="3"/>
  <c r="E540" i="3"/>
  <c r="E372" i="3"/>
  <c r="E226" i="3"/>
  <c r="E25" i="3"/>
  <c r="E419" i="3"/>
  <c r="E440" i="3"/>
  <c r="E543" i="3"/>
  <c r="E329" i="3"/>
  <c r="E190" i="3"/>
  <c r="E420" i="3"/>
  <c r="E102" i="3"/>
  <c r="E233" i="3"/>
  <c r="E95" i="3"/>
  <c r="E15" i="3"/>
  <c r="E60" i="3"/>
  <c r="E346" i="3"/>
  <c r="E178" i="3"/>
  <c r="E463" i="3"/>
  <c r="AH6" i="3"/>
  <c r="E507" i="3"/>
  <c r="E116" i="3"/>
  <c r="E49" i="3"/>
  <c r="E356" i="3"/>
  <c r="E408" i="3"/>
  <c r="AL6" i="3"/>
  <c r="E64" i="3"/>
  <c r="E536" i="3"/>
  <c r="E244" i="3"/>
  <c r="E24" i="3"/>
  <c r="E58" i="3"/>
  <c r="E460" i="3"/>
  <c r="E141" i="3"/>
  <c r="E365" i="3"/>
  <c r="E62" i="3"/>
  <c r="E340" i="3"/>
  <c r="E112" i="3"/>
  <c r="E392" i="3"/>
  <c r="E234" i="3"/>
  <c r="E38" i="3"/>
  <c r="E473" i="3"/>
  <c r="L6" i="3"/>
  <c r="E276" i="3"/>
  <c r="E108" i="3"/>
  <c r="E401" i="3"/>
  <c r="E376" i="3"/>
  <c r="E427" i="3"/>
  <c r="E16" i="3"/>
  <c r="E35" i="3"/>
  <c r="E41" i="3"/>
  <c r="E173" i="3"/>
  <c r="E309" i="3"/>
  <c r="E389" i="3"/>
  <c r="E554" i="3"/>
  <c r="E498" i="3"/>
  <c r="E490" i="3"/>
  <c r="E486" i="3"/>
  <c r="E105" i="3"/>
  <c r="E158" i="3"/>
  <c r="E220" i="3"/>
  <c r="E115" i="3"/>
  <c r="E497" i="3"/>
  <c r="E405" i="3"/>
  <c r="E22" i="3"/>
  <c r="E34" i="3"/>
  <c r="E18" i="3"/>
  <c r="E198" i="3"/>
  <c r="E63" i="3"/>
  <c r="E67" i="3"/>
  <c r="E267" i="3"/>
  <c r="E409" i="3"/>
  <c r="E241" i="3"/>
  <c r="E417" i="3"/>
  <c r="E449" i="3"/>
  <c r="E575" i="3"/>
  <c r="T6" i="3"/>
  <c r="E308" i="3"/>
  <c r="E86" i="3"/>
  <c r="E482" i="3"/>
  <c r="E494" i="3"/>
  <c r="E68" i="3"/>
  <c r="E84" i="3"/>
  <c r="E160" i="3"/>
  <c r="E59" i="3"/>
  <c r="E258" i="3"/>
  <c r="E491" i="3"/>
  <c r="E430" i="3"/>
  <c r="E286" i="3"/>
  <c r="E3" i="6"/>
  <c r="E470" i="3"/>
  <c r="E512" i="3"/>
  <c r="E197" i="3"/>
  <c r="AF6" i="3"/>
  <c r="E174" i="3"/>
  <c r="E391" i="3"/>
  <c r="E283" i="3"/>
  <c r="E184" i="3"/>
  <c r="E371" i="3"/>
  <c r="E467" i="3"/>
  <c r="E349" i="3"/>
  <c r="E37" i="3"/>
  <c r="AP6" i="3"/>
  <c r="E502" i="3"/>
  <c r="E539" i="3"/>
  <c r="W7" i="37"/>
  <c r="T40" i="71"/>
  <c r="D40" i="71"/>
  <c r="D36" i="71"/>
  <c r="T36" i="71"/>
  <c r="R36" i="36"/>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F45" i="68"/>
  <c r="C47" i="68"/>
  <c r="D45" i="68" s="1"/>
  <c r="C29" i="68"/>
  <c r="D27" i="68"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M27" i="15"/>
  <c r="M27" i="67"/>
  <c r="F41" i="15"/>
  <c r="E19" i="6" l="1"/>
  <c r="F27" i="6"/>
  <c r="F31" i="6" s="1"/>
  <c r="H6" i="3"/>
  <c r="AC6" i="3"/>
  <c r="D116" i="43"/>
  <c r="F25" i="12"/>
  <c r="C26" i="12" s="1"/>
  <c r="D25" i="12"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C34" i="43"/>
  <c r="E34" i="43" s="1"/>
  <c r="F69" i="15"/>
  <c r="S11" i="1"/>
  <c r="E11" i="70" s="1"/>
  <c r="S9" i="1"/>
  <c r="S7" i="1"/>
  <c r="E7" i="70" s="1"/>
  <c r="S10" i="1"/>
  <c r="E10" i="70" s="1"/>
  <c r="S12" i="1"/>
  <c r="C20" i="11"/>
  <c r="D17" i="12"/>
  <c r="C17" i="12" s="1"/>
  <c r="D10" i="11"/>
  <c r="C10" i="11" s="1"/>
  <c r="D20" i="12"/>
  <c r="C20" i="12" s="1"/>
  <c r="D25" i="6"/>
  <c r="D15" i="6"/>
  <c r="D22" i="6"/>
  <c r="D21" i="6"/>
  <c r="D24" i="6"/>
  <c r="D20" i="6"/>
  <c r="D26" i="6"/>
  <c r="D8" i="6"/>
  <c r="D14" i="6"/>
  <c r="D6" i="6"/>
  <c r="D9" i="6"/>
  <c r="D10" i="6"/>
  <c r="D29" i="6"/>
  <c r="D19" i="6"/>
  <c r="C18" i="4"/>
  <c r="D23" i="6"/>
  <c r="D5" i="6"/>
  <c r="D12" i="6"/>
  <c r="D11" i="6"/>
  <c r="D13" i="6"/>
  <c r="D2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14" i="67"/>
  <c r="C17" i="67"/>
  <c r="M19" i="9" l="1"/>
  <c r="C118" i="9" s="1"/>
  <c r="B2" i="74" s="1"/>
  <c r="M18" i="9"/>
  <c r="B118" i="9" s="1"/>
  <c r="D30" i="6"/>
  <c r="D33" i="43"/>
  <c r="K6" i="1"/>
  <c r="E27" i="6"/>
  <c r="K19" i="6" s="1"/>
  <c r="E6" i="3"/>
  <c r="C44" i="11"/>
  <c r="D41" i="11" s="1"/>
  <c r="C26" i="68"/>
  <c r="D22" i="68" s="1"/>
  <c r="F41" i="68"/>
  <c r="C26" i="11"/>
  <c r="D22" i="11" s="1"/>
  <c r="C25" i="11"/>
  <c r="C24" i="11"/>
  <c r="C44" i="69"/>
  <c r="D41" i="69" s="1"/>
  <c r="C26" i="69"/>
  <c r="D22" i="69" s="1"/>
  <c r="C16" i="71"/>
  <c r="D17" i="71"/>
  <c r="C18" i="67"/>
  <c r="C15" i="67"/>
  <c r="C31" i="43"/>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67"/>
  <c r="J19" i="67"/>
  <c r="M29" i="15"/>
  <c r="F7" i="15"/>
  <c r="F43" i="15"/>
  <c r="B14" i="74" l="1"/>
  <c r="B1" i="74" s="1"/>
  <c r="F71" i="15"/>
  <c r="M7" i="15"/>
  <c r="J6" i="15" s="1"/>
  <c r="F50" i="15"/>
  <c r="C49" i="15" s="1"/>
  <c r="C48" i="15" s="1"/>
  <c r="C6" i="15"/>
  <c r="AP6" i="1"/>
  <c r="C36" i="69" s="1"/>
  <c r="H16" i="1"/>
  <c r="Q16" i="1"/>
  <c r="M6" i="1"/>
  <c r="G16" i="1"/>
  <c r="K16" i="1"/>
  <c r="C34" i="69"/>
  <c r="D1" i="43"/>
  <c r="E33" i="43"/>
  <c r="S6" i="1"/>
  <c r="M19" i="6"/>
  <c r="K26" i="6"/>
  <c r="M26" i="6" s="1"/>
  <c r="I26" i="6" s="1"/>
  <c r="K22" i="6"/>
  <c r="M22" i="6" s="1"/>
  <c r="I22" i="6" s="1"/>
  <c r="K21" i="6"/>
  <c r="K25" i="6"/>
  <c r="M25" i="6" s="1"/>
  <c r="I25" i="6" s="1"/>
  <c r="E31" i="6"/>
  <c r="K20" i="6"/>
  <c r="M20" i="6" s="1"/>
  <c r="I20" i="6" s="1"/>
  <c r="K24" i="6"/>
  <c r="M24" i="6" s="1"/>
  <c r="I24" i="6" s="1"/>
  <c r="K23" i="6"/>
  <c r="M23" i="6" s="1"/>
  <c r="I23" i="6" s="1"/>
  <c r="C22" i="11"/>
  <c r="C15" i="71"/>
  <c r="T16" i="71"/>
  <c r="D16" i="71"/>
  <c r="U16" i="71" s="1"/>
  <c r="C19" i="67"/>
  <c r="C20" i="67" s="1"/>
  <c r="C26" i="67" s="1"/>
  <c r="C36" i="11"/>
  <c r="C37" i="11"/>
  <c r="C23" i="12"/>
  <c r="C14" i="12"/>
  <c r="C16" i="12" s="1"/>
  <c r="C19" i="68"/>
  <c r="C19" i="69"/>
  <c r="C24" i="69" s="1"/>
  <c r="D37" i="69"/>
  <c r="C37" i="69" s="1"/>
  <c r="I5" i="6"/>
  <c r="I6" i="6"/>
  <c r="C23" i="69"/>
  <c r="I69" i="39"/>
  <c r="J67" i="39"/>
  <c r="I63" i="40"/>
  <c r="H65" i="40"/>
  <c r="I58" i="21"/>
  <c r="J58" i="21" s="1"/>
  <c r="K58" i="21" s="1"/>
  <c r="L58" i="21" s="1"/>
  <c r="M58" i="21" s="1"/>
  <c r="N58" i="21" s="1"/>
  <c r="O58" i="21" s="1"/>
  <c r="H7" i="21" s="1"/>
  <c r="J48" i="35"/>
  <c r="C16" i="15"/>
  <c r="C17" i="15"/>
  <c r="D10" i="68"/>
  <c r="D19" i="68" l="1"/>
  <c r="D37" i="68" s="1"/>
  <c r="C37" i="68" s="1"/>
  <c r="C10" i="68"/>
  <c r="B29" i="1" s="1"/>
  <c r="S22" i="6"/>
  <c r="H22" i="6"/>
  <c r="R22" i="6" s="1"/>
  <c r="R9" i="1" s="1"/>
  <c r="AQ6" i="1"/>
  <c r="AR6" i="1"/>
  <c r="T6" i="1"/>
  <c r="E6" i="70"/>
  <c r="F27" i="69"/>
  <c r="F27" i="11"/>
  <c r="F28" i="12"/>
  <c r="C29" i="12" s="1"/>
  <c r="D28" i="12" s="1"/>
  <c r="C32" i="15"/>
  <c r="C10" i="15"/>
  <c r="C5" i="15" s="1"/>
  <c r="C38" i="15" s="1"/>
  <c r="C33" i="15"/>
  <c r="S20" i="6"/>
  <c r="H20" i="6"/>
  <c r="R20" i="6" s="1"/>
  <c r="R7" i="1" s="1"/>
  <c r="S26" i="6"/>
  <c r="H26" i="6"/>
  <c r="R26" i="6" s="1"/>
  <c r="C6" i="68"/>
  <c r="C7" i="68" s="1"/>
  <c r="C30" i="43"/>
  <c r="C66" i="15"/>
  <c r="C60" i="15"/>
  <c r="S23" i="6"/>
  <c r="H23" i="6"/>
  <c r="R23" i="6" s="1"/>
  <c r="R10" i="1" s="1"/>
  <c r="S25" i="6"/>
  <c r="H25" i="6"/>
  <c r="R25" i="6" s="1"/>
  <c r="R12" i="1" s="1"/>
  <c r="I19" i="6"/>
  <c r="L18" i="9" s="1"/>
  <c r="F10" i="39"/>
  <c r="F10" i="40"/>
  <c r="H10" i="40"/>
  <c r="J10" i="40"/>
  <c r="J10" i="39"/>
  <c r="H10" i="39"/>
  <c r="J18" i="15"/>
  <c r="J5" i="15"/>
  <c r="J24" i="15" s="1"/>
  <c r="S24" i="6"/>
  <c r="H24" i="6"/>
  <c r="R24" i="6" s="1"/>
  <c r="R11" i="1" s="1"/>
  <c r="S8" i="1"/>
  <c r="M21" i="6"/>
  <c r="I21" i="6" s="1"/>
  <c r="K27" i="6"/>
  <c r="C38" i="69"/>
  <c r="C35" i="69"/>
  <c r="O6" i="1"/>
  <c r="O16" i="1" s="1"/>
  <c r="M16" i="1"/>
  <c r="N16" i="1" s="1"/>
  <c r="C14" i="71"/>
  <c r="D15" i="71"/>
  <c r="F7" i="21"/>
  <c r="S7" i="21" s="1"/>
  <c r="J7" i="21"/>
  <c r="AC7" i="21" s="1"/>
  <c r="V48" i="21" s="1"/>
  <c r="I48" i="21" s="1"/>
  <c r="C23" i="67"/>
  <c r="C29" i="67" s="1"/>
  <c r="J59" i="67" s="1"/>
  <c r="J60" i="67" s="1"/>
  <c r="Q48" i="67" s="1"/>
  <c r="C20" i="69"/>
  <c r="C28" i="69" s="1"/>
  <c r="C27" i="69" s="1"/>
  <c r="C24" i="68"/>
  <c r="J69" i="39"/>
  <c r="K67" i="39"/>
  <c r="U7" i="21"/>
  <c r="AB7" i="21"/>
  <c r="T48" i="21" s="1"/>
  <c r="G48" i="21" s="1"/>
  <c r="J63" i="40"/>
  <c r="I65" i="40"/>
  <c r="K48" i="35"/>
  <c r="L48" i="35" s="1"/>
  <c r="M48" i="35" s="1"/>
  <c r="N48" i="35" s="1"/>
  <c r="O48" i="35" s="1"/>
  <c r="H7" i="35" s="1"/>
  <c r="E6" i="76"/>
  <c r="C34" i="68"/>
  <c r="C14" i="15"/>
  <c r="M27" i="6" l="1"/>
  <c r="C33" i="69"/>
  <c r="C42" i="69" s="1"/>
  <c r="C18" i="15"/>
  <c r="C15" i="15"/>
  <c r="C35" i="68"/>
  <c r="C38" i="68"/>
  <c r="E2" i="76"/>
  <c r="C39" i="69"/>
  <c r="C43" i="69" s="1"/>
  <c r="F50" i="69"/>
  <c r="F50" i="68"/>
  <c r="F50" i="11"/>
  <c r="S21" i="6"/>
  <c r="H21" i="6"/>
  <c r="R21" i="6" s="1"/>
  <c r="R8" i="1" s="1"/>
  <c r="U10" i="39"/>
  <c r="AB10" i="39"/>
  <c r="S10" i="40"/>
  <c r="AA10" i="40"/>
  <c r="C29" i="11"/>
  <c r="D27" i="11" s="1"/>
  <c r="C47" i="11"/>
  <c r="D45" i="11" s="1"/>
  <c r="C28" i="11"/>
  <c r="C27" i="11" s="1"/>
  <c r="T16" i="1"/>
  <c r="E8" i="70"/>
  <c r="AQ8" i="1"/>
  <c r="T8" i="1"/>
  <c r="AR8" i="1"/>
  <c r="W10" i="39"/>
  <c r="AC10" i="39"/>
  <c r="S10" i="39"/>
  <c r="AA10" i="39"/>
  <c r="C47" i="69"/>
  <c r="D45" i="69" s="1"/>
  <c r="C29" i="69"/>
  <c r="D27" i="69" s="1"/>
  <c r="F45" i="69"/>
  <c r="B2" i="43"/>
  <c r="E2" i="70"/>
  <c r="C8" i="68"/>
  <c r="C5" i="68" s="1"/>
  <c r="C18" i="12"/>
  <c r="C21" i="12" s="1"/>
  <c r="AC10" i="40"/>
  <c r="W10" i="40"/>
  <c r="L16" i="1"/>
  <c r="C34" i="11"/>
  <c r="AB10" i="40"/>
  <c r="U10" i="40"/>
  <c r="I27" i="6"/>
  <c r="H19" i="6"/>
  <c r="L19" i="9" s="1"/>
  <c r="S19" i="6"/>
  <c r="S27" i="6" s="1"/>
  <c r="S16" i="1"/>
  <c r="D14" i="71"/>
  <c r="C13" i="7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G52" i="21"/>
  <c r="H52" i="21" s="1"/>
  <c r="G53" i="21"/>
  <c r="H53" i="21" s="1"/>
  <c r="F7" i="35"/>
  <c r="B6" i="76"/>
  <c r="M21" i="67"/>
  <c r="F35" i="67"/>
  <c r="C19" i="15" l="1"/>
  <c r="C20" i="15" s="1"/>
  <c r="C26" i="15" s="1"/>
  <c r="C41" i="69"/>
  <c r="C23" i="15"/>
  <c r="C29" i="15" s="1"/>
  <c r="J59" i="15" s="1"/>
  <c r="J60" i="15" s="1"/>
  <c r="Q48" i="15" s="1"/>
  <c r="C31" i="69"/>
  <c r="C46" i="69"/>
  <c r="C45" i="69" s="1"/>
  <c r="C33" i="68"/>
  <c r="C39" i="68" s="1"/>
  <c r="C43" i="68" s="1"/>
  <c r="B2" i="76"/>
  <c r="B3" i="76" s="1"/>
  <c r="H27" i="6"/>
  <c r="R19" i="6"/>
  <c r="C23" i="68"/>
  <c r="C20" i="68"/>
  <c r="B3" i="43"/>
  <c r="C38" i="11"/>
  <c r="C35" i="11"/>
  <c r="C33" i="11" s="1"/>
  <c r="C39" i="11" s="1"/>
  <c r="C46" i="11" s="1"/>
  <c r="C45" i="11" s="1"/>
  <c r="C22" i="12"/>
  <c r="C27" i="12" s="1"/>
  <c r="C25" i="12" s="1"/>
  <c r="C31" i="11"/>
  <c r="E48" i="21"/>
  <c r="AC7" i="35"/>
  <c r="V38" i="35" s="1"/>
  <c r="I38" i="35" s="1"/>
  <c r="C12" i="71"/>
  <c r="D13" i="71"/>
  <c r="C56" i="67"/>
  <c r="C65" i="67" s="1"/>
  <c r="J22" i="67"/>
  <c r="C37" i="67"/>
  <c r="C75" i="67"/>
  <c r="C34" i="67"/>
  <c r="C31" i="67" s="1"/>
  <c r="F63" i="67"/>
  <c r="C62" i="67" s="1"/>
  <c r="C59" i="67" s="1"/>
  <c r="J20" i="67"/>
  <c r="J17" i="67" s="1"/>
  <c r="J19" i="15"/>
  <c r="C57" i="15"/>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Q49" i="15" l="1"/>
  <c r="C43" i="11"/>
  <c r="C49" i="69"/>
  <c r="C51" i="69" s="1"/>
  <c r="C52" i="69" s="1"/>
  <c r="J14" i="15"/>
  <c r="J13" i="15" s="1"/>
  <c r="J23" i="15" s="1"/>
  <c r="C36" i="15"/>
  <c r="C42" i="11"/>
  <c r="C41" i="11" s="1"/>
  <c r="C49" i="11" s="1"/>
  <c r="C51" i="11" s="1"/>
  <c r="C52" i="11" s="1"/>
  <c r="B2" i="11" s="1"/>
  <c r="B3" i="11" s="1"/>
  <c r="C42" i="68"/>
  <c r="C41" i="68" s="1"/>
  <c r="C46" i="68"/>
  <c r="C45" i="68" s="1"/>
  <c r="C28" i="68"/>
  <c r="C27" i="68" s="1"/>
  <c r="C25" i="68"/>
  <c r="C22" i="68" s="1"/>
  <c r="C30" i="12"/>
  <c r="C28" i="12" s="1"/>
  <c r="C32" i="12" s="1"/>
  <c r="B2" i="12" s="1"/>
  <c r="B3" i="12" s="1"/>
  <c r="R27" i="6"/>
  <c r="R6" i="1"/>
  <c r="C11" i="71"/>
  <c r="T12" i="71"/>
  <c r="D12" i="71"/>
  <c r="U12" i="71" s="1"/>
  <c r="C58" i="67"/>
  <c r="C67" i="67" s="1"/>
  <c r="C68" i="67" s="1"/>
  <c r="C71" i="67" s="1"/>
  <c r="J16" i="67"/>
  <c r="J25" i="67" s="1"/>
  <c r="J26" i="67" s="1"/>
  <c r="J29" i="67" s="1"/>
  <c r="C30" i="67"/>
  <c r="C39" i="67" s="1"/>
  <c r="Q69" i="67" s="1"/>
  <c r="Q68" i="67" s="1"/>
  <c r="C61" i="15"/>
  <c r="C64" i="15"/>
  <c r="C37" i="15"/>
  <c r="C56" i="15"/>
  <c r="C65" i="15" s="1"/>
  <c r="C75" i="15"/>
  <c r="M69" i="39"/>
  <c r="N67" i="39"/>
  <c r="R39" i="35"/>
  <c r="E38" i="35"/>
  <c r="M63" i="40"/>
  <c r="L65" i="40"/>
  <c r="M21" i="15"/>
  <c r="F35" i="15"/>
  <c r="D2" i="21"/>
  <c r="B2" i="69" l="1"/>
  <c r="B3" i="69" s="1"/>
  <c r="C57" i="69"/>
  <c r="C56" i="69" s="1"/>
  <c r="J22" i="15"/>
  <c r="C49" i="68"/>
  <c r="C51" i="68" s="1"/>
  <c r="C31" i="68"/>
  <c r="F63" i="15"/>
  <c r="C62" i="15" s="1"/>
  <c r="C59" i="15" s="1"/>
  <c r="C58" i="15" s="1"/>
  <c r="C67" i="15" s="1"/>
  <c r="C68" i="15" s="1"/>
  <c r="C71" i="15" s="1"/>
  <c r="C34" i="15"/>
  <c r="C31" i="15" s="1"/>
  <c r="C30" i="15" s="1"/>
  <c r="C39" i="15" s="1"/>
  <c r="Q69" i="15" s="1"/>
  <c r="Q68" i="15" s="1"/>
  <c r="J20" i="15"/>
  <c r="J17" i="15" s="1"/>
  <c r="J16" i="15" s="1"/>
  <c r="J25" i="15" s="1"/>
  <c r="J26" i="15" s="1"/>
  <c r="J29" i="15" s="1"/>
  <c r="R16" i="1"/>
  <c r="C10" i="71"/>
  <c r="D11" i="71"/>
  <c r="C80" i="67"/>
  <c r="C79" i="67" s="1"/>
  <c r="C40" i="67"/>
  <c r="C45" i="67" s="1"/>
  <c r="C56" i="11"/>
  <c r="C57" i="11" s="1"/>
  <c r="B2" i="21"/>
  <c r="B3" i="21" s="1"/>
  <c r="O67" i="39"/>
  <c r="O69" i="39" s="1"/>
  <c r="N69" i="39"/>
  <c r="F7" i="39"/>
  <c r="C39" i="35"/>
  <c r="C38" i="35"/>
  <c r="N63" i="40"/>
  <c r="M65" i="40"/>
  <c r="E43" i="35"/>
  <c r="F43" i="35" s="1"/>
  <c r="E42" i="35"/>
  <c r="F42" i="35" s="1"/>
  <c r="I43" i="35"/>
  <c r="J43" i="35" s="1"/>
  <c r="D2" i="33"/>
  <c r="L51" i="67"/>
  <c r="C52" i="68" l="1"/>
  <c r="C57" i="68"/>
  <c r="C56" i="68" s="1"/>
  <c r="B2"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B3" i="68"/>
  <c r="C20" i="9" s="1"/>
  <c r="L51" i="15"/>
  <c r="D2" i="36"/>
  <c r="D2" i="34"/>
  <c r="D2" i="37"/>
  <c r="D2" i="35"/>
  <c r="C103" i="9" l="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9"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G118" i="9" l="1"/>
  <c r="I118" i="9"/>
  <c r="H118" i="9" l="1"/>
  <c r="H4" i="52" s="1"/>
  <c r="E14" i="74"/>
  <c r="C104" i="9"/>
  <c r="D14" i="74"/>
  <c r="G14" i="74" s="1"/>
  <c r="B6" i="74" s="1"/>
  <c r="D6" i="74" s="1"/>
  <c r="H101" i="9"/>
  <c r="M48" i="9" s="1"/>
  <c r="G4" i="52"/>
  <c r="B52" i="72" s="1"/>
  <c r="F118" i="9"/>
  <c r="H119" i="9"/>
  <c r="H5" i="52" s="1"/>
  <c r="D45" i="9"/>
  <c r="H107" i="9"/>
  <c r="E118" i="9"/>
  <c r="H102" i="9"/>
  <c r="C105" i="9"/>
  <c r="I4" i="52"/>
  <c r="D5" i="53" l="1"/>
  <c r="F14" i="74"/>
  <c r="B5" i="74"/>
  <c r="D5" i="74" s="1"/>
  <c r="F119" i="9"/>
  <c r="F5" i="52" s="1"/>
  <c r="B53" i="72" s="1"/>
  <c r="F4" i="52"/>
  <c r="B51" i="72" s="1"/>
  <c r="E4" i="52"/>
  <c r="B48" i="72" s="1"/>
  <c r="D118" i="9"/>
  <c r="D6" i="53"/>
  <c r="B22" i="72" s="1"/>
  <c r="B20" i="72"/>
  <c r="D7" i="53"/>
  <c r="B21" i="72" s="1"/>
  <c r="M49" i="9"/>
  <c r="D122" i="9"/>
  <c r="D13" i="53"/>
  <c r="H108" i="9"/>
  <c r="C64" i="9"/>
  <c r="C63" i="9" s="1"/>
  <c r="C67" i="9" s="1"/>
  <c r="C78" i="9"/>
  <c r="C73" i="9" s="1"/>
  <c r="C85" i="9"/>
  <c r="D52" i="9"/>
  <c r="C93" i="9"/>
  <c r="C86" i="9" s="1"/>
  <c r="D55" i="9"/>
  <c r="M53" i="9" s="1"/>
  <c r="C72" i="9"/>
  <c r="D53" i="9"/>
  <c r="C79" i="9" l="1"/>
  <c r="C5" i="74"/>
  <c r="D4" i="52"/>
  <c r="B47" i="72" s="1"/>
  <c r="D119" i="9"/>
  <c r="D5" i="52" s="1"/>
  <c r="B49" i="72" s="1"/>
  <c r="C68" i="9"/>
  <c r="D54" i="9" s="1"/>
  <c r="D59" i="9"/>
  <c r="M55" i="9" s="1"/>
  <c r="L63" i="9"/>
  <c r="M63" i="9" s="1"/>
  <c r="L64" i="9"/>
  <c r="M64" i="9" s="1"/>
  <c r="L68" i="9"/>
  <c r="M68" i="9" s="1"/>
  <c r="L66" i="9"/>
  <c r="M66" i="9" s="1"/>
  <c r="L67" i="9"/>
  <c r="M67" i="9" s="1"/>
  <c r="L65" i="9"/>
  <c r="M65" i="9" s="1"/>
  <c r="D15" i="53"/>
  <c r="B31" i="72" s="1"/>
  <c r="C6" i="74"/>
  <c r="C80" i="9"/>
  <c r="E80" i="9" s="1"/>
  <c r="E81" i="9" s="1"/>
  <c r="C95" i="9"/>
  <c r="D14" i="53"/>
  <c r="B32" i="72" s="1"/>
  <c r="B30" i="72"/>
  <c r="D123" i="9"/>
  <c r="D9" i="52" s="1"/>
  <c r="D8" i="52"/>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<sst xmlns="http://schemas.openxmlformats.org/spreadsheetml/2006/main" count="7954" uniqueCount="3488">
  <si>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</si>
  <si>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</si>
  <si>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</si>
  <si>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</si>
  <si>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</si>
  <si>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</si>
  <si>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</si>
  <si>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</si>
  <si>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</si>
  <si>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</si>
  <si>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</si>
  <si>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</si>
  <si>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</si>
  <si>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</si>
  <si>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</si>
  <si>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</si>
  <si>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</si>
  <si>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</si>
  <si>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</si>
  <si>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</si>
  <si>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</si>
  <si>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</si>
  <si>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</si>
  <si>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</si>
  <si>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</si>
  <si>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</si>
  <si>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</si>
  <si>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</si>
  <si>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</si>
  <si>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</si>
  <si>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</si>
  <si>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</si>
  <si>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</si>
  <si>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</si>
  <si>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</si>
  <si>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</si>
  <si>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</si>
  <si>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</si>
  <si>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</si>
  <si>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</si>
  <si>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</si>
  <si>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</si>
  <si>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</si>
  <si>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</si>
  <si>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</si>
  <si>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</si>
  <si>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</si>
  <si>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</si>
  <si>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</si>
  <si>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</si>
  <si>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</si>
  <si>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</si>
  <si>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</si>
  <si>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</si>
  <si>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</si>
  <si>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</si>
  <si>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</si>
  <si>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</si>
  <si>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</si>
  <si>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</si>
  <si>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</si>
  <si>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</si>
  <si>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</si>
  <si>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</si>
  <si>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</si>
  <si>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</si>
  <si>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</si>
  <si>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</si>
  <si>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</si>
  <si>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</si>
  <si>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</si>
  <si>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</si>
  <si>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</si>
  <si>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</si>
  <si>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</si>
  <si>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</si>
  <si>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</si>
  <si>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</si>
  <si>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</si>
  <si>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</si>
  <si>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</si>
  <si>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</si>
  <si>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</si>
  <si>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</si>
  <si>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</si>
  <si>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</si>
  <si>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</si>
  <si>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</si>
  <si>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</si>
  <si>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</si>
  <si>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</si>
  <si>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</si>
  <si>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</si>
  <si>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</si>
  <si>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</si>
  <si>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</si>
  <si>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</si>
  <si>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</si>
  <si>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</si>
  <si>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</si>
  <si>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</si>
  <si>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</si>
  <si>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</si>
  <si>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</si>
  <si>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</si>
  <si>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</si>
  <si>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</si>
  <si>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</si>
  <si>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</si>
  <si>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</si>
  <si>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</si>
  <si>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</si>
  <si>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</si>
  <si>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</si>
  <si>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</si>
  <si>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</si>
  <si>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</si>
  <si>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</si>
  <si>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</si>
  <si>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</si>
  <si>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</si>
  <si>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</si>
  <si>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</si>
  <si>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</si>
  <si>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</si>
  <si>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</si>
  <si>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</si>
  <si>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</si>
  <si>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</si>
  <si>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</si>
  <si>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</si>
  <si>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</si>
  <si>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</si>
  <si>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</si>
  <si>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</si>
  <si>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</si>
  <si>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</si>
  <si>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</si>
  <si>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</si>
  <si>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</si>
  <si>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</si>
  <si>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</si>
  <si>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</si>
  <si>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</si>
  <si>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</si>
  <si>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</si>
  <si>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</si>
  <si>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</si>
  <si>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</si>
  <si>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</si>
  <si>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</si>
  <si>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</si>
  <si>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</si>
  <si>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</si>
  <si>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</si>
  <si>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</si>
  <si>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</si>
  <si>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</si>
  <si>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</si>
  <si>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</si>
  <si>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</si>
  <si>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</si>
  <si>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</si>
  <si>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</si>
  <si>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</si>
  <si>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</si>
  <si>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</si>
  <si>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</si>
  <si>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</si>
  <si>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</si>
  <si>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</si>
  <si>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</si>
  <si>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</si>
  <si>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</si>
  <si>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</si>
  <si>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</si>
  <si>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</si>
  <si>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</si>
  <si>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</si>
  <si>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</si>
  <si>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</si>
  <si>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</si>
  <si>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</si>
  <si>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</si>
  <si>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</si>
  <si>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</si>
  <si>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</si>
  <si>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</si>
  <si>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</si>
  <si>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</si>
  <si>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</si>
  <si>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</si>
  <si>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</si>
  <si>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</si>
  <si>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</si>
  <si>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</si>
  <si>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</si>
  <si>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</si>
  <si>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</si>
  <si>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</si>
  <si>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</si>
  <si>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</si>
  <si>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</si>
  <si>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</si>
  <si>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</si>
  <si>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</si>
  <si>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</si>
  <si>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</si>
  <si>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</si>
  <si>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</si>
  <si>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</si>
  <si>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</si>
  <si>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</si>
  <si>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</si>
  <si>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</si>
  <si>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</si>
  <si>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</si>
  <si>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</si>
  <si>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</si>
  <si>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</si>
  <si>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</si>
  <si>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</si>
  <si>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</si>
  <si>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</si>
  <si>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</si>
  <si>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</si>
  <si>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</si>
  <si>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</si>
  <si>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</si>
  <si>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</si>
  <si>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</si>
  <si>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</si>
  <si>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</si>
  <si>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</si>
  <si>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</si>
  <si>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</si>
  <si>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</si>
  <si>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</si>
  <si>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</si>
  <si>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</si>
  <si>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</si>
  <si>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</si>
  <si>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</si>
  <si>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</si>
  <si>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</si>
  <si>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</si>
  <si>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</si>
  <si>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</si>
  <si>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</si>
  <si>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</si>
  <si>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</si>
  <si>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</si>
  <si>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</si>
  <si>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</si>
  <si>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</si>
  <si>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</si>
  <si>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</si>
  <si>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</si>
  <si>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</si>
  <si>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</si>
  <si>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</si>
  <si>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</si>
  <si>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</si>
  <si>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</si>
  <si>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</si>
  <si>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</si>
  <si>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</si>
  <si>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</si>
  <si>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</si>
  <si>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</si>
  <si>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</si>
  <si>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</si>
  <si>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</si>
  <si>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</si>
  <si>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</si>
  <si>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</si>
  <si>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</si>
  <si>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</si>
  <si>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</si>
  <si>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</si>
  <si>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</si>
  <si>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</si>
  <si>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</si>
  <si>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</si>
  <si>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</si>
  <si>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</si>
  <si>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</si>
  <si>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</si>
  <si>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</si>
  <si>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</si>
  <si>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</si>
  <si>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</si>
  <si>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</si>
  <si>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</si>
  <si>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</si>
  <si>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</si>
  <si>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</si>
  <si>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</si>
  <si>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</si>
  <si>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</si>
  <si>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</si>
  <si>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</si>
  <si>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</si>
  <si>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</si>
  <si>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</si>
  <si>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</si>
  <si>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</si>
  <si>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</si>
  <si>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</si>
  <si>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</si>
  <si>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</si>
  <si>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</si>
  <si>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</si>
  <si>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</si>
  <si>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</si>
  <si>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</si>
  <si>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</si>
  <si>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</si>
  <si>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</si>
  <si>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</si>
  <si>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</si>
  <si>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</si>
  <si>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</si>
  <si>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</si>
  <si>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</si>
  <si>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</si>
  <si>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</si>
  <si>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</si>
  <si>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</si>
  <si>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</si>
  <si>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</si>
  <si>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</si>
  <si>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</si>
  <si>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</si>
  <si>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</si>
  <si>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</si>
  <si>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</si>
  <si>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</si>
  <si>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</si>
  <si>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</si>
  <si>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</si>
  <si>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</si>
  <si>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</si>
  <si>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</si>
  <si>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</si>
  <si>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</si>
  <si>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</si>
  <si>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</si>
  <si>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</si>
  <si>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</si>
  <si>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</si>
  <si>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</si>
  <si>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</si>
  <si>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</si>
  <si>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</si>
  <si>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</si>
  <si>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</si>
  <si>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</si>
  <si>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</si>
  <si>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</si>
  <si>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</si>
  <si>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</si>
  <si>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</si>
  <si>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</si>
  <si>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</si>
  <si>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</si>
  <si>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</si>
  <si>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</si>
  <si>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</si>
  <si>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</si>
  <si>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</si>
  <si>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</si>
  <si>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</si>
  <si>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</si>
  <si>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</si>
  <si>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</si>
  <si>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</si>
  <si>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</si>
  <si>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</si>
  <si>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</si>
  <si>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</si>
  <si>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</si>
  <si>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</si>
  <si>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</si>
  <si>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</si>
  <si>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</si>
  <si>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</si>
  <si>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</si>
  <si>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</si>
  <si>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</si>
  <si>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</si>
  <si>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</si>
  <si>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</si>
  <si>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</si>
  <si>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</si>
  <si>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</si>
  <si>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</si>
  <si>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</si>
  <si>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</si>
  <si>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</si>
  <si>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</si>
  <si>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</si>
  <si>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</si>
  <si>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</si>
  <si>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</si>
  <si>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</si>
  <si>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</si>
  <si>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</si>
  <si>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</si>
  <si>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</si>
  <si>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</si>
  <si>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</si>
  <si>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</si>
  <si>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</si>
  <si>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</si>
  <si>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</si>
  <si>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</si>
  <si>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</si>
  <si>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</si>
  <si>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</si>
  <si>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</si>
  <si>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</si>
  <si>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</si>
  <si>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</si>
  <si>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</si>
  <si>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</si>
  <si>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</si>
  <si>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</si>
  <si>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</si>
  <si>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</si>
  <si>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</si>
  <si>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</si>
  <si>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</si>
  <si>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</si>
  <si>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</si>
  <si>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</si>
  <si>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</si>
  <si>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</si>
  <si>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</si>
  <si>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</si>
  <si>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</si>
  <si>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</si>
  <si>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</si>
  <si>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</si>
  <si>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</si>
  <si>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</si>
  <si>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</si>
  <si>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</si>
  <si>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</si>
  <si>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</si>
  <si>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</si>
  <si>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</si>
  <si>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</si>
  <si>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</si>
  <si>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</si>
  <si>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</si>
  <si>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</si>
  <si>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</si>
  <si>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</si>
  <si>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</si>
  <si>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</si>
  <si>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</si>
  <si>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</si>
  <si>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</si>
  <si>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</si>
  <si>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</si>
  <si>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</si>
  <si>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</si>
  <si>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</si>
  <si>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</si>
  <si>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</si>
  <si>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</si>
  <si>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</si>
  <si>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</si>
  <si>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</si>
  <si>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</si>
  <si>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</si>
  <si>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</si>
  <si>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</si>
  <si>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</si>
  <si>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</si>
  <si>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</si>
  <si>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</si>
  <si>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</si>
  <si>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</si>
  <si>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</si>
  <si>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</si>
  <si>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</si>
  <si>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</si>
  <si>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</si>
  <si>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</si>
  <si>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</si>
  <si>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</si>
  <si>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</si>
  <si>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</si>
  <si>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</si>
  <si>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</si>
  <si>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</si>
  <si>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</si>
  <si>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</si>
  <si>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</si>
  <si>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</si>
  <si>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</si>
  <si>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</si>
  <si>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</si>
  <si>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</si>
  <si>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</si>
  <si>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</si>
  <si>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</si>
  <si>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</si>
  <si>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</si>
  <si>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</si>
  <si>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</si>
  <si>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</si>
  <si>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</si>
  <si>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</si>
  <si>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</si>
  <si>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</si>
  <si>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</si>
  <si>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</si>
  <si>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</si>
  <si>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</si>
  <si>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</si>
  <si>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</si>
  <si>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</si>
  <si>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</si>
  <si>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</si>
  <si>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</si>
  <si>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</si>
  <si>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</si>
  <si>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</si>
  <si>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</si>
  <si>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</si>
  <si>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</si>
  <si>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</si>
  <si>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</si>
  <si>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</si>
  <si>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</si>
  <si>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</si>
  <si>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</si>
  <si>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</si>
  <si>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</si>
  <si>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</si>
  <si>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</si>
  <si>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</si>
  <si>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</si>
  <si>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</si>
  <si>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</si>
  <si>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</si>
  <si>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</si>
  <si>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</si>
  <si>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</si>
  <si>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</si>
  <si>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</si>
  <si>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</si>
  <si>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</si>
  <si>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</si>
  <si>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</si>
  <si>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</si>
  <si>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</si>
  <si>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</si>
  <si>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</si>
  <si>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</si>
  <si>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</si>
  <si>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</si>
  <si>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</si>
  <si>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</si>
  <si>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</si>
  <si>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</si>
  <si>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</si>
  <si>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</si>
  <si>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</si>
  <si>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</si>
  <si>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</si>
  <si>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</si>
  <si>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</si>
  <si>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</si>
  <si>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</si>
  <si>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</si>
  <si>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</si>
  <si>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</si>
  <si>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</si>
  <si>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</si>
  <si>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</si>
  <si>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</si>
  <si>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</si>
  <si>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</si>
  <si>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</si>
  <si>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</si>
  <si>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</si>
  <si>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</si>
  <si>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</si>
  <si>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</si>
  <si>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</si>
  <si>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</si>
  <si>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</si>
  <si>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</si>
  <si>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</si>
  <si>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</si>
  <si>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</si>
  <si>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</si>
  <si>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</si>
  <si>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</si>
  <si>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</si>
  <si>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</si>
  <si>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</si>
  <si>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</si>
  <si>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</si>
  <si>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</si>
  <si>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</si>
  <si>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</si>
  <si>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</si>
  <si>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</si>
  <si>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</si>
  <si>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</si>
  <si>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</si>
  <si>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</si>
  <si>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</si>
  <si>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</si>
  <si>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</si>
  <si>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</si>
  <si>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</si>
  <si>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</si>
  <si>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</si>
  <si>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</si>
  <si>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</si>
  <si>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</si>
  <si>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</si>
  <si>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</si>
  <si>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</si>
  <si>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</si>
  <si>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</si>
  <si>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</si>
  <si>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</si>
  <si>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</si>
  <si>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</si>
  <si>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</si>
  <si>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</si>
  <si>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</si>
  <si>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</si>
  <si>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</si>
  <si>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</si>
  <si>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</si>
  <si>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</si>
  <si>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</si>
  <si>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</si>
  <si>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</si>
  <si>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</si>
  <si>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</si>
  <si>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</si>
  <si>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</si>
  <si>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</si>
  <si>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</si>
  <si>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</si>
  <si>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</si>
  <si>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</si>
  <si>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</si>
  <si>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</si>
  <si>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</si>
  <si>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</si>
  <si>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</si>
  <si>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</si>
  <si>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</si>
  <si>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</si>
  <si>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</si>
  <si>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</si>
  <si>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</si>
  <si>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</si>
  <si>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</si>
  <si>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</si>
  <si>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</si>
  <si>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</si>
  <si>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</si>
  <si>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</si>
  <si>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</si>
  <si>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</si>
  <si>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</si>
  <si>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</si>
  <si>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</si>
  <si>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</si>
  <si>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</si>
  <si>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</si>
  <si>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</si>
  <si>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</si>
  <si>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</si>
  <si>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</si>
  <si>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</si>
  <si>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</si>
  <si>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</si>
  <si>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</si>
  <si>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</si>
  <si>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</si>
  <si>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</si>
  <si>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</si>
  <si>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</si>
  <si>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</si>
  <si>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</si>
  <si>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</si>
  <si>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</si>
  <si>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</si>
  <si>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</si>
  <si>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</si>
  <si>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</si>
  <si>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</si>
  <si>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</si>
  <si>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</si>
  <si>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</si>
  <si>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</si>
  <si>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</si>
  <si>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</si>
  <si>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</si>
  <si>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</si>
  <si>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</si>
  <si>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</si>
  <si>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</si>
  <si>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</si>
  <si>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</si>
  <si>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</si>
  <si>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</si>
  <si>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</si>
  <si>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</si>
  <si>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</si>
  <si>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</si>
  <si>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</si>
  <si>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</si>
  <si>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</si>
  <si>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</si>
  <si>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</si>
  <si>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</si>
  <si>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</si>
  <si>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</si>
  <si>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</si>
  <si>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</si>
  <si>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</si>
  <si>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</si>
  <si>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</si>
  <si>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</si>
  <si>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</si>
  <si>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</si>
  <si>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</si>
  <si>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</si>
  <si>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</si>
  <si>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</si>
  <si>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</si>
  <si>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</si>
  <si>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</si>
  <si>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</si>
  <si>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</si>
  <si>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</si>
  <si>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</si>
  <si>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</si>
  <si>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</si>
  <si>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</si>
  <si>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</si>
  <si>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</si>
  <si>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</si>
  <si>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</si>
  <si>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</si>
  <si>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</si>
  <si>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</si>
  <si>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</si>
  <si>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</si>
  <si>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</si>
  <si>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</si>
  <si>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</si>
  <si>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</si>
  <si>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</si>
  <si>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</si>
  <si>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</si>
  <si>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</si>
  <si>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</si>
  <si>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</si>
  <si>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</si>
  <si>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</si>
  <si>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</si>
  <si>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</si>
  <si>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</si>
  <si>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</si>
  <si>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</si>
  <si>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</si>
  <si>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</si>
  <si>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</si>
  <si>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</si>
  <si>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</si>
  <si>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</si>
  <si>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</si>
  <si>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</si>
  <si>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</si>
  <si>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</si>
  <si>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</si>
  <si>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</si>
  <si>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</si>
  <si>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</si>
  <si>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</si>
  <si>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</si>
  <si>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</si>
  <si>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</si>
  <si>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</si>
  <si>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</si>
  <si>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</si>
  <si>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</si>
  <si>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</si>
  <si>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</si>
  <si>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</si>
  <si>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</si>
  <si>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</si>
  <si>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</si>
  <si>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</si>
  <si>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</si>
  <si>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</si>
  <si>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</si>
  <si>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</si>
  <si>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</si>
  <si>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</si>
  <si>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</si>
  <si>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</si>
  <si>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</si>
  <si>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</si>
  <si>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</si>
  <si>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</si>
  <si>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</si>
  <si>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</si>
  <si>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</si>
  <si>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</si>
  <si>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</si>
  <si>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</si>
  <si>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</si>
  <si>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</si>
  <si>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</si>
  <si>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</si>
  <si>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</si>
  <si>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</si>
  <si>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</si>
  <si>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</si>
  <si>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</si>
  <si>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</si>
  <si>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</si>
  <si>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</si>
  <si>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</si>
  <si>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</si>
  <si>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</si>
  <si>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</si>
  <si>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</si>
  <si>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</si>
  <si>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</si>
  <si>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</si>
  <si>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</si>
  <si>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</si>
  <si>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</si>
  <si>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</si>
  <si>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</si>
  <si>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</si>
  <si>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</si>
  <si>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</si>
  <si>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</si>
  <si>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</si>
  <si>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</si>
  <si>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</si>
  <si>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</si>
  <si>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</si>
  <si>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</si>
  <si>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</si>
  <si>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</si>
  <si>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</si>
  <si>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</si>
  <si>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</si>
  <si>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</si>
  <si>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</si>
  <si>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</si>
  <si>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</si>
  <si>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</si>
  <si>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</si>
  <si>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</si>
  <si>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</si>
  <si>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</si>
  <si>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</si>
  <si>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</si>
  <si>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</si>
  <si>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</si>
  <si>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</si>
  <si>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</si>
  <si>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</si>
  <si>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</si>
  <si>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</si>
  <si>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</si>
  <si>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</si>
  <si>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</si>
  <si>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</si>
  <si>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</si>
  <si>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</si>
  <si>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</si>
  <si>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</si>
  <si>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</si>
  <si>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</si>
  <si>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</si>
  <si>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</si>
  <si>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</si>
  <si>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</si>
  <si>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</si>
  <si>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</si>
  <si>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</si>
  <si>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</si>
  <si>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</si>
  <si>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</si>
  <si>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</si>
  <si>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</si>
  <si>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</si>
  <si>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</si>
  <si>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</si>
  <si>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</si>
  <si>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</si>
  <si>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</si>
  <si>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</si>
  <si>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</si>
  <si>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</si>
  <si>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</si>
  <si>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</si>
  <si>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</si>
  <si>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</si>
  <si>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</si>
  <si>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</si>
  <si>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</si>
  <si>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</si>
  <si>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</si>
  <si>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</si>
  <si>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</si>
  <si>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</si>
  <si>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</si>
  <si>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</si>
  <si>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</si>
  <si>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</si>
  <si>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</si>
  <si>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</si>
  <si>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</si>
  <si>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</si>
  <si>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</si>
  <si>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</si>
  <si>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</si>
  <si>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</si>
  <si>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</si>
  <si>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</si>
  <si>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</si>
  <si>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</si>
  <si>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</si>
  <si>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</si>
  <si>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</si>
  <si>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</si>
  <si>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</si>
  <si>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</si>
  <si>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</si>
  <si>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</si>
  <si>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</si>
  <si>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</si>
  <si>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</si>
  <si>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</si>
  <si>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</si>
  <si>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</si>
  <si>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</si>
  <si>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</si>
  <si>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</si>
  <si>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</si>
  <si>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</si>
  <si>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</si>
  <si>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</si>
  <si>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</si>
  <si>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</si>
  <si>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</si>
  <si>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</si>
  <si>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</si>
  <si>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</si>
  <si>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</si>
  <si>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</si>
  <si>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</si>
  <si>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</si>
  <si>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</si>
  <si>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</si>
  <si>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</si>
  <si>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</si>
  <si>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</si>
  <si>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</si>
  <si>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</si>
  <si>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</si>
  <si>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</si>
  <si>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</si>
  <si>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</si>
  <si>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</si>
  <si>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</si>
  <si>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</si>
  <si>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</si>
  <si>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</si>
  <si>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</si>
  <si>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</si>
  <si>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</si>
  <si>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</si>
  <si>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</si>
  <si>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</si>
  <si>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</si>
  <si>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</si>
  <si>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</si>
  <si>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</si>
  <si>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</si>
  <si>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</si>
  <si>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</si>
  <si>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</si>
  <si>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</si>
  <si>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</si>
  <si>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</si>
  <si>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</si>
  <si>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</si>
  <si>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</si>
  <si>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</si>
  <si>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</si>
  <si>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</si>
  <si>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</si>
  <si>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</si>
  <si>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</si>
  <si>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</si>
  <si>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</si>
  <si>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</si>
  <si>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</si>
  <si>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</si>
  <si>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</si>
  <si>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</si>
  <si>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</si>
  <si>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</si>
  <si>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</si>
  <si>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</si>
  <si>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</si>
  <si>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</si>
  <si>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</si>
  <si>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</si>
  <si>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</si>
  <si>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</si>
  <si>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</si>
  <si>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</si>
  <si>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</si>
  <si>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</si>
  <si>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</si>
  <si>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</si>
  <si>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</si>
  <si>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</si>
  <si>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</si>
  <si>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</si>
  <si>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</si>
  <si>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</si>
  <si>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</si>
  <si>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</si>
  <si>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</si>
  <si>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</si>
  <si>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</si>
  <si>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</si>
  <si>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</si>
  <si>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</si>
  <si>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</si>
  <si>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</si>
  <si>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</si>
  <si>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</si>
  <si>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</si>
  <si>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</si>
  <si>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</si>
  <si>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</si>
  <si>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</si>
  <si>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</si>
  <si>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</si>
  <si>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</si>
  <si>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</si>
  <si>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</si>
  <si>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</si>
  <si>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</si>
  <si>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</si>
  <si>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</si>
  <si>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</si>
  <si>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</si>
  <si>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</si>
  <si>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</si>
  <si>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</si>
  <si>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</si>
  <si>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</si>
  <si>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</si>
  <si>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</si>
  <si>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</si>
  <si>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</si>
  <si>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</si>
  <si>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</si>
  <si>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</si>
  <si>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</si>
  <si>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</si>
  <si>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</si>
  <si>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</si>
  <si>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</si>
  <si>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</si>
  <si>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</si>
  <si>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</si>
  <si>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</si>
  <si>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</si>
  <si>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</si>
  <si>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</si>
  <si>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</si>
  <si>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</si>
  <si>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</si>
  <si>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</si>
  <si>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</si>
  <si>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</si>
  <si>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</si>
  <si>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</si>
  <si>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</si>
  <si>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</si>
  <si>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</si>
  <si>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</si>
  <si>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</si>
  <si>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</si>
  <si>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</si>
  <si>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</si>
  <si>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</si>
  <si>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</si>
  <si>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</si>
  <si>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</si>
  <si>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</si>
  <si>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</si>
  <si>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</si>
  <si>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</si>
  <si>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</si>
  <si>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</si>
  <si>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</si>
  <si>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</si>
  <si>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</si>
  <si>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</si>
  <si>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</si>
  <si>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</si>
  <si>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</si>
  <si>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</si>
  <si>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</si>
  <si>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</si>
  <si>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</si>
  <si>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</si>
  <si>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</si>
  <si>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</si>
  <si>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</si>
  <si>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</si>
  <si>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</si>
  <si>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</si>
  <si>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</si>
  <si>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</si>
  <si>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</si>
  <si>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</si>
  <si>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</si>
  <si>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</si>
  <si>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</si>
  <si>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</si>
  <si>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</si>
  <si>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</si>
  <si>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</si>
  <si>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</si>
  <si>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</si>
  <si>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</si>
  <si>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</si>
  <si>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</si>
  <si>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</si>
  <si>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</si>
  <si>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</si>
  <si>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</si>
  <si>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</si>
  <si>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</si>
  <si>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</si>
  <si>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</si>
  <si>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</si>
  <si>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</si>
  <si>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</si>
  <si>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</si>
  <si>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</si>
  <si>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</si>
  <si>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</si>
  <si>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</si>
  <si>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</si>
  <si>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</si>
  <si>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</si>
  <si>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</si>
  <si>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</si>
  <si>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</si>
  <si>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</si>
  <si>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</si>
  <si>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</si>
  <si>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</si>
  <si>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</si>
  <si>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</si>
  <si>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</si>
  <si>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</si>
  <si>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</si>
  <si>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</si>
  <si>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</si>
  <si>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</si>
  <si>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</si>
  <si>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</si>
  <si>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</si>
  <si>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</si>
  <si>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</si>
  <si>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</si>
  <si>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</si>
  <si>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</si>
  <si>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</si>
  <si>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</si>
  <si>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</si>
  <si>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</si>
  <si>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</si>
  <si>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</si>
  <si>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</si>
  <si>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</si>
  <si>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</si>
  <si>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</si>
  <si>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</si>
  <si>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</si>
  <si>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</si>
  <si>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</si>
  <si>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</si>
  <si>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</si>
  <si>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</si>
  <si>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</si>
  <si>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</si>
  <si>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</si>
  <si>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</si>
  <si>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</si>
  <si>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</si>
  <si>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</si>
  <si>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</si>
  <si>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</si>
  <si>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</si>
  <si>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</si>
  <si>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</si>
  <si>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</si>
  <si>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</si>
  <si>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</si>
  <si>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</si>
  <si>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</si>
  <si>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</si>
  <si>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</si>
  <si>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</si>
  <si>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</si>
  <si>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</si>
  <si>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</si>
  <si>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</si>
  <si>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</si>
  <si>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</si>
  <si>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</si>
  <si>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</si>
  <si>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</si>
  <si>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</si>
  <si>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</si>
  <si>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</si>
  <si>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</si>
  <si>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</si>
  <si>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</si>
  <si>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</si>
  <si>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</si>
  <si>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</si>
  <si>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</si>
  <si>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</si>
  <si>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</si>
  <si>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</si>
  <si>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</si>
  <si>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</si>
  <si>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</si>
  <si>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</si>
  <si>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</si>
  <si>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</si>
  <si>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</si>
  <si>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</si>
  <si>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</si>
  <si>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</si>
  <si>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</si>
  <si>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</si>
  <si>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</si>
  <si>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</si>
  <si>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</si>
  <si>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</si>
  <si>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</si>
  <si>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</si>
  <si>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</si>
  <si>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</si>
  <si>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</si>
  <si>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</si>
  <si>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</si>
  <si>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</si>
  <si>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</si>
  <si>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</si>
  <si>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</si>
  <si>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</si>
  <si>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</si>
  <si>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</si>
  <si>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</si>
  <si>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</si>
  <si>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</si>
  <si>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</si>
  <si>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</si>
  <si>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</si>
  <si>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</si>
  <si>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</si>
  <si>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</si>
  <si>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</si>
  <si>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</si>
  <si>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</si>
  <si>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</si>
  <si>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</si>
  <si>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</si>
  <si>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</si>
  <si>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</si>
  <si>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</si>
  <si>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</si>
  <si>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</si>
  <si>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</si>
  <si>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</si>
  <si>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</si>
  <si>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</si>
  <si>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</si>
  <si>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</si>
  <si>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</si>
  <si>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</si>
  <si>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</si>
  <si>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</si>
  <si>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</si>
  <si>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</si>
  <si>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</si>
  <si>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</si>
  <si>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</si>
  <si>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</si>
  <si>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</si>
  <si>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</si>
  <si>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</si>
  <si>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</si>
  <si>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</si>
  <si>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</si>
  <si>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</si>
  <si>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</si>
  <si>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</si>
  <si>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</si>
  <si>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</si>
  <si>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</si>
  <si>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</si>
  <si>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</si>
  <si>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</si>
  <si>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</si>
  <si>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</si>
  <si>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</si>
  <si>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</si>
  <si>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</si>
  <si>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</si>
  <si>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</si>
  <si>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</si>
  <si>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</si>
  <si>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</si>
  <si>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</si>
  <si>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</si>
  <si>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</si>
  <si>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</si>
  <si>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</si>
  <si>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</si>
  <si>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</si>
  <si>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</si>
  <si>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</si>
  <si>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</si>
  <si>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</si>
  <si>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</si>
  <si>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</si>
  <si>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</si>
  <si>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</si>
  <si>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</si>
  <si>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</si>
  <si>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</si>
  <si>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</si>
  <si>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</si>
  <si>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</si>
  <si>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</si>
  <si>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</si>
  <si>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</si>
  <si>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</si>
  <si>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</si>
  <si>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</si>
  <si>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</si>
  <si>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</si>
  <si>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</si>
  <si>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</si>
  <si>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</si>
  <si>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</si>
  <si>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</si>
  <si>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</si>
  <si>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</si>
  <si>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</si>
  <si>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</si>
  <si>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</si>
  <si>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</si>
  <si>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</si>
  <si>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</si>
  <si>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</si>
  <si>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</si>
  <si>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</si>
  <si>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</si>
  <si>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</si>
  <si>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</si>
  <si>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</si>
  <si>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</si>
  <si>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</si>
  <si>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</si>
  <si>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</si>
  <si>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</si>
  <si>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</si>
  <si>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</si>
  <si>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</si>
  <si>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</si>
  <si>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</si>
  <si>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</si>
  <si>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</si>
  <si>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</si>
  <si>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</si>
  <si>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</si>
  <si>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</si>
  <si>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</si>
  <si>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</si>
  <si>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</si>
  <si>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</si>
  <si>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</si>
  <si>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</si>
  <si>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</si>
  <si>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</si>
  <si>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</si>
  <si>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</si>
  <si>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</si>
  <si>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</si>
  <si>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</si>
  <si>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</si>
  <si>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</si>
  <si>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</si>
  <si>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</si>
  <si>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</si>
  <si>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</si>
  <si>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</si>
  <si>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</si>
  <si>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</si>
  <si>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</si>
  <si>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</si>
  <si>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</si>
  <si>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</si>
  <si>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</si>
  <si>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</si>
  <si>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</si>
  <si>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</si>
  <si>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</si>
  <si>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</si>
  <si>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</si>
  <si>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</si>
  <si>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</si>
  <si>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</si>
  <si>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</si>
  <si>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</si>
  <si>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</si>
  <si>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</si>
  <si>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</si>
  <si>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</si>
  <si>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</si>
  <si>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</si>
  <si>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</si>
  <si>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</si>
  <si>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</si>
  <si>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</si>
  <si>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</si>
  <si>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</si>
  <si>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</si>
  <si>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</si>
  <si>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</si>
  <si>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</si>
  <si>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</si>
  <si>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</si>
  <si>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</si>
  <si>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</si>
  <si>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</si>
  <si>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</si>
  <si>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</si>
  <si>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</si>
  <si>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</si>
  <si>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</si>
  <si>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</si>
  <si>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</si>
  <si>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</si>
  <si>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</si>
  <si>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</si>
  <si>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</si>
  <si>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</si>
  <si>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</si>
  <si>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</si>
  <si>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</si>
  <si>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</si>
  <si>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</si>
  <si>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</si>
  <si>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</si>
  <si>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</si>
  <si>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</si>
  <si>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</si>
  <si>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</si>
  <si>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</si>
  <si>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</si>
  <si>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</si>
  <si>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</si>
  <si>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</si>
  <si>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</si>
  <si>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</si>
  <si>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</si>
  <si>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</si>
  <si>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</si>
  <si>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</si>
  <si>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</si>
  <si>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</si>
  <si>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</si>
  <si>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</si>
  <si>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</si>
  <si>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</si>
  <si>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</si>
  <si>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</si>
  <si>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</si>
  <si>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</si>
  <si>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</si>
  <si>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</si>
  <si>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</si>
  <si>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</si>
  <si>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</si>
  <si>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</si>
  <si>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</si>
  <si>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</si>
  <si>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</si>
  <si>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</si>
  <si>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</si>
  <si>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</si>
  <si>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</si>
  <si>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</si>
  <si>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</si>
  <si>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</si>
  <si>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</si>
  <si>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</si>
  <si>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</si>
  <si>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</si>
  <si>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</si>
  <si>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</si>
  <si>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</si>
  <si>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</si>
  <si>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</si>
  <si>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</si>
  <si>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</si>
  <si>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</si>
  <si>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</si>
  <si>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</si>
  <si>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</si>
  <si>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</si>
  <si>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</si>
  <si>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</si>
  <si>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</si>
  <si>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</si>
  <si>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</si>
  <si>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</si>
  <si>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</si>
  <si>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</si>
  <si>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</si>
  <si>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</si>
  <si>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</si>
  <si>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</si>
  <si>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</si>
  <si>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</si>
  <si>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</si>
  <si>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</si>
  <si>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</si>
  <si>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</si>
  <si>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</si>
  <si>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</si>
  <si>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</si>
  <si>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</si>
  <si>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</si>
  <si>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</si>
  <si>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</si>
  <si>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</si>
  <si>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</si>
  <si>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</si>
  <si>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</si>
  <si>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</si>
  <si>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</si>
  <si>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</si>
  <si>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</si>
  <si>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</si>
  <si>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</si>
  <si>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</si>
  <si>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</si>
  <si>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</si>
  <si>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</si>
  <si>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</si>
  <si>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</si>
  <si>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</si>
  <si>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</si>
  <si>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</si>
  <si>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</si>
  <si>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</si>
  <si>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</si>
  <si>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</si>
  <si>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</si>
  <si>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</si>
  <si>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</si>
  <si>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</si>
  <si>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</si>
  <si>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</si>
  <si>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</si>
  <si>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</si>
  <si>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</si>
  <si>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</si>
  <si>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</si>
  <si>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</si>
  <si>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</si>
  <si>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</si>
  <si>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</si>
  <si>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</si>
  <si>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</si>
  <si>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</si>
  <si>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</si>
  <si>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</si>
  <si>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</si>
  <si>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</si>
  <si>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</si>
  <si>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</si>
  <si>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</si>
  <si>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</si>
  <si>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</si>
  <si>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</si>
  <si>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</si>
  <si>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</si>
  <si>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</si>
  <si>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</si>
  <si>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</si>
  <si>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</si>
  <si>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</si>
  <si>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</si>
  <si>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</si>
  <si>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</si>
  <si>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</si>
  <si>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</si>
  <si>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</si>
  <si>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</si>
  <si>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</si>
  <si>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</si>
  <si>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</si>
  <si>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</si>
  <si>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</si>
  <si>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</si>
  <si>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</si>
  <si>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</si>
  <si>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</si>
  <si>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</si>
  <si>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</si>
  <si>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</si>
  <si>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</si>
  <si>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</si>
  <si>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</si>
  <si>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</si>
  <si>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</si>
  <si>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</si>
  <si>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</si>
  <si>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</si>
  <si>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</si>
  <si>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</si>
  <si>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</si>
  <si>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</si>
  <si>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</si>
  <si>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</si>
  <si>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</si>
  <si>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</si>
  <si>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</si>
  <si>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</si>
  <si>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</si>
  <si>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</si>
  <si>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</si>
  <si>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</si>
  <si>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</si>
  <si>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</si>
  <si>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</si>
  <si>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</si>
  <si>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</si>
  <si>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</si>
  <si>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</si>
  <si>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</si>
  <si>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</si>
  <si>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</si>
  <si>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</si>
  <si>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</si>
  <si>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</si>
  <si>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</si>
  <si>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</si>
  <si>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</si>
  <si>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</si>
  <si>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</si>
  <si>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</si>
  <si>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</si>
  <si>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</si>
  <si>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</si>
  <si>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</si>
  <si>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</si>
  <si>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</si>
  <si>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</si>
  <si>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</si>
  <si>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</si>
  <si>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</si>
  <si>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</si>
  <si>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</si>
  <si>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</si>
  <si>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</si>
  <si>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</si>
  <si>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</si>
  <si>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</si>
  <si>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</si>
  <si>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</si>
  <si>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</si>
  <si>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</si>
  <si>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</si>
  <si>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</si>
  <si>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</si>
  <si>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</si>
  <si>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</si>
  <si>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</si>
  <si>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</si>
  <si>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</si>
  <si>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</si>
  <si>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</si>
  <si>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</si>
  <si>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</si>
  <si>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</si>
  <si>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</si>
  <si>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</si>
  <si>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</si>
  <si>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</si>
  <si>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</si>
  <si>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</si>
  <si>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</si>
  <si>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</si>
  <si>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</si>
  <si>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</si>
  <si>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</si>
  <si>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</si>
  <si>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</si>
  <si>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</si>
  <si>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</si>
  <si>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</si>
  <si>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</si>
  <si>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</si>
  <si>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</si>
  <si>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</si>
  <si>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</si>
  <si>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</si>
  <si>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</si>
  <si>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</si>
  <si>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</si>
  <si>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</si>
  <si>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</si>
  <si>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</si>
  <si>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</si>
  <si>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</si>
  <si>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</si>
  <si>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</si>
  <si>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</si>
  <si>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</si>
  <si>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</si>
  <si>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</si>
  <si>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</si>
  <si>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</si>
  <si>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</si>
  <si>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</si>
  <si>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</si>
  <si>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</si>
  <si>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</si>
  <si>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</si>
  <si>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</si>
  <si>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</si>
  <si>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</si>
  <si>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</si>
  <si>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</si>
  <si>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</si>
  <si>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</si>
  <si>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</si>
  <si>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</si>
  <si>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</si>
  <si>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</si>
  <si>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</si>
  <si>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</si>
  <si>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</si>
  <si>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</si>
  <si>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</si>
  <si>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</si>
  <si>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</si>
  <si>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</si>
  <si>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</si>
  <si>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</si>
  <si>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</si>
  <si>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</si>
  <si>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</si>
  <si>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</si>
  <si>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</si>
  <si>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</si>
  <si>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</si>
  <si>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</si>
  <si>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</si>
  <si>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</si>
  <si>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</si>
  <si>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</si>
  <si>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</si>
  <si>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</si>
  <si>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</si>
  <si>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</si>
  <si>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</si>
  <si>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</si>
  <si>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</si>
  <si>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</si>
  <si>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</si>
  <si>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</si>
  <si>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</si>
  <si>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</si>
  <si>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</si>
  <si>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</si>
  <si>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</si>
  <si>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</si>
  <si>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</si>
  <si>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</si>
  <si>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</si>
  <si>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</si>
  <si>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</si>
  <si>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</si>
  <si>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</si>
  <si>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</si>
  <si>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</si>
  <si>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</si>
  <si>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</si>
  <si>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</si>
  <si>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</si>
  <si>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</si>
  <si>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</si>
  <si>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</si>
  <si>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</si>
  <si>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</si>
  <si>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</si>
  <si>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</si>
  <si>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</si>
  <si>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</si>
  <si>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</si>
  <si>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</si>
  <si>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</si>
  <si>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</si>
  <si>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</si>
  <si>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</si>
  <si>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</si>
  <si>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</si>
  <si>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</si>
  <si>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</si>
  <si>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</si>
  <si>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</si>
  <si>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</si>
  <si>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</si>
  <si>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</si>
  <si>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</si>
  <si>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</si>
  <si>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</si>
  <si>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</si>
  <si>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</si>
  <si>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</si>
  <si>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</si>
  <si>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</si>
  <si>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</si>
  <si>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</si>
  <si>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</si>
  <si>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</si>
  <si>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</si>
  <si>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</si>
  <si>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</si>
  <si>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</si>
  <si>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</si>
  <si>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</si>
  <si>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</si>
  <si>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</si>
  <si>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</si>
  <si>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</si>
  <si>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</si>
  <si>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</si>
  <si>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</si>
  <si>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</si>
  <si>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</si>
  <si>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</si>
  <si>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</si>
  <si>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</si>
  <si>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</si>
  <si>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</si>
  <si>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</si>
  <si>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</si>
  <si>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</si>
  <si>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</si>
  <si>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</si>
  <si>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</si>
  <si>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</si>
  <si>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</si>
  <si>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</si>
  <si>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</si>
  <si>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</si>
  <si>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</si>
  <si>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</si>
  <si>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</si>
  <si>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</si>
  <si>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</si>
  <si>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</si>
  <si>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</si>
  <si>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</si>
  <si>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</si>
  <si>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</si>
  <si>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</si>
  <si>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</si>
  <si>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</si>
  <si>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</si>
  <si>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</si>
  <si>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</si>
  <si>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</si>
  <si>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</si>
  <si>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</si>
  <si>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</si>
  <si>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</si>
  <si>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</si>
  <si>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</si>
  <si>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</si>
  <si>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</si>
  <si>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</si>
  <si>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</si>
  <si>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</si>
  <si>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</si>
  <si>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</si>
  <si>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</si>
  <si>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</si>
  <si>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</si>
  <si>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</si>
  <si>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</si>
  <si>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</si>
  <si>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</si>
  <si>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</si>
  <si>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</si>
  <si>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</si>
  <si>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</si>
  <si>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</si>
  <si>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</si>
  <si>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</si>
  <si>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</si>
  <si>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</si>
  <si>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</si>
  <si>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</si>
  <si>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</si>
  <si>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</si>
  <si>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</si>
  <si>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</si>
  <si>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</si>
  <si>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</si>
  <si>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</si>
  <si>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</si>
  <si>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</si>
  <si>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</si>
  <si>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</si>
  <si>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</si>
  <si>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</si>
  <si>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</si>
  <si>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</si>
  <si>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</si>
  <si>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</si>
  <si>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</si>
  <si>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</si>
  <si>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</si>
  <si>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</si>
  <si>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</si>
  <si>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</si>
  <si>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</si>
  <si>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</si>
  <si>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</si>
  <si>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</si>
  <si>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</si>
  <si>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</si>
  <si>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</si>
  <si>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</si>
  <si>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</si>
  <si>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</si>
  <si>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</si>
  <si>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</si>
  <si>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</si>
  <si>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</si>
  <si>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</si>
  <si>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</si>
  <si>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</si>
  <si>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</si>
  <si>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</si>
  <si>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</si>
  <si>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</si>
  <si>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</si>
  <si>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</si>
  <si>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</si>
  <si>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</si>
  <si>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</si>
  <si>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</si>
  <si>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</si>
  <si>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</si>
  <si>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</si>
  <si>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</si>
  <si>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</si>
  <si>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</si>
  <si>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</si>
  <si>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</si>
  <si>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</si>
  <si>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</si>
  <si>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</si>
  <si>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</si>
  <si>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</si>
  <si>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</si>
  <si>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</si>
  <si>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</si>
  <si>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</si>
  <si>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</si>
  <si>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</si>
  <si>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</si>
  <si>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</si>
  <si>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</si>
  <si>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</si>
  <si>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</si>
  <si>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</si>
  <si>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</si>
  <si>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</si>
  <si>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</si>
  <si>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</si>
  <si>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</si>
  <si>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</si>
  <si>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</si>
  <si>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</si>
  <si>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</si>
  <si>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</si>
  <si>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</si>
  <si>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</si>
  <si>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</si>
  <si>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</si>
  <si>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</si>
  <si>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</si>
  <si>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</si>
  <si>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</si>
  <si>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</si>
  <si>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</si>
  <si>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</si>
  <si>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</si>
  <si>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</si>
  <si>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</si>
  <si>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</si>
  <si>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</si>
  <si>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</si>
  <si>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</si>
  <si>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</si>
  <si>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</si>
  <si>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</si>
  <si>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</si>
  <si>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</si>
  <si>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</si>
  <si>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</si>
  <si>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</si>
  <si>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</si>
  <si>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</si>
  <si>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</si>
  <si>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</si>
  <si>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</si>
  <si>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</si>
  <si>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</si>
  <si>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</si>
  <si>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</si>
  <si>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</si>
  <si>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</si>
  <si>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</si>
  <si>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</si>
  <si>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</si>
  <si>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</si>
  <si>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</si>
  <si>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</si>
  <si>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</si>
  <si>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</si>
  <si>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</si>
  <si>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</si>
  <si>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</si>
  <si>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</si>
  <si>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</si>
  <si>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</si>
  <si>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</si>
  <si>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</si>
  <si>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</si>
  <si>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</si>
  <si>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</si>
  <si>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</si>
  <si>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</si>
  <si>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</si>
  <si>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</si>
  <si>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</si>
  <si>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</si>
  <si>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</si>
  <si>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</si>
  <si>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</si>
  <si>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</si>
  <si>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</si>
  <si>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</si>
  <si>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</si>
  <si>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</si>
  <si>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</si>
  <si>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</si>
  <si>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</si>
  <si>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</si>
  <si>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</si>
  <si>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</si>
  <si>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</si>
  <si>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</si>
  <si>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</si>
  <si>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</si>
  <si>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</si>
  <si>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</si>
  <si>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</si>
  <si>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</si>
  <si>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</si>
  <si>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</si>
  <si>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</si>
  <si>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</si>
  <si>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</si>
  <si>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</si>
  <si>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</si>
  <si>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</si>
  <si>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</si>
  <si>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</si>
  <si>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</si>
  <si>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</si>
  <si>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</si>
  <si>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</si>
  <si>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</si>
  <si>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</si>
  <si>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</si>
  <si>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</si>
  <si>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</si>
  <si>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</si>
  <si>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</si>
  <si>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</si>
  <si>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</si>
  <si>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</si>
  <si>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</si>
  <si>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</si>
  <si>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</si>
  <si>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</si>
  <si>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</si>
  <si>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</si>
  <si>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</si>
  <si>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</si>
  <si>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</si>
  <si>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</si>
  <si>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</si>
  <si>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</si>
  <si>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</si>
  <si>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</si>
  <si>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</si>
  <si>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</si>
  <si>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</si>
  <si>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</si>
  <si>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</si>
  <si>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</si>
  <si>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</si>
  <si>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</si>
  <si>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</si>
  <si>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</si>
  <si>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</si>
  <si>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</si>
  <si>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</si>
  <si>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</si>
  <si>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</si>
  <si>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</si>
  <si>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</si>
  <si>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</si>
  <si>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</si>
  <si>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</si>
  <si>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</si>
  <si>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</si>
  <si>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</si>
  <si>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</si>
  <si>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</si>
  <si>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</si>
  <si>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</si>
  <si>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</si>
  <si>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</si>
  <si>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</si>
  <si>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</si>
  <si>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</si>
  <si>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</si>
  <si>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</si>
  <si>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</si>
  <si>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</si>
  <si>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</si>
  <si>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</si>
  <si>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</si>
  <si>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</si>
  <si>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</si>
  <si>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</si>
  <si>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</si>
  <si>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</si>
  <si>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</si>
  <si>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</si>
  <si>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</si>
  <si>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</si>
  <si>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</si>
  <si>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</si>
  <si>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</si>
  <si>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</si>
  <si>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</si>
  <si>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</si>
  <si>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</si>
  <si>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</si>
  <si>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</si>
  <si>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</si>
  <si>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</si>
  <si>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</si>
  <si>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</si>
  <si>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</si>
  <si>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</si>
  <si>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</si>
  <si>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</si>
  <si>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</si>
  <si>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</si>
  <si>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</si>
  <si>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</si>
  <si>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</si>
  <si>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</si>
  <si>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</si>
  <si>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</si>
  <si>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</si>
  <si>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</si>
  <si>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</si>
  <si>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</si>
  <si>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</si>
  <si>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</si>
  <si>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</si>
  <si>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</si>
  <si>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</si>
  <si>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</si>
  <si>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</si>
  <si>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</si>
  <si>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</si>
  <si>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</si>
  <si>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</si>
  <si>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</si>
  <si>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</si>
  <si>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</si>
  <si>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</si>
  <si>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</si>
  <si>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</si>
  <si>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</si>
  <si>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</si>
  <si>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</si>
  <si>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</si>
  <si>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</si>
  <si>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</si>
  <si>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</si>
  <si>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</si>
  <si>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</si>
  <si>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</si>
  <si>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</si>
  <si>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</si>
  <si>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</si>
  <si>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</si>
  <si>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</si>
  <si>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</si>
  <si>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</si>
  <si>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</si>
  <si>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</si>
  <si>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</si>
  <si>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</si>
  <si>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</si>
  <si>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</si>
  <si>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</si>
  <si>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</si>
  <si>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</si>
  <si>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</si>
  <si>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</si>
  <si>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</si>
  <si>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</si>
  <si>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</si>
  <si>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</si>
  <si>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</si>
  <si>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</si>
  <si>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</si>
  <si>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</si>
  <si>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</si>
  <si>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</si>
  <si>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</si>
  <si>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</si>
  <si>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</si>
  <si>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</si>
  <si>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</si>
  <si>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</si>
  <si>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</si>
  <si>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</si>
  <si>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</si>
  <si>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</si>
  <si>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</si>
  <si>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</si>
  <si>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</si>
  <si>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</si>
  <si>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</si>
  <si>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</si>
  <si>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</si>
  <si>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</si>
  <si>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</si>
  <si>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</si>
  <si>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</si>
  <si>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</si>
  <si>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</si>
  <si>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</si>
  <si>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</si>
  <si>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</si>
  <si>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</si>
  <si>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</si>
  <si>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</si>
  <si>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</si>
  <si>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</si>
  <si>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</si>
  <si>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</si>
  <si>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</si>
  <si>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</si>
  <si>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</si>
  <si>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</si>
  <si>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</si>
  <si>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</si>
  <si>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</si>
  <si>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</si>
  <si>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</si>
  <si>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</si>
  <si>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</si>
  <si>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</si>
  <si>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</si>
  <si>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</si>
  <si>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</si>
  <si>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</si>
  <si>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</si>
  <si>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</si>
  <si>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</si>
  <si>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</si>
  <si>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</si>
  <si>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</si>
  <si>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</si>
  <si>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</si>
  <si>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</si>
  <si>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</si>
  <si>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</si>
  <si>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</si>
  <si>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</si>
  <si>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</si>
  <si>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</si>
  <si>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</si>
  <si>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</si>
  <si>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</si>
  <si>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</si>
  <si>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</si>
  <si>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</si>
  <si>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</si>
  <si>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</si>
  <si>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</si>
  <si>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</si>
  <si>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</si>
  <si>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</si>
  <si>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</si>
  <si>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</si>
  <si>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</si>
  <si>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</si>
  <si>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</si>
  <si>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</si>
  <si>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</si>
  <si>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</si>
  <si>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</si>
  <si>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</si>
  <si>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</si>
  <si>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</si>
  <si>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</si>
  <si>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</si>
  <si>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</si>
  <si>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</si>
  <si>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</si>
  <si>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</si>
  <si>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</si>
  <si>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</si>
  <si>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</si>
  <si>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</si>
  <si>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</si>
  <si>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</si>
  <si>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</si>
  <si>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</si>
  <si>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</si>
  <si>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</si>
  <si>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</si>
  <si>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</si>
  <si>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</si>
  <si>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</si>
  <si>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</si>
  <si>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</si>
  <si>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</si>
  <si>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</si>
  <si>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</si>
  <si>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</si>
  <si>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</si>
  <si>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</si>
  <si>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</si>
  <si>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</si>
  <si>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</si>
  <si>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</si>
  <si>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</si>
  <si>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</si>
  <si>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</si>
  <si>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</si>
  <si>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</si>
  <si>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</si>
  <si>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</si>
  <si>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</si>
  <si>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</si>
  <si>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</si>
  <si>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</si>
  <si>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</si>
  <si>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</si>
  <si>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</si>
  <si>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</si>
  <si>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</si>
  <si>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</si>
  <si>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</si>
  <si>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</si>
  <si>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</si>
  <si>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</si>
  <si>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</si>
  <si>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</si>
  <si>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</si>
  <si>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</si>
  <si>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</si>
  <si>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</si>
  <si>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</si>
  <si>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</si>
  <si>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</si>
  <si>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</si>
  <si>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</si>
  <si>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</si>
  <si>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</si>
  <si>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</si>
  <si>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</si>
  <si>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</si>
  <si>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</si>
  <si>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</si>
  <si>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</si>
  <si>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</si>
  <si>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</si>
  <si>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</si>
  <si>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</si>
  <si>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</si>
  <si>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</si>
  <si>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</si>
  <si>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</si>
  <si>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</si>
  <si>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</si>
  <si>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</si>
  <si>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</si>
  <si>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</si>
  <si>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</si>
  <si>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</si>
  <si>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</si>
  <si>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</si>
  <si>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</si>
  <si>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</si>
  <si>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</si>
  <si>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</si>
  <si>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</si>
  <si>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</si>
  <si>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</si>
  <si>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</si>
  <si>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</si>
  <si>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</si>
  <si>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</si>
  <si>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</si>
  <si>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</si>
  <si>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</si>
  <si>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</si>
  <si>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</si>
  <si>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</si>
  <si>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</si>
  <si>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</si>
  <si>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</si>
  <si>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</si>
  <si>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</si>
  <si>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</si>
  <si>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</si>
  <si>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</si>
  <si>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</si>
  <si>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</si>
  <si>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</si>
  <si>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</si>
  <si>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</si>
  <si>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</si>
  <si>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</si>
  <si>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</si>
  <si>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</si>
  <si>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</si>
  <si>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</si>
  <si>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</si>
  <si>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</si>
  <si>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</si>
  <si>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</si>
  <si>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</si>
  <si>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</si>
  <si>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</si>
  <si>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</si>
  <si>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</si>
  <si>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</si>
  <si>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</si>
  <si>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</si>
  <si>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</si>
  <si>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</si>
  <si>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</si>
  <si>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</si>
  <si>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</si>
  <si>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</si>
  <si>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</si>
  <si>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</si>
  <si>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</si>
  <si>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</si>
  <si>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</si>
  <si>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</si>
  <si>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</si>
  <si>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</si>
  <si>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</si>
  <si>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</si>
  <si>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</si>
  <si>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</si>
  <si>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</si>
  <si>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</si>
  <si>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</si>
  <si>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</si>
  <si>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</si>
  <si>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</si>
  <si>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</si>
  <si>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</si>
  <si>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</si>
  <si>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</si>
  <si>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</si>
  <si>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</si>
  <si>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</si>
  <si>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</si>
  <si>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</si>
  <si>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</si>
  <si>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</si>
  <si>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</si>
  <si>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</si>
  <si>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</si>
  <si>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</si>
  <si>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</si>
  <si>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</si>
  <si>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</si>
  <si>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</si>
  <si>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</si>
  <si>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</si>
  <si>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</si>
  <si>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</si>
  <si>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</si>
  <si>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</si>
  <si>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</si>
  <si>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</si>
  <si>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</si>
  <si>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</si>
  <si>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</si>
  <si>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</si>
  <si>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</si>
  <si>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</si>
  <si>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</si>
  <si>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</si>
  <si>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</si>
  <si>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</si>
  <si>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</si>
  <si>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</si>
  <si>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</si>
  <si>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</si>
  <si>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</si>
  <si>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</si>
  <si>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</si>
  <si>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</si>
  <si>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</si>
  <si>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</si>
  <si>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</si>
  <si>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</si>
  <si>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</si>
  <si>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</si>
  <si>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</si>
  <si>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</si>
  <si>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</si>
  <si>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</si>
  <si>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</si>
  <si>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</si>
  <si>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</si>
  <si>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</si>
  <si>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</si>
  <si>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</si>
  <si>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</si>
  <si>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</si>
  <si>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</si>
  <si>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</si>
  <si>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</si>
  <si>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</si>
  <si>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</si>
  <si>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</si>
  <si>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</si>
  <si>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</si>
  <si>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</si>
  <si>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</si>
  <si>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</si>
  <si>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</si>
  <si>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</si>
  <si>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</si>
  <si>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</si>
  <si>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</si>
  <si>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</si>
  <si>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</si>
  <si>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</si>
  <si>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</si>
  <si>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</si>
  <si>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</si>
  <si>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</si>
  <si>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</si>
  <si>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</si>
  <si>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</si>
  <si>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</si>
  <si>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</si>
  <si>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</si>
  <si>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</si>
  <si>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</si>
  <si>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</si>
  <si>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</si>
  <si>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</si>
  <si>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</si>
  <si>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</si>
  <si>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</si>
  <si>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</si>
  <si>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</si>
  <si>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</si>
  <si>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</si>
  <si>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</si>
  <si>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</si>
  <si>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</si>
  <si>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</si>
  <si>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</si>
  <si>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</si>
  <si>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</si>
  <si>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</si>
  <si>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</si>
  <si>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</si>
  <si>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</si>
  <si>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</si>
  <si>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</si>
  <si>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</si>
  <si>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</si>
  <si>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</si>
  <si>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</si>
  <si>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</si>
  <si>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</si>
  <si>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</si>
  <si>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</si>
  <si>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</si>
  <si>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</si>
  <si>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</si>
  <si>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</si>
  <si>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</si>
  <si>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</si>
  <si>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</si>
  <si>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</si>
  <si>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</si>
  <si>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</si>
  <si>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</si>
  <si>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</si>
  <si>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</si>
  <si>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</si>
  <si>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</si>
  <si>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</si>
  <si>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</si>
  <si>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</si>
  <si>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</si>
  <si>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</si>
  <si>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</si>
  <si>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</si>
  <si>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</si>
  <si>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</si>
  <si>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</si>
  <si>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</si>
  <si>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</si>
  <si>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</si>
  <si>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</si>
  <si>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</si>
  <si>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</si>
  <si>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</si>
  <si>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</si>
  <si>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</si>
  <si>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</si>
  <si>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</si>
  <si>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</si>
  <si>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</si>
  <si>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</si>
  <si>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</si>
  <si>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</si>
  <si>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</si>
  <si>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</si>
  <si>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</si>
  <si>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</si>
  <si>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</si>
  <si>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</si>
  <si>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</si>
  <si>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</si>
  <si>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</si>
  <si>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</si>
  <si>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</si>
  <si>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</si>
  <si>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</si>
  <si>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</si>
  <si>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</si>
  <si>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</si>
  <si>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</si>
  <si>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</si>
  <si>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</si>
  <si>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</si>
  <si>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</si>
  <si>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</si>
  <si>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</si>
  <si>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</si>
  <si>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</si>
  <si>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</si>
  <si>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</si>
  <si>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</si>
  <si>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</si>
  <si>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</si>
  <si>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</si>
  <si>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</si>
  <si>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</si>
  <si>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</si>
  <si>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</si>
  <si>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</si>
  <si>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</si>
  <si>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</si>
  <si>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</si>
  <si>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</si>
  <si>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</si>
  <si>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</si>
  <si>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</si>
  <si>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</si>
  <si>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</si>
  <si>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</si>
  <si>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</si>
  <si>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</si>
  <si>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</si>
  <si>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</si>
  <si>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</si>
  <si>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</si>
  <si>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</si>
  <si>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</si>
  <si>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</si>
  <si>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</si>
  <si>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</si>
  <si>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</si>
  <si>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</si>
  <si>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</si>
  <si>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</si>
  <si>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</si>
  <si>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</si>
  <si>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</si>
  <si>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</si>
  <si>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</si>
  <si>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</si>
  <si>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</si>
  <si>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</si>
  <si>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</si>
  <si>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</si>
  <si>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</si>
  <si>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</si>
  <si>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</si>
  <si>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</si>
  <si>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</si>
  <si>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</si>
  <si>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</si>
  <si>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</si>
  <si>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</si>
  <si>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</si>
  <si>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</si>
  <si>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</si>
  <si>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</si>
  <si>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</si>
  <si>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</si>
  <si>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</si>
  <si>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</si>
  <si>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</si>
  <si>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</si>
  <si>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</si>
  <si>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</si>
  <si>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</si>
  <si>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</si>
  <si>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</si>
  <si>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</si>
  <si>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</si>
  <si>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</si>
  <si>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</si>
  <si>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</si>
  <si>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</si>
  <si>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</si>
  <si>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</si>
  <si>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</si>
  <si>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</si>
  <si>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</si>
  <si>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</si>
  <si>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</si>
  <si>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</si>
  <si>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</si>
  <si>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</si>
  <si>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</si>
  <si>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</si>
  <si>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</si>
  <si>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</si>
  <si>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</si>
  <si>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</si>
  <si>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</si>
  <si>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</si>
  <si>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</si>
  <si>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</si>
  <si>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</si>
  <si>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</si>
  <si>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</si>
  <si>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</si>
  <si>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</si>
  <si>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</si>
  <si>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</si>
  <si>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</si>
  <si>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</si>
  <si>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</si>
  <si>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</si>
  <si>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</si>
  <si>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</si>
  <si>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</si>
  <si>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</si>
  <si>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</si>
  <si>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</si>
  <si>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</si>
  <si>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</si>
  <si>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</si>
  <si>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</si>
  <si>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</si>
  <si>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</si>
  <si>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</si>
  <si>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</si>
  <si>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</si>
  <si>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</si>
  <si>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</si>
  <si>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</si>
  <si>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</si>
  <si>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</si>
  <si>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</si>
  <si>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</si>
  <si>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</si>
  <si>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</si>
  <si>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</si>
  <si>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</si>
  <si>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</si>
  <si>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</si>
  <si>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</si>
  <si>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</si>
  <si>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</si>
  <si>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</si>
  <si>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</si>
  <si>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</si>
  <si>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</si>
  <si>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</si>
  <si>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</si>
  <si>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</si>
  <si>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</si>
  <si>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</si>
  <si>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</si>
  <si>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</si>
  <si>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</si>
  <si>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</si>
  <si>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</si>
  <si>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</si>
  <si>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</si>
  <si>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</si>
  <si>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</si>
  <si>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</si>
  <si>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</si>
  <si>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</si>
  <si>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</si>
  <si>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</si>
  <si>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</si>
  <si>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</si>
  <si>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</si>
  <si>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</si>
  <si>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</si>
  <si>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</si>
  <si>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</si>
  <si>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</si>
  <si>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</si>
  <si>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</si>
  <si>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</si>
  <si>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</si>
  <si>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</si>
  <si>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</si>
  <si>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</si>
  <si>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</si>
  <si>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</si>
  <si>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</si>
  <si>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</si>
  <si>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</si>
  <si>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</si>
  <si>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</si>
  <si>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</si>
  <si>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</si>
  <si>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</si>
  <si>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</si>
  <si>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</si>
  <si>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</si>
  <si>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</si>
  <si>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</si>
  <si>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</si>
  <si>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</si>
  <si>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</si>
  <si>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</si>
  <si>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</si>
  <si>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</si>
  <si>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</si>
  <si>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</si>
  <si>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</si>
  <si>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</si>
  <si>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</si>
  <si>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</si>
  <si>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</si>
  <si>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</si>
  <si>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</si>
  <si>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</si>
  <si>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</si>
  <si>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</si>
  <si>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</si>
  <si>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</si>
  <si>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</si>
  <si>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</si>
  <si>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</si>
  <si>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</si>
  <si>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</si>
  <si>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</si>
  <si>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</si>
  <si>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</si>
  <si>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</si>
  <si>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</si>
  <si>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</si>
  <si>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</si>
  <si>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</si>
  <si>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</si>
  <si>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</si>
  <si>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</si>
  <si>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</si>
  <si>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</si>
  <si>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</si>
  <si>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</si>
  <si>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</si>
  <si>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</si>
  <si>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</si>
  <si>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</si>
  <si>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</si>
  <si>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</si>
  <si>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</si>
  <si>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</si>
  <si>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</si>
  <si>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</si>
  <si>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</si>
  <si>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</si>
  <si>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</si>
  <si>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</si>
  <si>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</si>
  <si>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</si>
  <si>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</si>
  <si>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</si>
  <si>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</si>
  <si>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</si>
  <si>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</si>
  <si>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</si>
  <si>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</si>
  <si>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</si>
  <si>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</si>
  <si>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</si>
  <si>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</si>
  <si>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</si>
  <si>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</si>
  <si>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</si>
  <si>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</si>
  <si>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</si>
  <si>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</si>
  <si>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</si>
  <si>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</si>
  <si>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</si>
  <si>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</si>
  <si>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</si>
  <si>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</si>
  <si>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</si>
  <si>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</si>
  <si>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</si>
  <si>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</si>
  <si>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</si>
  <si>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</si>
  <si>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</si>
  <si>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</si>
  <si>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</si>
  <si>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</si>
  <si>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</si>
  <si>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</si>
  <si>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</si>
  <si>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</si>
  <si>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</si>
  <si>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</si>
  <si>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</si>
  <si>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</si>
  <si>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</si>
  <si>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</si>
  <si>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</si>
  <si>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</si>
  <si>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</si>
  <si>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</si>
  <si>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</si>
  <si>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</si>
  <si>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</si>
  <si>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</si>
  <si>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</si>
  <si>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</si>
  <si>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</si>
  <si>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</si>
  <si>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</si>
  <si>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</si>
  <si>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</si>
  <si>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</si>
  <si>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</si>
  <si>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</si>
  <si>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</si>
  <si>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</si>
  <si>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</si>
  <si>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</si>
  <si>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</si>
  <si>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</si>
  <si>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</si>
  <si>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</si>
  <si>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</si>
  <si>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</si>
  <si>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</si>
  <si>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</si>
  <si>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</si>
  <si>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</si>
  <si>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</si>
  <si>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</si>
  <si>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</si>
  <si>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</si>
  <si>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</si>
  <si>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</si>
  <si>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</si>
  <si>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</si>
  <si>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</si>
  <si>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</si>
  <si>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</si>
  <si>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</si>
  <si>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</si>
  <si>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</si>
  <si>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</si>
  <si>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</si>
  <si>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</si>
  <si>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</si>
  <si>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</si>
  <si>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</si>
  <si>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</si>
  <si>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</si>
  <si>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</si>
  <si>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</si>
  <si>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</si>
  <si>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</si>
  <si>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</si>
  <si>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</si>
  <si>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</si>
  <si>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</si>
  <si>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</si>
  <si>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</si>
  <si>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</si>
  <si>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</si>
  <si>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</si>
  <si>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</si>
  <si>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</si>
  <si>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</si>
  <si>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</si>
  <si>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</si>
  <si>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</si>
  <si>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</si>
  <si>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</si>
  <si>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</si>
  <si>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</si>
  <si>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</si>
  <si>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</si>
  <si>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</si>
  <si>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</si>
  <si>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</si>
  <si>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</si>
  <si>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</si>
  <si>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</si>
  <si>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</si>
  <si>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</si>
  <si>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</si>
  <si>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</si>
  <si>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</si>
  <si>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</si>
  <si>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</si>
  <si>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</si>
  <si>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</si>
  <si>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</si>
  <si>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</si>
  <si>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</si>
  <si>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</si>
  <si>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</si>
  <si>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</si>
  <si>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</si>
  <si>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</si>
  <si>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</si>
  <si>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</si>
  <si>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</si>
  <si>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</si>
  <si>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</si>
  <si>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</si>
  <si>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</si>
  <si>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</si>
  <si>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</si>
  <si>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</si>
  <si>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</si>
  <si>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</si>
  <si>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</si>
  <si>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</si>
  <si>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</si>
  <si>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</si>
  <si>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</si>
  <si>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</si>
  <si>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</si>
  <si>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</si>
  <si>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</si>
  <si>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</si>
  <si>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</si>
  <si>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</si>
  <si>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</si>
  <si>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</si>
  <si>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</si>
  <si>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</si>
  <si>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</si>
  <si>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</si>
  <si>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</si>
  <si>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</si>
  <si>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</si>
  <si>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</si>
  <si>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</si>
  <si>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</si>
  <si>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</si>
  <si>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</si>
  <si>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</si>
  <si>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</si>
  <si>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</si>
  <si>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</si>
  <si>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</si>
  <si>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</si>
  <si>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</si>
  <si>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</si>
  <si>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</si>
  <si>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</si>
  <si>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</si>
  <si>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</si>
  <si>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</si>
  <si>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</si>
  <si>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</si>
  <si>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</si>
  <si>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</si>
  <si>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</si>
  <si>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</si>
  <si>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</si>
  <si>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</si>
  <si>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</si>
  <si>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</si>
  <si>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</si>
  <si>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</si>
  <si>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</si>
  <si>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</si>
  <si>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</si>
  <si>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</si>
  <si>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</si>
  <si>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</si>
  <si>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</si>
  <si>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</si>
  <si>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</si>
  <si>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</si>
  <si>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</si>
  <si>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</si>
  <si>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</si>
  <si>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</si>
  <si>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</si>
  <si>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</si>
  <si>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</si>
  <si>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</si>
  <si>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</si>
  <si>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</si>
  <si>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</si>
  <si>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</si>
  <si>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</si>
  <si>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</si>
  <si>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</si>
  <si>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</si>
  <si>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</si>
  <si>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</si>
  <si>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</si>
  <si>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</si>
  <si>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</si>
  <si>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</si>
  <si>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</si>
  <si>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</si>
  <si>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</si>
  <si>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</si>
  <si>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</si>
  <si>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</si>
  <si>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</si>
  <si>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</si>
  <si>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</si>
  <si>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</si>
  <si>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</si>
  <si>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</si>
  <si>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</si>
  <si>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</si>
  <si>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</si>
  <si>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</si>
  <si>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</si>
  <si>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</si>
  <si>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</si>
  <si>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</si>
  <si>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</si>
  <si>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</si>
  <si>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</si>
  <si>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</si>
  <si>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</si>
  <si>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</si>
  <si>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</si>
  <si>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</si>
  <si>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</si>
  <si>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</si>
  <si>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</si>
  <si>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</si>
  <si>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</si>
  <si>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</si>
  <si>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</si>
  <si>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</si>
  <si>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</si>
  <si>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</si>
  <si>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</si>
  <si>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</si>
  <si>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</si>
  <si>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</si>
  <si>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</si>
  <si>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</si>
  <si>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</si>
  <si>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</si>
  <si>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</si>
  <si>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</si>
  <si>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</si>
  <si>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</si>
  <si>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</si>
  <si>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</si>
  <si>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</si>
  <si>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</si>
  <si>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</si>
  <si>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</si>
  <si>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</si>
  <si>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</si>
  <si>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</si>
  <si>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</si>
  <si>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</si>
  <si>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</si>
  <si>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</si>
  <si>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</si>
  <si>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</si>
  <si>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</si>
  <si>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</si>
  <si>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</si>
  <si>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</si>
  <si>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</si>
  <si>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</si>
  <si>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</si>
  <si>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</si>
  <si>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</si>
  <si>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</si>
  <si>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</si>
  <si>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</si>
  <si>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</si>
  <si>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</si>
  <si>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</si>
  <si>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</si>
  <si>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</si>
  <si>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</si>
  <si>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</si>
  <si>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</si>
  <si>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</si>
  <si>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</si>
  <si>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</si>
  <si>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</si>
  <si>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</si>
  <si>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</si>
  <si>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</si>
  <si>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</si>
  <si>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</si>
  <si>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</si>
  <si>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</si>
  <si>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</si>
  <si>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</si>
  <si>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</si>
  <si>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</si>
  <si>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</si>
  <si>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</si>
  <si>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</si>
  <si>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</si>
  <si>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</si>
  <si>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</si>
  <si>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</si>
  <si>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</si>
  <si>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</si>
  <si>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</si>
  <si>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</si>
  <si>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</si>
  <si>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</si>
  <si>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</si>
  <si>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</si>
  <si>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</si>
  <si>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</si>
  <si>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</si>
  <si>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</si>
  <si>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</si>
  <si>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</si>
  <si>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</si>
  <si>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</si>
  <si>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</si>
  <si>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</si>
  <si>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</si>
  <si>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</si>
  <si>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</si>
  <si>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</si>
  <si>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</si>
  <si>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</si>
  <si>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</si>
  <si>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</si>
  <si>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</si>
  <si>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</si>
  <si>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</si>
  <si>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</si>
  <si>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</si>
  <si>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</si>
  <si>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</si>
  <si>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</si>
  <si>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</si>
  <si>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</si>
  <si>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</si>
  <si>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</si>
  <si>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</si>
  <si>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</si>
  <si>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</si>
  <si>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</si>
  <si>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</si>
  <si>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</si>
  <si>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</si>
  <si>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</si>
  <si>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</si>
  <si>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</si>
  <si>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</si>
  <si>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</si>
  <si>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</si>
  <si>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</si>
  <si>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</si>
  <si>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</si>
  <si>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</si>
  <si>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</si>
  <si>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</si>
  <si>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</si>
  <si>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</si>
  <si>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</si>
  <si>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</si>
  <si>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</si>
  <si>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</si>
  <si>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</si>
  <si>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</si>
  <si>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</si>
  <si>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</si>
  <si>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</si>
  <si>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</si>
  <si>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</si>
  <si>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</si>
  <si>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</si>
  <si>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</si>
  <si>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</si>
  <si>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</si>
  <si>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</si>
  <si>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</si>
  <si>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</si>
  <si>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</si>
  <si>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</si>
  <si>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</si>
  <si>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</si>
  <si>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</si>
  <si>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</si>
  <si>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</si>
  <si>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</si>
  <si>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</si>
  <si>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</si>
  <si>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</si>
  <si>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</si>
  <si>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</si>
  <si>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</si>
  <si>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</si>
  <si>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</si>
  <si>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</si>
  <si>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</si>
  <si>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</si>
  <si>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北京市</t>
  </si>
  <si>
    <t>企业</t>
  </si>
  <si>
    <t>抵押</t>
  </si>
  <si>
    <t>房地产抵押价值</t>
  </si>
  <si>
    <r>
      <rPr>
        <sz val="10"/>
        <color theme="9" tint="-0.249977111117893"/>
        <rFont val="宋体"/>
        <family val="3"/>
        <charset val="134"/>
      </rPr>
      <t>大兴区西红门镇京开路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层全部等</t>
    </r>
    <r>
      <rPr>
        <sz val="10"/>
        <color theme="9" tint="-0.249977111117893"/>
        <rFont val="Arial"/>
        <family val="2"/>
      </rPr>
      <t>[14]</t>
    </r>
    <r>
      <rPr>
        <sz val="10"/>
        <color theme="9" tint="-0.249977111117893"/>
        <rFont val="宋体"/>
        <family val="3"/>
        <charset val="134"/>
      </rPr>
      <t>套</t>
    </r>
    <phoneticPr fontId="6" type="noConversion"/>
  </si>
  <si>
    <t>北京太平洋工贸发展有限公司</t>
    <phoneticPr fontId="6" type="noConversion"/>
  </si>
  <si>
    <r>
      <t>大兴区西红门镇京开路1号院</t>
    </r>
    <r>
      <rPr>
        <sz val="11"/>
        <color theme="1"/>
        <rFont val="宋体"/>
        <family val="3"/>
        <charset val="134"/>
        <scheme val="minor"/>
      </rPr>
      <t>1号11幢1层全部</t>
    </r>
    <phoneticPr fontId="134" type="noConversion"/>
  </si>
  <si>
    <t>大兴区西红门镇京开路1号院1号14幢1层全部</t>
    <phoneticPr fontId="134" type="noConversion"/>
  </si>
  <si>
    <t>大兴区西红门镇京开路1号院1号5幢1层全部</t>
    <phoneticPr fontId="134" type="noConversion"/>
  </si>
  <si>
    <t>大兴区西红门镇京开路1号院1号7幢1层全部</t>
    <phoneticPr fontId="134" type="noConversion"/>
  </si>
  <si>
    <t>大兴区西红门镇京开路1号院1号2幢1层全部</t>
    <phoneticPr fontId="134" type="noConversion"/>
  </si>
  <si>
    <t>大兴区西红门镇京开路1号院1号1幢1层全部</t>
    <phoneticPr fontId="134" type="noConversion"/>
  </si>
  <si>
    <t>大兴区西红门镇京开路1号院1号9幢1层全部</t>
    <phoneticPr fontId="134" type="noConversion"/>
  </si>
  <si>
    <t>大兴区西红门镇京开路1号院1号16幢1层全部</t>
    <phoneticPr fontId="134" type="noConversion"/>
  </si>
  <si>
    <t>大兴区西红门镇京开路1号院1号13幢1层全部</t>
    <phoneticPr fontId="134" type="noConversion"/>
  </si>
  <si>
    <t>大兴区西红门镇京开路1号院1号4幢1层全部</t>
    <phoneticPr fontId="134" type="noConversion"/>
  </si>
  <si>
    <t>大兴区西红门镇京开路1号院1号8幢1层全部</t>
    <phoneticPr fontId="134" type="noConversion"/>
  </si>
  <si>
    <t>大兴区西红门镇京开路1号院1号6幢1层全部</t>
    <phoneticPr fontId="134" type="noConversion"/>
  </si>
  <si>
    <t>大兴区西红门镇京开路1号院1号3幢1层全部</t>
    <phoneticPr fontId="134" type="noConversion"/>
  </si>
  <si>
    <t>大兴区西红门镇京开路1号院1号12幢1层全部</t>
    <phoneticPr fontId="134" type="noConversion"/>
  </si>
  <si>
    <t>宗地面积</t>
    <phoneticPr fontId="134" type="noConversion"/>
  </si>
  <si>
    <t>工交</t>
    <phoneticPr fontId="134" type="noConversion"/>
  </si>
  <si>
    <t>是</t>
  </si>
  <si>
    <t>工业项目</t>
  </si>
  <si>
    <t>现房</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</si>
  <si>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</si>
  <si>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</si>
  <si>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</si>
  <si>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</si>
  <si>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</si>
  <si>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r>
      <t>6</t>
    </r>
    <r>
      <rPr>
        <sz val="11"/>
        <color indexed="8"/>
        <rFont val="宋体"/>
        <family val="3"/>
        <charset val="134"/>
      </rPr>
      <t>幢</t>
    </r>
    <phoneticPr fontId="3" type="noConversion"/>
  </si>
  <si>
    <r>
      <t>7</t>
    </r>
    <r>
      <rPr>
        <sz val="11"/>
        <color indexed="8"/>
        <rFont val="宋体"/>
        <family val="3"/>
        <charset val="134"/>
      </rPr>
      <t>幢</t>
    </r>
    <phoneticPr fontId="3" type="noConversion"/>
  </si>
  <si>
    <r>
      <t>8</t>
    </r>
    <r>
      <rPr>
        <sz val="11"/>
        <color indexed="8"/>
        <rFont val="宋体"/>
        <family val="3"/>
        <charset val="134"/>
      </rPr>
      <t>幢</t>
    </r>
    <phoneticPr fontId="3" type="noConversion"/>
  </si>
  <si>
    <r>
      <t>9</t>
    </r>
    <r>
      <rPr>
        <sz val="11"/>
        <color indexed="8"/>
        <rFont val="宋体"/>
        <family val="3"/>
        <charset val="134"/>
      </rPr>
      <t>幢</t>
    </r>
    <phoneticPr fontId="3" type="noConversion"/>
  </si>
  <si>
    <r>
      <t>11</t>
    </r>
    <r>
      <rPr>
        <sz val="11"/>
        <color indexed="8"/>
        <rFont val="宋体"/>
        <family val="3"/>
        <charset val="134"/>
      </rPr>
      <t>幢</t>
    </r>
    <phoneticPr fontId="3" type="noConversion"/>
  </si>
  <si>
    <r>
      <t>12</t>
    </r>
    <r>
      <rPr>
        <sz val="11"/>
        <color indexed="8"/>
        <rFont val="宋体"/>
        <family val="3"/>
        <charset val="134"/>
      </rPr>
      <t>幢</t>
    </r>
    <phoneticPr fontId="3" type="noConversion"/>
  </si>
  <si>
    <r>
      <t>13</t>
    </r>
    <r>
      <rPr>
        <sz val="11"/>
        <color indexed="8"/>
        <rFont val="宋体"/>
        <family val="3"/>
        <charset val="134"/>
      </rPr>
      <t>幢</t>
    </r>
    <phoneticPr fontId="3" type="noConversion"/>
  </si>
  <si>
    <r>
      <t>14</t>
    </r>
    <r>
      <rPr>
        <sz val="11"/>
        <color indexed="8"/>
        <rFont val="宋体"/>
        <family val="3"/>
        <charset val="134"/>
      </rPr>
      <t>幢</t>
    </r>
    <phoneticPr fontId="3" type="noConversion"/>
  </si>
  <si>
    <r>
      <t>16</t>
    </r>
    <r>
      <rPr>
        <sz val="11"/>
        <color indexed="8"/>
        <rFont val="宋体"/>
        <family val="3"/>
        <charset val="134"/>
      </rPr>
      <t>幢</t>
    </r>
    <phoneticPr fontId="3" type="noConversion"/>
  </si>
  <si>
    <t>地上</t>
  </si>
  <si>
    <t>工业</t>
    <phoneticPr fontId="7" type="noConversion"/>
  </si>
  <si>
    <t>成新度</t>
  </si>
  <si>
    <t>收益法</t>
  </si>
  <si>
    <t>找不到位置，看宗地图与北京镜之森林别墅相似</t>
    <phoneticPr fontId="134" type="noConversion"/>
  </si>
  <si>
    <t>Ⅵ-兴1</t>
  </si>
  <si>
    <t>级别平均容积率</t>
    <phoneticPr fontId="7" type="noConversion"/>
  </si>
  <si>
    <t>自定义容积率</t>
  </si>
  <si>
    <t>不临65条商业街</t>
  </si>
  <si>
    <t>与级别开发程度一致</t>
  </si>
  <si>
    <t>按公示增长率计算</t>
  </si>
  <si>
    <t>中心城区</t>
  </si>
  <si>
    <t>一般</t>
  </si>
  <si>
    <t>较好</t>
  </si>
  <si>
    <t>好</t>
  </si>
  <si>
    <t>未包含在土地购买价格中</t>
  </si>
  <si>
    <t>已包含在土地取得成本中</t>
  </si>
  <si>
    <t>全部缴纳</t>
  </si>
  <si>
    <t>建成年代</t>
    <phoneticPr fontId="3" type="noConversion"/>
  </si>
  <si>
    <t>直线</t>
    <phoneticPr fontId="3" type="noConversion"/>
  </si>
  <si>
    <t>土地使用权</t>
    <phoneticPr fontId="3" type="noConversion"/>
  </si>
  <si>
    <t>依据拿地时间推算</t>
    <phoneticPr fontId="3" type="noConversion"/>
  </si>
  <si>
    <t>设定钢混</t>
    <phoneticPr fontId="3" type="noConversion"/>
  </si>
  <si>
    <t>押一</t>
  </si>
  <si>
    <t>钢混</t>
  </si>
  <si>
    <t>非生产用房</t>
  </si>
  <si>
    <t>否</t>
  </si>
  <si>
    <t>成本法</t>
  </si>
  <si>
    <t>楼面单价</t>
  </si>
  <si>
    <t>自定义</t>
  </si>
  <si>
    <t>根据不动产查询</t>
    <phoneticPr fontId="134" type="noConversion"/>
  </si>
  <si>
    <t>建筑面积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</si>
</sst>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0" fontId="128"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520700</xdr:colOff>
      <xdr:row>5</xdr:row>
      <xdr:rowOff>103996</xdr:rowOff>
    </xdr:from>
    <xdr:to>
      <xdr:col>18</xdr:col>
      <xdr:colOff>292181</xdr:colOff>
      <xdr:row>24</xdr:row>
      <xdr:rowOff>27428</xdr:rowOff>
    </xdr:to>
    <xdr:pic>
      <xdr:nvPicPr>
        <xdr:cNvPr id="2" name="图片 1">
          <a:extLst>
            <a:ext uri="{FF2B5EF4-FFF2-40B4-BE49-F238E27FC236}">
              <a16:creationId xmlns:a16="http://schemas.microsoft.com/office/drawing/2014/main" id="{8E7365EA-04A9-442C-ACD0-3C40D5CB92E8}"/>
            </a:ext>
          </a:extLst>
        </xdr:cNvPr>
        <xdr:cNvPicPr>
          <a:picLocks noChangeAspect="1"/>
        </xdr:cNvPicPr>
      </xdr:nvPicPr>
      <xdr:blipFill>
        <a:blip xmlns:r="http://schemas.openxmlformats.org/officeDocument/2006/relationships" r:embed="rId1"/>
        <a:stretch>
          <a:fillRect/>
        </a:stretch>
      </xdr:blipFill>
      <xdr:spPr>
        <a:xfrm>
          <a:off x="6483350" y="815196"/>
          <a:ext cx="7086681" cy="3301632"/>
        </a:xfrm>
        <a:prstGeom prst="rect">
          <a:avLst/>
        </a:prstGeom>
      </xdr:spPr>
    </xdr:pic>
    <xdr:clientData/>
  </xdr:twoCellAnchor>
  <xdr:twoCellAnchor editAs="oneCell">
    <xdr:from>
      <xdr:col>17</xdr:col>
      <xdr:colOff>142292</xdr:colOff>
      <xdr:row>25</xdr:row>
      <xdr:rowOff>69850</xdr:rowOff>
    </xdr:from>
    <xdr:to>
      <xdr:col>31</xdr:col>
      <xdr:colOff>230593</xdr:colOff>
      <xdr:row>64</xdr:row>
      <xdr:rowOff>91121</xdr:rowOff>
    </xdr:to>
    <xdr:pic>
      <xdr:nvPicPr>
        <xdr:cNvPr id="3" name="图片 2">
          <a:extLst>
            <a:ext uri="{FF2B5EF4-FFF2-40B4-BE49-F238E27FC236}">
              <a16:creationId xmlns:a16="http://schemas.microsoft.com/office/drawing/2014/main" id="{C84A3999-6E48-D0F0-7E43-87EA7625860B}"/>
            </a:ext>
          </a:extLst>
        </xdr:cNvPr>
        <xdr:cNvPicPr>
          <a:picLocks noChangeAspect="1"/>
        </xdr:cNvPicPr>
      </xdr:nvPicPr>
      <xdr:blipFill>
        <a:blip xmlns:r="http://schemas.openxmlformats.org/officeDocument/2006/relationships" r:embed="rId2"/>
        <a:stretch>
          <a:fillRect/>
        </a:stretch>
      </xdr:blipFill>
      <xdr:spPr>
        <a:xfrm>
          <a:off x="12810542" y="4514850"/>
          <a:ext cx="8622701" cy="6955471"/>
        </a:xfrm>
        <a:prstGeom prst="rect">
          <a:avLst/>
        </a:prstGeom>
      </xdr:spPr>
    </xdr:pic>
    <xdr:clientData/>
  </xdr:twoCellAnchor>
  <xdr:twoCellAnchor editAs="oneCell">
    <xdr:from>
      <xdr:col>0</xdr:col>
      <xdr:colOff>0</xdr:colOff>
      <xdr:row>21</xdr:row>
      <xdr:rowOff>0</xdr:rowOff>
    </xdr:from>
    <xdr:to>
      <xdr:col>6</xdr:col>
      <xdr:colOff>294493</xdr:colOff>
      <xdr:row>69</xdr:row>
      <xdr:rowOff>113219</xdr:rowOff>
    </xdr:to>
    <xdr:pic>
      <xdr:nvPicPr>
        <xdr:cNvPr id="4" name="图片 3">
          <a:extLst>
            <a:ext uri="{FF2B5EF4-FFF2-40B4-BE49-F238E27FC236}">
              <a16:creationId xmlns:a16="http://schemas.microsoft.com/office/drawing/2014/main" id="{A34475CA-99A0-44C5-1331-7C5EE33A66E2}"/>
            </a:ext>
          </a:extLst>
        </xdr:cNvPr>
        <xdr:cNvPicPr>
          <a:picLocks noChangeAspect="1"/>
        </xdr:cNvPicPr>
      </xdr:nvPicPr>
      <xdr:blipFill>
        <a:blip xmlns:r="http://schemas.openxmlformats.org/officeDocument/2006/relationships" r:embed="rId3"/>
        <a:stretch>
          <a:fillRect/>
        </a:stretch>
      </xdr:blipFill>
      <xdr:spPr>
        <a:xfrm>
          <a:off x="0" y="3733800"/>
          <a:ext cx="6257143" cy="8647619"/>
        </a:xfrm>
        <a:prstGeom prst="rect">
          <a:avLst/>
        </a:prstGeom>
      </xdr:spPr>
    </xdr:pic>
    <xdr:clientData/>
  </xdr:twoCellAnchor>
  <xdr:twoCellAnchor editAs="oneCell">
    <xdr:from>
      <xdr:col>6</xdr:col>
      <xdr:colOff>93522</xdr:colOff>
      <xdr:row>24</xdr:row>
      <xdr:rowOff>139700</xdr:rowOff>
    </xdr:from>
    <xdr:to>
      <xdr:col>16</xdr:col>
      <xdr:colOff>284543</xdr:colOff>
      <xdr:row>61</xdr:row>
      <xdr:rowOff>52728</xdr:rowOff>
    </xdr:to>
    <xdr:pic>
      <xdr:nvPicPr>
        <xdr:cNvPr id="5" name="图片 4">
          <a:extLst>
            <a:ext uri="{FF2B5EF4-FFF2-40B4-BE49-F238E27FC236}">
              <a16:creationId xmlns:a16="http://schemas.microsoft.com/office/drawing/2014/main" id="{5324C13F-5D77-C983-D6F2-FD144725A5B7}"/>
            </a:ext>
          </a:extLst>
        </xdr:cNvPr>
        <xdr:cNvPicPr>
          <a:picLocks noChangeAspect="1"/>
        </xdr:cNvPicPr>
      </xdr:nvPicPr>
      <xdr:blipFill>
        <a:blip xmlns:r="http://schemas.openxmlformats.org/officeDocument/2006/relationships" r:embed="rId4"/>
        <a:stretch>
          <a:fillRect/>
        </a:stretch>
      </xdr:blipFill>
      <xdr:spPr>
        <a:xfrm>
          <a:off x="6056172" y="4406900"/>
          <a:ext cx="6287021" cy="64916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139700</xdr:rowOff>
    </xdr:from>
    <xdr:to>
      <xdr:col>12</xdr:col>
      <xdr:colOff>507606</xdr:colOff>
      <xdr:row>70</xdr:row>
      <xdr:rowOff>33547</xdr:rowOff>
    </xdr:to>
    <xdr:pic>
      <xdr:nvPicPr>
        <xdr:cNvPr id="3" name="图片 2">
          <a:extLst>
            <a:ext uri="{FF2B5EF4-FFF2-40B4-BE49-F238E27FC236}">
              <a16:creationId xmlns:a16="http://schemas.microsoft.com/office/drawing/2014/main" id="{E095DE91-C88A-DACD-4664-691062BF14D3}"/>
            </a:ext>
          </a:extLst>
        </xdr:cNvPr>
        <xdr:cNvPicPr>
          <a:picLocks noChangeAspect="1"/>
        </xdr:cNvPicPr>
      </xdr:nvPicPr>
      <xdr:blipFill>
        <a:blip xmlns:r="http://schemas.openxmlformats.org/officeDocument/2006/relationships" r:embed="rId1"/>
        <a:stretch>
          <a:fillRect/>
        </a:stretch>
      </xdr:blipFill>
      <xdr:spPr>
        <a:xfrm>
          <a:off x="0" y="5829300"/>
          <a:ext cx="7822806" cy="6650247"/>
        </a:xfrm>
        <a:prstGeom prst="rect">
          <a:avLst/>
        </a:prstGeom>
      </xdr:spPr>
    </xdr:pic>
    <xdr:clientData/>
  </xdr:twoCellAnchor>
  <xdr:twoCellAnchor editAs="oneCell">
    <xdr:from>
      <xdr:col>0</xdr:col>
      <xdr:colOff>0</xdr:colOff>
      <xdr:row>0</xdr:row>
      <xdr:rowOff>0</xdr:rowOff>
    </xdr:from>
    <xdr:to>
      <xdr:col>12</xdr:col>
      <xdr:colOff>488950</xdr:colOff>
      <xdr:row>31</xdr:row>
      <xdr:rowOff>91314</xdr:rowOff>
    </xdr:to>
    <xdr:pic>
      <xdr:nvPicPr>
        <xdr:cNvPr id="4" name="图片 3">
          <a:extLst>
            <a:ext uri="{FF2B5EF4-FFF2-40B4-BE49-F238E27FC236}">
              <a16:creationId xmlns:a16="http://schemas.microsoft.com/office/drawing/2014/main" id="{F6D089DF-6052-FF7A-3DF1-05812AE662CB}"/>
            </a:ext>
          </a:extLst>
        </xdr:cNvPr>
        <xdr:cNvPicPr>
          <a:picLocks noChangeAspect="1"/>
        </xdr:cNvPicPr>
      </xdr:nvPicPr>
      <xdr:blipFill>
        <a:blip xmlns:r="http://schemas.openxmlformats.org/officeDocument/2006/relationships" r:embed="rId2"/>
        <a:stretch>
          <a:fillRect/>
        </a:stretch>
      </xdr:blipFill>
      <xdr:spPr>
        <a:xfrm>
          <a:off x="0" y="0"/>
          <a:ext cx="7804150" cy="5603114"/>
        </a:xfrm>
        <a:prstGeom prst="rect">
          <a:avLst/>
        </a:prstGeom>
      </xdr:spPr>
    </xdr:pic>
    <xdr:clientData/>
  </xdr:twoCellAnchor>
  <xdr:twoCellAnchor editAs="oneCell">
    <xdr:from>
      <xdr:col>0</xdr:col>
      <xdr:colOff>0</xdr:colOff>
      <xdr:row>70</xdr:row>
      <xdr:rowOff>63500</xdr:rowOff>
    </xdr:from>
    <xdr:to>
      <xdr:col>13</xdr:col>
      <xdr:colOff>536017</xdr:colOff>
      <xdr:row>110</xdr:row>
      <xdr:rowOff>125593</xdr:rowOff>
    </xdr:to>
    <xdr:pic>
      <xdr:nvPicPr>
        <xdr:cNvPr id="5" name="图片 4">
          <a:extLst>
            <a:ext uri="{FF2B5EF4-FFF2-40B4-BE49-F238E27FC236}">
              <a16:creationId xmlns:a16="http://schemas.microsoft.com/office/drawing/2014/main" id="{DEB4711C-92C9-9643-BD31-5CF5D3F9886A}"/>
            </a:ext>
          </a:extLst>
        </xdr:cNvPr>
        <xdr:cNvPicPr>
          <a:picLocks noChangeAspect="1"/>
        </xdr:cNvPicPr>
      </xdr:nvPicPr>
      <xdr:blipFill>
        <a:blip xmlns:r="http://schemas.openxmlformats.org/officeDocument/2006/relationships" r:embed="rId3"/>
        <a:stretch>
          <a:fillRect/>
        </a:stretch>
      </xdr:blipFill>
      <xdr:spPr>
        <a:xfrm>
          <a:off x="0" y="12509500"/>
          <a:ext cx="8460817" cy="71740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北京市大兴区西红门镇京开路1号院1号1幢1层全部等[14]套房地产抵押价值预评估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受贵公司委托，我公司对北京市大兴区西红门镇京开路1号院1号1幢1层全部等[14]套房地产抵押价值进行了预评估。</v>
      </c>
    </row>
    <row r="7" spans="1:2">
      <c r="A7" s="1119" t="s">
        <v>566</v>
      </c>
      <c r="B7" s="1120" t="str">
        <f>'预评函-1'!A7</f>
        <v>估价对象为北京市大兴区西红门镇京开路1号院1号1幢1层全部等[14]套房地产，为北京太平洋工贸发展有限公司所有。根据《国有土地使用证》[]，估价对象（分摊）出让国有建设用地使用权面积为0平方米，建筑面积为2833.72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西红门镇京开路1号院1号1幢1层全部等[14]套房地产,属北京太平洋工贸发展有限公司开发建设的工业项目，该项目尚在开发建设中。根据《国有土地使用证》[]，估价对象（分摊）出让国有建设用地使用权面积为0平方米，规划建筑面积为2833.72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西红门镇京开路1号院1号1幢1层全部等[14]套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2025年10月21日</v>
      </c>
    </row>
    <row r="13" spans="1:2">
      <c r="A13" s="1119" t="s">
        <v>529</v>
      </c>
      <c r="B13" s="1120" t="str">
        <f>'预评函-1'!A18</f>
        <v>本次估价的“房地产价值”是指在正常市场情况下，在价值时点2025年10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1541</v>
      </c>
    </row>
    <row r="21" spans="1:2">
      <c r="A21" s="1119" t="s">
        <v>537</v>
      </c>
      <c r="B21" s="1120">
        <f ca="1">'预评函-2'!D7</f>
        <v>5438</v>
      </c>
    </row>
    <row r="22" spans="1:2">
      <c r="A22" s="1119" t="s">
        <v>538</v>
      </c>
      <c r="B22" s="1120" t="str">
        <f ca="1">'预评函-2'!D6</f>
        <v>壹仟伍佰肆拾壹万元整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1541</v>
      </c>
    </row>
    <row r="31" spans="1:2">
      <c r="A31" s="1119" t="s">
        <v>576</v>
      </c>
      <c r="B31" s="1120">
        <f ca="1">'预评函-2'!D15</f>
        <v>5438</v>
      </c>
    </row>
    <row r="32" spans="1:2">
      <c r="A32" s="1119" t="s">
        <v>543</v>
      </c>
      <c r="B32" s="1120" t="str">
        <f ca="1">'预评函-2'!D14</f>
        <v>壹仟伍佰肆拾壹万元整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北京市大兴区西红门镇京开路1号院1号1幢1层全部等[14]套房地产</v>
      </c>
    </row>
    <row r="42" spans="1:2" ht="30">
      <c r="A42" s="1119" t="s">
        <v>590</v>
      </c>
      <c r="B42" s="1120" t="str">
        <f>'预评函-3'!B2</f>
        <v>建筑面积</v>
      </c>
    </row>
    <row r="43" spans="1:2">
      <c r="A43" s="1119" t="s">
        <v>591</v>
      </c>
      <c r="B43" s="1120">
        <f>'预评函-3'!B4</f>
        <v>2833.72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西红门镇京开路1号院1号1幢1层全部等[14]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8" t="s">
        <v>2580</v>
      </c>
      <c r="J2" s="3208"/>
      <c r="K2" s="3208"/>
      <c r="L2" s="3208"/>
      <c r="M2" s="3208"/>
      <c r="N2" s="3208"/>
      <c r="O2" s="3208"/>
      <c r="P2" s="3208"/>
      <c r="Q2" s="3208"/>
      <c r="R2" s="3208"/>
    </row>
    <row r="3" spans="1:18">
      <c r="A3" s="2760" t="s">
        <v>2501</v>
      </c>
      <c r="B3" s="2761">
        <f>项目基本情况!D3</f>
        <v>45951</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1.1599999999999999</v>
      </c>
      <c r="D5" s="2765">
        <f>IF(ISERROR(ROUND(POWER(1+E5,A5-C5)*(POWER(1+E5,C5)-1)/(POWER(1+E5,A5)-1),3)),0,ROUND(POWER(1+E5,A5-C5)*(POWER(1+E5,C5)-1)/(POWER(1+E5,A5)-1),4))</f>
        <v>5.62E-2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11.16</v>
      </c>
      <c r="D6" s="2765">
        <f>IF(ISERROR(ROUND(POWER(1+E6,A6-C6)*(POWER(1+E6,C6)-1)/(POWER(1+E6,A6)-1),3)),0,ROUND(POWER(1+E6,A6-C6)*(POWER(1+E6,C6)-1)/(POWER(1+E6,A6)-1),4))</f>
        <v>0.41249999999999998</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31.18</v>
      </c>
      <c r="D7" s="2765">
        <f>IF(ISERROR(ROUND(POWER(1+E7,A7-C7)*(POWER(1+E7,C7)-1)/(POWER(1+E7,A7)-1),3)),0,ROUND(POWER(1+E7,A7-C7)*(POWER(1+E7,C7)-1)/(POWER(1+E7,A7)-1),4))</f>
        <v>0.754</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16" t="str">
        <f>IF(B10="北京市","北京市",C10)&amp;F10&amp;IF(结果表!G1="在建","出让国有建设用地使用权及在建建筑物",IF(结果表!G1="土地","出让国有建设用地使用权",))&amp;B9&amp;"预评估"</f>
        <v>北京市大兴区西红门镇京开路1号院1号1幢1层全部等[14]套房地产抵押价值预评估</v>
      </c>
      <c r="C1" s="3217"/>
      <c r="D1" s="3217"/>
      <c r="E1" s="3217"/>
      <c r="F1" s="3217"/>
      <c r="G1" s="3217"/>
      <c r="H1" s="3217"/>
      <c r="I1" s="321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北京市大兴区西红门镇京开路1号院1号1幢1层全部等[14]套房地产抵押价值</v>
      </c>
      <c r="T1" s="1618"/>
      <c r="U1" s="1618"/>
      <c r="V1" s="1618"/>
      <c r="W1" s="1618"/>
      <c r="X1" s="1618"/>
      <c r="Y1" s="1618"/>
      <c r="Z1" s="1618"/>
      <c r="AA1" s="1618"/>
      <c r="AB1" s="1618"/>
    </row>
    <row r="2" spans="1:30" ht="13">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北京市大兴区西红门镇京开路1号院1号1幢1层全部等[14]套房地产</v>
      </c>
      <c r="T2" s="1618"/>
      <c r="U2" s="1618"/>
      <c r="V2" s="1618"/>
      <c r="W2" s="1618"/>
      <c r="X2" s="1618"/>
      <c r="Y2" s="1618"/>
      <c r="Z2" s="1618"/>
      <c r="AA2" s="1618"/>
      <c r="AB2" s="1618"/>
    </row>
    <row r="3" spans="1:30" ht="13">
      <c r="A3" s="294" t="s">
        <v>2170</v>
      </c>
      <c r="B3" s="2184"/>
      <c r="C3" s="2185" t="s">
        <v>2171</v>
      </c>
      <c r="D3" s="2184">
        <v>45951</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ht="13">
      <c r="A7" s="2193" t="s">
        <v>2175</v>
      </c>
      <c r="B7" s="2197"/>
      <c r="C7" s="2195"/>
      <c r="D7" s="2196"/>
      <c r="E7" s="2439"/>
      <c r="F7" s="2440"/>
      <c r="G7" s="2440"/>
      <c r="H7" s="2440"/>
      <c r="I7" s="2440"/>
      <c r="J7" s="2243"/>
      <c r="K7" s="2400"/>
      <c r="L7" s="2397"/>
      <c r="M7" s="2397"/>
      <c r="N7" s="2243"/>
      <c r="O7" s="1670"/>
      <c r="P7" s="2243"/>
      <c r="Q7" s="2243"/>
      <c r="R7" s="2243"/>
    </row>
    <row r="8" spans="1:30" ht="13">
      <c r="A8" s="2198" t="s">
        <v>2176</v>
      </c>
      <c r="B8" s="2199" t="s">
        <v>3419</v>
      </c>
      <c r="C8" s="2200"/>
      <c r="D8" s="3219" t="s">
        <v>2177</v>
      </c>
      <c r="E8" s="2201" t="s">
        <v>3420</v>
      </c>
      <c r="F8" s="2202"/>
      <c r="G8" s="2440"/>
      <c r="H8" s="2440"/>
      <c r="I8" s="2440"/>
      <c r="J8" s="2243"/>
      <c r="K8" s="2398"/>
      <c r="L8" s="2397"/>
      <c r="M8" s="2397"/>
      <c r="N8" s="2243"/>
      <c r="O8" s="1670"/>
      <c r="P8" s="2243"/>
      <c r="Q8" s="2243"/>
      <c r="R8" s="2243"/>
    </row>
    <row r="9" spans="1:30" ht="13.5" thickBot="1">
      <c r="A9" s="2203" t="s">
        <v>2178</v>
      </c>
      <c r="B9" s="2204" t="s">
        <v>3420</v>
      </c>
      <c r="C9" s="2205"/>
      <c r="D9" s="3220"/>
      <c r="E9" s="2204"/>
      <c r="F9" s="2206"/>
      <c r="G9" s="2441"/>
      <c r="H9" s="2441"/>
      <c r="I9" s="2441"/>
      <c r="J9" s="2243"/>
      <c r="K9" s="2400"/>
      <c r="L9" s="2397"/>
      <c r="M9" s="2397"/>
      <c r="N9" s="2243"/>
      <c r="O9" s="1670"/>
      <c r="P9" s="2243"/>
      <c r="Q9" s="2243"/>
      <c r="R9" s="2243"/>
    </row>
    <row r="10" spans="1:30" ht="13.5" thickTop="1">
      <c r="A10" s="2207" t="s">
        <v>2179</v>
      </c>
      <c r="B10" s="2208" t="s">
        <v>3417</v>
      </c>
      <c r="C10" s="2209"/>
      <c r="D10" s="2192"/>
      <c r="E10" s="2210" t="s">
        <v>2180</v>
      </c>
      <c r="F10" s="3504" t="s">
        <v>3421</v>
      </c>
      <c r="G10" s="2442"/>
      <c r="H10" s="2443"/>
      <c r="I10" s="2444"/>
      <c r="J10" s="2243"/>
      <c r="K10" s="2400"/>
      <c r="L10" s="2397"/>
      <c r="M10" s="2397"/>
      <c r="N10" s="2243"/>
      <c r="O10" s="1670"/>
      <c r="P10" s="2243"/>
      <c r="Q10" s="2243"/>
      <c r="R10" s="2243"/>
    </row>
    <row r="11" spans="1:30" ht="39">
      <c r="A11" s="2211" t="s">
        <v>2181</v>
      </c>
      <c r="B11" s="2212" t="s">
        <v>3418</v>
      </c>
      <c r="C11" s="3505" t="s">
        <v>3422</v>
      </c>
      <c r="D11" s="2213"/>
      <c r="E11" s="2181"/>
      <c r="F11" s="2181"/>
      <c r="G11" s="2181"/>
      <c r="H11" s="2181"/>
      <c r="I11" s="2181"/>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13">
      <c r="A13" s="3119" t="s">
        <v>3330</v>
      </c>
      <c r="B13" s="2216" t="s">
        <v>2190</v>
      </c>
      <c r="C13" s="803"/>
      <c r="D13" s="803"/>
      <c r="E13" s="803"/>
      <c r="F13" s="803"/>
      <c r="G13" s="803"/>
      <c r="H13" s="803">
        <v>57111</v>
      </c>
      <c r="I13" s="803"/>
      <c r="J13" s="2800"/>
      <c r="K13" s="2397"/>
      <c r="L13" s="2397"/>
      <c r="M13" s="2243"/>
      <c r="N13" s="1670"/>
      <c r="O13" s="2243"/>
      <c r="P13" s="2243"/>
      <c r="Q13" s="2243"/>
      <c r="AD13" s="1618"/>
    </row>
    <row r="14" spans="1:30" ht="13">
      <c r="A14" s="1018"/>
      <c r="B14" s="2216" t="s">
        <v>2191</v>
      </c>
      <c r="C14" s="2217"/>
      <c r="D14" s="2217"/>
      <c r="E14" s="2217"/>
      <c r="F14" s="2217"/>
      <c r="G14" s="2217"/>
      <c r="H14" s="2217">
        <v>50</v>
      </c>
      <c r="I14" s="2217"/>
      <c r="J14" s="2801"/>
      <c r="K14" s="2397"/>
      <c r="L14" s="2397"/>
      <c r="M14" s="2243"/>
      <c r="N14" s="1670"/>
      <c r="O14" s="2243"/>
      <c r="P14" s="2243"/>
      <c r="Q14" s="2243"/>
      <c r="AD14" s="1618"/>
    </row>
    <row r="15" spans="1:30" ht="13">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30.57</v>
      </c>
      <c r="I15" s="2219" t="str">
        <f>IF(A13="出让",IF(I13="","",ROUNDDOWN(MIN((I13-$D$3)/365,I14),2)),I14)</f>
        <v/>
      </c>
      <c r="J15" s="2802"/>
      <c r="K15" s="1670"/>
      <c r="L15" s="1670"/>
      <c r="M15" s="2243"/>
      <c r="N15" s="1670"/>
      <c r="O15" s="2243"/>
      <c r="P15" s="2243"/>
      <c r="Q15" s="2243"/>
      <c r="AD15" s="1618"/>
    </row>
    <row r="16" spans="1:30" ht="13">
      <c r="A16" s="2210" t="s">
        <v>2193</v>
      </c>
      <c r="B16" s="3226"/>
      <c r="C16" s="3227"/>
      <c r="D16" s="3228"/>
      <c r="E16" s="2220" t="s">
        <v>2194</v>
      </c>
      <c r="F16" s="3229"/>
      <c r="G16" s="3230"/>
      <c r="H16" s="3230"/>
      <c r="I16" s="3231"/>
      <c r="J16" s="2243"/>
      <c r="K16" s="2401"/>
      <c r="L16" s="1670"/>
      <c r="M16" s="1670"/>
      <c r="N16" s="2243"/>
      <c r="O16" s="1670"/>
      <c r="P16" s="2243"/>
      <c r="Q16" s="2243"/>
      <c r="R16" s="2243"/>
    </row>
    <row r="17" spans="1:28" ht="13">
      <c r="A17" s="305" t="s">
        <v>2195</v>
      </c>
      <c r="B17" s="294" t="s">
        <v>2196</v>
      </c>
      <c r="C17" s="8">
        <f>'数据-汇总表'!E3</f>
        <v>2833.72</v>
      </c>
      <c r="D17" s="1256" t="s">
        <v>2197</v>
      </c>
      <c r="E17" s="3232" t="s">
        <v>2198</v>
      </c>
      <c r="F17" s="3233"/>
      <c r="G17" s="3233"/>
      <c r="H17" s="3233"/>
      <c r="I17" s="3234"/>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0</v>
      </c>
      <c r="D18" s="1029" t="s">
        <v>2201</v>
      </c>
      <c r="E18" s="3235" t="s">
        <v>2202</v>
      </c>
      <c r="F18" s="3236"/>
      <c r="G18" s="3236"/>
      <c r="H18" s="3236"/>
      <c r="I18" s="3237"/>
      <c r="J18" s="2243"/>
      <c r="K18" s="2402"/>
      <c r="L18" s="1670"/>
      <c r="M18" s="1670"/>
      <c r="N18" s="2243"/>
      <c r="O18" s="1670"/>
      <c r="P18" s="2243"/>
      <c r="Q18" s="2243"/>
      <c r="R18" s="2243"/>
      <c r="S18" s="2243"/>
      <c r="T18" s="2243"/>
      <c r="U18" s="2243"/>
      <c r="V18" s="2243"/>
    </row>
    <row r="19" spans="1:28" ht="40" thickTop="1" thickBot="1">
      <c r="A19" s="319" t="s">
        <v>1055</v>
      </c>
      <c r="B19" s="299" t="s">
        <v>2203</v>
      </c>
      <c r="C19" s="1455" t="s">
        <v>3439</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2205</v>
      </c>
      <c r="B20" s="3222" t="s">
        <v>2206</v>
      </c>
      <c r="C20" s="3223"/>
      <c r="D20" s="3224" t="s">
        <v>2207</v>
      </c>
      <c r="E20" s="3225"/>
      <c r="F20" s="2428" t="s">
        <v>1056</v>
      </c>
      <c r="G20" s="2440"/>
      <c r="H20" s="2440"/>
      <c r="I20" s="2440"/>
      <c r="J20" s="2243"/>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10" t="s">
        <v>2214</v>
      </c>
      <c r="B27" s="312" t="s">
        <v>2215</v>
      </c>
      <c r="C27" s="2223" t="s">
        <v>3440</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1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1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11"/>
      <c r="B30" s="294" t="s">
        <v>2218</v>
      </c>
      <c r="C30" s="3212"/>
      <c r="D30" s="3213"/>
      <c r="E30" s="2440"/>
      <c r="F30" s="2440"/>
      <c r="G30" s="2440"/>
      <c r="H30" s="2440"/>
      <c r="I30" s="2440"/>
      <c r="J30" s="2243"/>
      <c r="K30" s="2400"/>
      <c r="L30" s="2397"/>
      <c r="M30" s="2397"/>
      <c r="N30" s="2243"/>
      <c r="O30" s="1670"/>
      <c r="P30" s="2243"/>
      <c r="Q30" s="2243"/>
      <c r="R30" s="2243"/>
      <c r="S30" s="2243"/>
      <c r="T30" s="2243"/>
      <c r="U30" s="2243"/>
      <c r="V30" s="2243"/>
    </row>
    <row r="31" spans="1:28">
      <c r="A31" s="3214" t="s">
        <v>2219</v>
      </c>
      <c r="B31" s="2229" t="s">
        <v>3441</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3"/>
      <c r="V34" s="2243"/>
    </row>
    <row r="35" spans="1:30">
      <c r="A35" s="2234"/>
      <c r="B35" s="3209" t="s">
        <v>2229</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ht="13">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c r="C37" s="2235"/>
      <c r="D37" s="2235"/>
      <c r="E37" s="2235" t="s">
        <v>29</v>
      </c>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t="s">
        <v>3461</v>
      </c>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ht="13">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2833.72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2833.72</v>
      </c>
      <c r="H5" s="13">
        <f t="shared" ref="H5:AT5" si="0">SUM(H13:H656)</f>
        <v>2833.72</v>
      </c>
      <c r="I5" s="13">
        <f t="shared" si="0"/>
        <v>2833.72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2833.72</v>
      </c>
      <c r="BA5" s="15">
        <f t="shared" si="1"/>
        <v>2833.72</v>
      </c>
      <c r="BB5" s="15">
        <f t="shared" si="1"/>
        <v>2833.72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3456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3442</v>
      </c>
      <c r="D13" s="1513" t="s">
        <v>3439</v>
      </c>
      <c r="E13" s="13">
        <f>IF($C$3="是",ROUND($A$3*G13/$B$3,2),ROUND($A$3*(G13-AT13)/$B$3,2))</f>
        <v>0</v>
      </c>
      <c r="F13" s="29"/>
      <c r="G13" s="30">
        <f>H13+AC13+AT13</f>
        <v>40.71</v>
      </c>
      <c r="H13" s="17">
        <f>SUMIF(I$12:AB$12,"总值",I13:AB13)</f>
        <v>40.71</v>
      </c>
      <c r="I13" s="1514">
        <f>面积信息!B2</f>
        <v>40.71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0</v>
      </c>
      <c r="AZ13" s="13">
        <f>BA13+BL13</f>
        <v>40.71</v>
      </c>
      <c r="BA13" s="13">
        <f>SUM(BB13:BK13)</f>
        <v>40.71</v>
      </c>
      <c r="BB13" s="13">
        <f>IF($D13="是",I13-J13,0)</f>
        <v>40.71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1462" t="s">
        <v>3443</v>
      </c>
      <c r="D14" s="1513" t="s">
        <v>3439</v>
      </c>
      <c r="E14" s="13">
        <f>IF($C$3="是",ROUND($A$3*G14/$B$3,2),ROUND($A$3*(G14-AT14)/$B$3,2))</f>
        <v>0</v>
      </c>
      <c r="F14" s="29"/>
      <c r="G14" s="30">
        <f>H14+AC14+AT14</f>
        <v>213.7</v>
      </c>
      <c r="H14" s="17">
        <f>SUMIF(I$12:AB$12,"总值",I14:AB14)</f>
        <v>213.7</v>
      </c>
      <c r="I14" s="1514">
        <f>面积信息!B3</f>
        <v>213.7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2幢</v>
      </c>
      <c r="AY14" s="1260">
        <f>ROUND($AY$6*AZ14/$AZ$5,2)</f>
        <v>0</v>
      </c>
      <c r="AZ14" s="13">
        <f>BA14+BL14</f>
        <v>213.7</v>
      </c>
      <c r="BA14" s="13">
        <f>SUM(BB14:BK14)</f>
        <v>213.7</v>
      </c>
      <c r="BB14" s="13">
        <f>IF($D14="是",I14-J14,0)</f>
        <v>213.7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
      <c r="A15" s="628"/>
      <c r="B15" s="628"/>
      <c r="C15" s="1462" t="s">
        <v>3444</v>
      </c>
      <c r="D15" s="1513" t="s">
        <v>3439</v>
      </c>
      <c r="E15" s="13">
        <f>IF($C$3="是",ROUND($A$3*G15/$B$3,2),ROUND($A$3*(G15-AT15)/$B$3,2))</f>
        <v>0</v>
      </c>
      <c r="F15" s="29"/>
      <c r="G15" s="30">
        <f>H15+AC15+AT15</f>
        <v>100.5</v>
      </c>
      <c r="H15" s="17">
        <f>SUMIF(I$12:AB$12,"总值",I15:AB15)</f>
        <v>100.5</v>
      </c>
      <c r="I15" s="1514">
        <f>面积信息!B4</f>
        <v>100.5</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3幢</v>
      </c>
      <c r="AY15" s="1260">
        <f>ROUND($AY$6*AZ15/$AZ$5,2)</f>
        <v>0</v>
      </c>
      <c r="AZ15" s="13">
        <f>BA15+BL15</f>
        <v>100.5</v>
      </c>
      <c r="BA15" s="13">
        <f>SUM(BB15:BK15)</f>
        <v>100.5</v>
      </c>
      <c r="BB15" s="13">
        <f>IF($D15="是",I15-J15,0)</f>
        <v>100.5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
      <c r="A16" s="628"/>
      <c r="B16" s="628"/>
      <c r="C16" s="1462" t="s">
        <v>3445</v>
      </c>
      <c r="D16" s="1513" t="s">
        <v>3439</v>
      </c>
      <c r="E16" s="13">
        <f>IF($C$3="是",ROUND($A$3*G16/$B$3,2),ROUND($A$3*(G16-AT16)/$B$3,2))</f>
        <v>0</v>
      </c>
      <c r="F16" s="29"/>
      <c r="G16" s="30">
        <f>H16+AC16+AT16</f>
        <v>178.88</v>
      </c>
      <c r="H16" s="17">
        <f>SUMIF(I$12:AB$12,"总值",I16:AB16)</f>
        <v>178.88</v>
      </c>
      <c r="I16" s="1514">
        <f>面积信息!B5</f>
        <v>178.88</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4幢</v>
      </c>
      <c r="AY16" s="1260">
        <f>ROUND($AY$6*AZ16/$AZ$5,2)</f>
        <v>0</v>
      </c>
      <c r="AZ16" s="13">
        <f>BA16+BL16</f>
        <v>178.88</v>
      </c>
      <c r="BA16" s="13">
        <f>SUM(BB16:BK16)</f>
        <v>178.88</v>
      </c>
      <c r="BB16" s="13">
        <f>IF($D16="是",I16-J16,0)</f>
        <v>178.88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
      <c r="A17" s="628"/>
      <c r="B17" s="628"/>
      <c r="C17" s="1462" t="s">
        <v>3446</v>
      </c>
      <c r="D17" s="1513" t="s">
        <v>3439</v>
      </c>
      <c r="E17" s="13">
        <f>IF($C$3="是",ROUND($A$3*G17/$B$3,2),ROUND($A$3*(G17-AT17)/$B$3,2))</f>
        <v>0</v>
      </c>
      <c r="F17" s="29"/>
      <c r="G17" s="30">
        <f>H17+AC17+AT17</f>
        <v>178.88</v>
      </c>
      <c r="H17" s="17">
        <f>SUMIF(I$12:AB$12,"总值",I17:AB17)</f>
        <v>178.88</v>
      </c>
      <c r="I17" s="1514">
        <f>面积信息!B6</f>
        <v>178.88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5幢</v>
      </c>
      <c r="AY17" s="1260">
        <f>ROUND($AY$6*AZ17/$AZ$5,2)</f>
        <v>0</v>
      </c>
      <c r="AZ17" s="13">
        <f>BA17+BL17</f>
        <v>178.88</v>
      </c>
      <c r="BA17" s="13">
        <f>SUM(BB17:BK17)</f>
        <v>178.88</v>
      </c>
      <c r="BB17" s="13">
        <f>IF($D17="是",I17-J17,0)</f>
        <v>178.88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5">
      <c r="A18" s="6"/>
      <c r="B18" s="31"/>
      <c r="C18" s="31" t="s">
        <v>3447</v>
      </c>
      <c r="D18" s="1513" t="s">
        <v>3439</v>
      </c>
      <c r="E18" s="32">
        <f t="shared" ref="E18:E112" si="7">IF($C$3="是",ROUND($A$3*G18/$B$3,2),ROUND($A$3*(G18-AT18)/$B$3,2))</f>
        <v>0</v>
      </c>
      <c r="F18" s="33"/>
      <c r="G18" s="34">
        <f t="shared" ref="G18:G109" si="8">H18+AC18+AT18</f>
        <v>213.7</v>
      </c>
      <c r="H18" s="35">
        <f t="shared" ref="H18:H109" si="9">SUMIF(I$12:AB$12,"总值",I18:AB18)</f>
        <v>213.7</v>
      </c>
      <c r="I18" s="1514">
        <f>面积信息!B7</f>
        <v>213.7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6幢</v>
      </c>
      <c r="AY18" s="38">
        <f t="shared" ref="AY18:AY109" si="14">ROUND($AY$6*AZ18/$AZ$5,2)</f>
        <v>0</v>
      </c>
      <c r="AZ18" s="32">
        <f t="shared" ref="AZ18:AZ109" si="15">BA18+BL18</f>
        <v>213.7</v>
      </c>
      <c r="BA18" s="32">
        <f t="shared" ref="BA18:BA109" si="16">SUM(BB18:BK18)</f>
        <v>213.7</v>
      </c>
      <c r="BB18" s="32">
        <f t="shared" ref="BB18:BB109" si="17">IF($D18="是",I18-J18,0)</f>
        <v>213.7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5">
      <c r="A19" s="6"/>
      <c r="B19" s="31"/>
      <c r="C19" s="31" t="s">
        <v>3448</v>
      </c>
      <c r="D19" s="1513" t="s">
        <v>3439</v>
      </c>
      <c r="E19" s="32">
        <f t="shared" si="7"/>
        <v>0</v>
      </c>
      <c r="F19" s="33"/>
      <c r="G19" s="34">
        <f t="shared" si="8"/>
        <v>185.4</v>
      </c>
      <c r="H19" s="35">
        <f t="shared" si="9"/>
        <v>185.4</v>
      </c>
      <c r="I19" s="1514">
        <f>面积信息!B8</f>
        <v>185.4</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7幢</v>
      </c>
      <c r="AY19" s="38">
        <f t="shared" si="14"/>
        <v>0</v>
      </c>
      <c r="AZ19" s="32">
        <f t="shared" si="15"/>
        <v>185.4</v>
      </c>
      <c r="BA19" s="32">
        <f t="shared" si="16"/>
        <v>185.4</v>
      </c>
      <c r="BB19" s="32">
        <f t="shared" si="17"/>
        <v>185.4</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5">
      <c r="A20" s="6"/>
      <c r="B20" s="31"/>
      <c r="C20" s="31" t="s">
        <v>3449</v>
      </c>
      <c r="D20" s="1513" t="s">
        <v>3439</v>
      </c>
      <c r="E20" s="32">
        <f t="shared" si="7"/>
        <v>0</v>
      </c>
      <c r="F20" s="33"/>
      <c r="G20" s="34">
        <f t="shared" si="8"/>
        <v>422.75</v>
      </c>
      <c r="H20" s="35">
        <f t="shared" si="9"/>
        <v>422.75</v>
      </c>
      <c r="I20" s="1514">
        <f>面积信息!B9</f>
        <v>422.75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8幢</v>
      </c>
      <c r="AY20" s="38">
        <f t="shared" si="14"/>
        <v>0</v>
      </c>
      <c r="AZ20" s="32">
        <f t="shared" si="15"/>
        <v>422.75</v>
      </c>
      <c r="BA20" s="32">
        <f t="shared" si="16"/>
        <v>422.75</v>
      </c>
      <c r="BB20" s="32">
        <f t="shared" si="17"/>
        <v>422.75</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5">
      <c r="A21" s="6"/>
      <c r="B21" s="31"/>
      <c r="C21" s="31" t="s">
        <v>3450</v>
      </c>
      <c r="D21" s="1513" t="s">
        <v>3439</v>
      </c>
      <c r="E21" s="32">
        <f t="shared" si="7"/>
        <v>0</v>
      </c>
      <c r="F21" s="33"/>
      <c r="G21" s="34">
        <f t="shared" si="8"/>
        <v>115.23</v>
      </c>
      <c r="H21" s="35">
        <f t="shared" si="9"/>
        <v>115.23</v>
      </c>
      <c r="I21" s="1514">
        <f>面积信息!B10</f>
        <v>115.23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9幢</v>
      </c>
      <c r="AY21" s="38">
        <f t="shared" si="14"/>
        <v>0</v>
      </c>
      <c r="AZ21" s="32">
        <f t="shared" si="15"/>
        <v>115.23</v>
      </c>
      <c r="BA21" s="32">
        <f t="shared" si="16"/>
        <v>115.23</v>
      </c>
      <c r="BB21" s="32">
        <f t="shared" si="17"/>
        <v>115.23</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14.5">
      <c r="A22" s="6"/>
      <c r="B22" s="31"/>
      <c r="C22" s="31" t="s">
        <v>3451</v>
      </c>
      <c r="D22" s="1513" t="s">
        <v>3439</v>
      </c>
      <c r="E22" s="32">
        <f t="shared" si="7"/>
        <v>0</v>
      </c>
      <c r="F22" s="33"/>
      <c r="G22" s="34">
        <f t="shared" si="8"/>
        <v>125.89</v>
      </c>
      <c r="H22" s="35">
        <f t="shared" si="9"/>
        <v>125.89</v>
      </c>
      <c r="I22" s="1514">
        <f>面积信息!B11</f>
        <v>125.89</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11幢</v>
      </c>
      <c r="AY22" s="38">
        <f t="shared" si="14"/>
        <v>0</v>
      </c>
      <c r="AZ22" s="32">
        <f t="shared" si="15"/>
        <v>125.89</v>
      </c>
      <c r="BA22" s="32">
        <f t="shared" si="16"/>
        <v>125.89</v>
      </c>
      <c r="BB22" s="32">
        <f t="shared" si="17"/>
        <v>125.89</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ht="14.5">
      <c r="A23" s="6"/>
      <c r="B23" s="31"/>
      <c r="C23" s="31" t="s">
        <v>3452</v>
      </c>
      <c r="D23" s="1513" t="s">
        <v>3439</v>
      </c>
      <c r="E23" s="32">
        <f t="shared" si="7"/>
        <v>0</v>
      </c>
      <c r="F23" s="33"/>
      <c r="G23" s="34">
        <f t="shared" si="8"/>
        <v>868.77</v>
      </c>
      <c r="H23" s="35">
        <f t="shared" si="9"/>
        <v>868.77</v>
      </c>
      <c r="I23" s="1514">
        <f>面积信息!B12</f>
        <v>868.77</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12幢</v>
      </c>
      <c r="AY23" s="38">
        <f t="shared" si="14"/>
        <v>0</v>
      </c>
      <c r="AZ23" s="32">
        <f t="shared" si="15"/>
        <v>868.77</v>
      </c>
      <c r="BA23" s="32">
        <f t="shared" si="16"/>
        <v>868.77</v>
      </c>
      <c r="BB23" s="32">
        <f t="shared" si="17"/>
        <v>868.77</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14.5">
      <c r="A24" s="6"/>
      <c r="B24" s="31"/>
      <c r="C24" s="31" t="s">
        <v>3453</v>
      </c>
      <c r="D24" s="1513" t="s">
        <v>3439</v>
      </c>
      <c r="E24" s="32">
        <f t="shared" si="7"/>
        <v>0</v>
      </c>
      <c r="F24" s="33"/>
      <c r="G24" s="34">
        <f t="shared" si="8"/>
        <v>134.69</v>
      </c>
      <c r="H24" s="35">
        <f t="shared" si="9"/>
        <v>134.69</v>
      </c>
      <c r="I24" s="1514">
        <f>面积信息!B13</f>
        <v>134.69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t="str">
        <f t="shared" si="13"/>
        <v>13幢</v>
      </c>
      <c r="AY24" s="38">
        <f t="shared" si="14"/>
        <v>0</v>
      </c>
      <c r="AZ24" s="32">
        <f t="shared" si="15"/>
        <v>134.69</v>
      </c>
      <c r="BA24" s="32">
        <f t="shared" si="16"/>
        <v>134.69</v>
      </c>
      <c r="BB24" s="32">
        <f t="shared" si="17"/>
        <v>134.69</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14.5">
      <c r="A25" s="6"/>
      <c r="B25" s="31"/>
      <c r="C25" s="31" t="s">
        <v>3454</v>
      </c>
      <c r="D25" s="1513" t="s">
        <v>3439</v>
      </c>
      <c r="E25" s="32">
        <f t="shared" si="7"/>
        <v>0</v>
      </c>
      <c r="F25" s="33"/>
      <c r="G25" s="34">
        <f t="shared" si="8"/>
        <v>23.37</v>
      </c>
      <c r="H25" s="35">
        <f t="shared" si="9"/>
        <v>23.37</v>
      </c>
      <c r="I25" s="1514">
        <f>面积信息!B14</f>
        <v>23.37</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t="str">
        <f t="shared" si="13"/>
        <v>14幢</v>
      </c>
      <c r="AY25" s="38">
        <f t="shared" si="14"/>
        <v>0</v>
      </c>
      <c r="AZ25" s="32">
        <f t="shared" si="15"/>
        <v>23.37</v>
      </c>
      <c r="BA25" s="32">
        <f t="shared" si="16"/>
        <v>23.37</v>
      </c>
      <c r="BB25" s="32">
        <f t="shared" si="17"/>
        <v>23.37</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ht="14.5">
      <c r="A26" s="6"/>
      <c r="B26" s="31"/>
      <c r="C26" s="31" t="s">
        <v>3455</v>
      </c>
      <c r="D26" s="1513" t="s">
        <v>3439</v>
      </c>
      <c r="E26" s="32">
        <f t="shared" si="7"/>
        <v>0</v>
      </c>
      <c r="F26" s="33"/>
      <c r="G26" s="34">
        <f t="shared" si="8"/>
        <v>31.25</v>
      </c>
      <c r="H26" s="35">
        <f t="shared" si="9"/>
        <v>31.25</v>
      </c>
      <c r="I26" s="1514">
        <f>面积信息!B15</f>
        <v>31.25</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t="str">
        <f t="shared" si="13"/>
        <v>16幢</v>
      </c>
      <c r="AY26" s="38">
        <f t="shared" si="14"/>
        <v>0</v>
      </c>
      <c r="AZ26" s="32">
        <f t="shared" si="15"/>
        <v>31.25</v>
      </c>
      <c r="BA26" s="32">
        <f t="shared" si="16"/>
        <v>31.25</v>
      </c>
      <c r="BB26" s="32">
        <f t="shared" si="17"/>
        <v>31.25</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7" t="s">
        <v>1131</v>
      </c>
      <c r="B2" s="3247"/>
      <c r="C2" s="3247"/>
      <c r="D2" s="748" t="s">
        <v>1107</v>
      </c>
      <c r="E2" s="1523" t="s">
        <v>1108</v>
      </c>
      <c r="F2" s="2437"/>
      <c r="G2" s="2430"/>
      <c r="H2" s="2431"/>
      <c r="I2" s="2145" t="s">
        <v>1132</v>
      </c>
      <c r="J2" s="2437"/>
      <c r="K2" s="2437"/>
      <c r="L2" s="2437"/>
      <c r="M2" s="2437"/>
      <c r="N2" s="2438"/>
      <c r="O2" s="2437"/>
      <c r="P2" s="2437"/>
    </row>
    <row r="3" spans="1:16" ht="14.5" thickBot="1">
      <c r="A3" s="3248" t="s">
        <v>1105</v>
      </c>
      <c r="B3" s="3248"/>
      <c r="C3" s="3248"/>
      <c r="D3" s="41">
        <f>'数据-基础表'!AY6</f>
        <v>0</v>
      </c>
      <c r="E3" s="41">
        <f>'数据-基础表'!AZ5</f>
        <v>2833.72</v>
      </c>
      <c r="F3" s="2437"/>
      <c r="G3" s="42"/>
      <c r="H3" s="43" t="s">
        <v>1106</v>
      </c>
      <c r="I3" s="802" t="e">
        <f>ROUND('数据-基础表'!B3/'数据-基础表'!A3,2)</f>
        <v>#DIV/0!</v>
      </c>
      <c r="J3" s="2437"/>
      <c r="K3" s="2437"/>
      <c r="L3" s="2437"/>
      <c r="M3" s="2437"/>
      <c r="N3" s="2438"/>
      <c r="O3" s="2437"/>
      <c r="P3" s="2437"/>
    </row>
    <row r="4" spans="1:16">
      <c r="A4" s="3249"/>
      <c r="B4" s="3250"/>
      <c r="C4" s="3251"/>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2" t="s">
        <v>1110</v>
      </c>
      <c r="C5" s="3252"/>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52" t="s">
        <v>1111</v>
      </c>
      <c r="C6" s="3252"/>
      <c r="D6" s="43">
        <f>ROUND($D$3*E6/$E$3,2)</f>
        <v>0</v>
      </c>
      <c r="E6" s="44">
        <f>E3-E5</f>
        <v>2833.72</v>
      </c>
      <c r="F6" s="2437"/>
      <c r="G6" s="1529" t="s">
        <v>1112</v>
      </c>
      <c r="H6" s="45" t="s">
        <v>1113</v>
      </c>
      <c r="I6" s="2433" t="e">
        <f>ROUND(F31/D31,2)</f>
        <v>#DIV/0!</v>
      </c>
      <c r="J6" s="2437"/>
      <c r="K6" s="2437"/>
      <c r="L6" s="2437"/>
      <c r="M6" s="2437"/>
      <c r="N6" s="2437"/>
      <c r="O6" s="2437"/>
      <c r="P6" s="2437"/>
    </row>
    <row r="7" spans="1:16" ht="14.5" thickBot="1">
      <c r="A7" s="3244"/>
      <c r="B7" s="3245"/>
      <c r="C7" s="3246"/>
      <c r="D7" s="1524" t="s">
        <v>1107</v>
      </c>
      <c r="E7" s="1528" t="s">
        <v>1114</v>
      </c>
      <c r="F7" s="2437"/>
      <c r="G7" s="2434" t="s">
        <v>1115</v>
      </c>
      <c r="H7" s="95"/>
      <c r="I7" s="2435">
        <v>1.2</v>
      </c>
      <c r="J7" s="3507" t="s">
        <v>3462</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2833.72</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2833.72</v>
      </c>
      <c r="F16" s="2437"/>
      <c r="G16" s="2437"/>
      <c r="H16" s="1531" t="s">
        <v>1135</v>
      </c>
      <c r="I16" s="1532"/>
      <c r="J16" s="1071"/>
      <c r="K16" s="3241" t="s">
        <v>1135</v>
      </c>
      <c r="L16" s="3242"/>
      <c r="M16" s="3242"/>
      <c r="N16" s="3242"/>
      <c r="O16" s="3242"/>
      <c r="P16" s="3243"/>
    </row>
    <row r="17" spans="1:19">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3457</v>
      </c>
      <c r="D19" s="43">
        <f>ROUND($D$3*E19/$E$3,2)</f>
        <v>0</v>
      </c>
      <c r="E19" s="51">
        <f t="shared" ref="E19:E26" si="1">SUM(F19:G19)</f>
        <v>2833.72</v>
      </c>
      <c r="F19" s="2555">
        <f>'数据-基础表'!B3</f>
        <v>2833.72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2833.72</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2833.72</v>
      </c>
      <c r="F27" s="1072">
        <f>IF(SUM(F19:F26)=E8,SUM(F19:F26),"地上面积有误")</f>
        <v>2833.72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2833.72</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2833.72</v>
      </c>
      <c r="F31" s="644">
        <f>F27+F30</f>
        <v>2833.72</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21"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45951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工业</v>
      </c>
      <c r="B6" s="1587" t="str">
        <f>IF(A6=0,"","经营性")</f>
        <v>经营性</v>
      </c>
      <c r="C6" s="1588" t="s">
        <v>3</v>
      </c>
      <c r="D6" s="805">
        <f>SUMIF(项目基本情况!C$12:I$12,C6,项目基本情况!C$14:I$14)</f>
        <v>50</v>
      </c>
      <c r="E6" s="804">
        <f>IF(B6="","",SUMIF(项目基本情况!C$12:I$12,C6,项目基本情况!C$13:I$13))</f>
        <v>57111</v>
      </c>
      <c r="F6" s="61">
        <f>SUMIF(项目基本情况!C$12:I$12,C6,项目基本情况!C$15:I$15)</f>
        <v>30.57</v>
      </c>
      <c r="G6" s="62">
        <f>IF(ISERROR(ROUND(POWER(1+H6,D6-F6)*(POWER(1+H6,F6)-1)/(POWER(1+H6,D6)-1),3)),0,ROUND(POWER(1+H6,D6-F6)*(POWER(1+H6,F6)-1)/(POWER(1+H6,D6)-1),3))</f>
        <v>0.84899999999999998</v>
      </c>
      <c r="H6" s="691">
        <v>0.05</v>
      </c>
      <c r="I6" s="691">
        <v>5.5E-2</v>
      </c>
      <c r="J6" s="63">
        <v>7.0000000000000007E-2</v>
      </c>
      <c r="K6" s="970">
        <f>SUMIF('数据-汇总表'!C$19:C$33,A6,'数据-汇总表'!E$19:E$33)</f>
        <v>2833.72</v>
      </c>
      <c r="L6" s="692">
        <v>2500</v>
      </c>
      <c r="M6" s="64">
        <f t="shared" ref="M6:M14" si="0">ROUND(K6*L6/10000,0)</f>
        <v>708</v>
      </c>
      <c r="N6" s="690">
        <f>N18</f>
        <v>0.72</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v>1.2</v>
      </c>
      <c r="V6" s="67">
        <v>1.4999999999999999E-2</v>
      </c>
      <c r="W6" s="67">
        <v>0.1</v>
      </c>
      <c r="X6" s="979"/>
      <c r="Y6" s="68">
        <f>N6</f>
        <v>0.72</v>
      </c>
      <c r="Z6" s="69"/>
      <c r="AA6" s="63"/>
      <c r="AB6" s="63"/>
      <c r="AC6" s="979"/>
      <c r="AD6" s="70"/>
      <c r="AE6" s="980">
        <f ca="1">IF(AN6="",0,SUMIF(INDIRECT("'"&amp;AN6&amp;"'"&amp;"!E:E"),$AE$5,INDIRECT("'"&amp;AN6&amp;"'"&amp;"!F:F")))</f>
        <v>30.57</v>
      </c>
      <c r="AF6" s="74"/>
      <c r="AG6" s="130">
        <f>IF(AF6="",0,AE6-AF6)</f>
        <v>0</v>
      </c>
      <c r="AH6" s="71"/>
      <c r="AI6" s="73">
        <v>365</v>
      </c>
      <c r="AJ6" s="74"/>
      <c r="AK6" s="75">
        <v>0.01</v>
      </c>
      <c r="AL6" s="76">
        <v>1E-3</v>
      </c>
      <c r="AM6" s="77">
        <v>0.01</v>
      </c>
      <c r="AN6" s="1589" t="s">
        <v>3459</v>
      </c>
      <c r="AO6" s="50">
        <f ca="1">SUMIF(INDIRECT("'"&amp;AN6&amp;"'"&amp;"!A:A"),"总价",INDIRECT("'"&amp;AN6&amp;"'"&amp;"!B:B"))</f>
        <v>1449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0.84899999999999998</v>
      </c>
      <c r="H16" s="84">
        <f>ROUND(SUMPRODUCT(H6:H13,K6:K13)/SUMPRODUCT((H6:H13&gt;0)*(K6:K13)),3)</f>
        <v>0.05</v>
      </c>
      <c r="I16" s="85"/>
      <c r="J16" s="85"/>
      <c r="K16" s="86">
        <f>SUM(K6:K15)</f>
        <v>2833.72</v>
      </c>
      <c r="L16" s="87">
        <f>ROUND(M16*10000/SUM(K6:K14),0)</f>
        <v>2498</v>
      </c>
      <c r="M16" s="87">
        <f>SUM(M6:M14)</f>
        <v>708</v>
      </c>
      <c r="N16" s="88">
        <f>ROUND(SUMPRODUCT(M6:M14,N6:N14)/M16,3)</f>
        <v>0.72</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3509" t="s">
        <v>3474</v>
      </c>
      <c r="N17" s="3510">
        <f>Q17+B21</f>
        <v>2008</v>
      </c>
      <c r="O17" s="3509" t="s">
        <v>3477</v>
      </c>
      <c r="P17" s="3509" t="s">
        <v>3476</v>
      </c>
      <c r="Q17" s="2446">
        <v>2006</v>
      </c>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509" t="s">
        <v>3475</v>
      </c>
      <c r="N18" s="2446">
        <f>ROUND(1-(1-0)*(2025-N17)/60,2)</f>
        <v>0.72</v>
      </c>
      <c r="O18" s="3509" t="s">
        <v>3478</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f ca="1">成本法!C10</f>
        <v>57</v>
      </c>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53" t="s">
        <v>2286</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2833.72</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45951</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1541</v>
      </c>
      <c r="C5" s="2298">
        <f ca="1">IF(B5=D14,结果表!H102,ROUND(B5*10000/$B$1,0))</f>
        <v>5438</v>
      </c>
      <c r="D5" s="2298" t="e">
        <f ca="1">ROUND(B5*10000/$B$2,0)</f>
        <v>#DIV/0!</v>
      </c>
      <c r="E5" s="2459"/>
      <c r="F5" s="2460"/>
      <c r="G5" s="2460"/>
      <c r="H5" s="2460"/>
      <c r="I5" s="2460"/>
      <c r="J5" s="2460"/>
      <c r="K5" s="2460"/>
    </row>
    <row r="6" spans="1:11" ht="16.5">
      <c r="A6" s="2298" t="s">
        <v>656</v>
      </c>
      <c r="B6" s="2298">
        <f ca="1">SUM(G14:G23)</f>
        <v>1541</v>
      </c>
      <c r="C6" s="2298">
        <f ca="1">IF(B6=G14,结果表!H108,ROUND(B6*10000/$B$1,0))</f>
        <v>5438</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2833.72</v>
      </c>
      <c r="C14" s="2304"/>
      <c r="D14" s="2304">
        <f ca="1">结果表!H118</f>
        <v>1541</v>
      </c>
      <c r="E14" s="2304">
        <f ca="1">结果表!I118</f>
        <v>5438</v>
      </c>
      <c r="F14" s="2304" t="e">
        <f ca="1">ROUND(D14*10000/C14,0)</f>
        <v>#DIV/0!</v>
      </c>
      <c r="G14" s="2304">
        <f ca="1">D14</f>
        <v>1541</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F34" sqref="F3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v>
      </c>
      <c r="D1" s="646"/>
      <c r="E1" s="646"/>
      <c r="F1" s="1621" t="s">
        <v>1263</v>
      </c>
      <c r="G1" s="1453" t="s">
        <v>3441</v>
      </c>
      <c r="H1" s="1621" t="str">
        <f>IF(G1="现房","——","估价对象范围")</f>
        <v>——</v>
      </c>
      <c r="I1" s="1622"/>
    </row>
    <row r="2" spans="1:12" ht="21.75" customHeight="1" thickBot="1">
      <c r="A2" s="3289" t="str">
        <f>项目基本情况!S2</f>
        <v>北京市大兴区西红门镇京开路1号院1号1幢1层全部等[14]套房地产</v>
      </c>
      <c r="B2" s="3290"/>
      <c r="C2" s="3290"/>
      <c r="D2" s="3290"/>
      <c r="E2" s="3290"/>
      <c r="F2" s="3290"/>
      <c r="G2" s="3290"/>
      <c r="H2" s="3290"/>
      <c r="I2" s="3291"/>
    </row>
    <row r="3" spans="1:12" ht="13">
      <c r="A3" s="3293" t="s">
        <v>1264</v>
      </c>
      <c r="B3" s="3294"/>
      <c r="C3" s="3294"/>
      <c r="D3" s="3294"/>
      <c r="E3" s="3294"/>
      <c r="F3" s="3294"/>
      <c r="G3" s="3294"/>
      <c r="H3" s="3294"/>
      <c r="I3" s="3294"/>
    </row>
    <row r="4" spans="1:12" ht="14">
      <c r="A4" s="1624" t="s">
        <v>1265</v>
      </c>
      <c r="B4" s="1625" t="s">
        <v>1266</v>
      </c>
      <c r="C4" s="1626" t="s">
        <v>3483</v>
      </c>
      <c r="D4" s="1626" t="s">
        <v>3459</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69" t="s">
        <v>1268</v>
      </c>
      <c r="B5" s="3256">
        <v>25</v>
      </c>
      <c r="C5" s="3272"/>
      <c r="D5" s="3292"/>
      <c r="E5" s="123" t="s">
        <v>1269</v>
      </c>
      <c r="F5" s="1627"/>
      <c r="G5" s="1627"/>
      <c r="H5" s="1627"/>
      <c r="I5" s="1281"/>
    </row>
    <row r="6" spans="1:12" ht="13">
      <c r="A6" s="3269"/>
      <c r="B6" s="3256"/>
      <c r="C6" s="3273"/>
      <c r="D6" s="3292"/>
      <c r="E6" s="123" t="s">
        <v>1270</v>
      </c>
      <c r="F6" s="1627"/>
      <c r="G6" s="1627"/>
      <c r="H6" s="1627"/>
      <c r="I6" s="1281"/>
    </row>
    <row r="7" spans="1:12" ht="13">
      <c r="A7" s="3269"/>
      <c r="B7" s="3256"/>
      <c r="C7" s="3274"/>
      <c r="D7" s="3292"/>
      <c r="E7" s="123" t="s">
        <v>1271</v>
      </c>
      <c r="F7" s="1627"/>
      <c r="G7" s="1627"/>
      <c r="H7" s="1627"/>
      <c r="I7" s="1281"/>
    </row>
    <row r="8" spans="1:12" ht="13">
      <c r="A8" s="3269" t="s">
        <v>1272</v>
      </c>
      <c r="B8" s="3256">
        <v>15</v>
      </c>
      <c r="C8" s="3272"/>
      <c r="D8" s="3292"/>
      <c r="E8" s="123" t="s">
        <v>1273</v>
      </c>
      <c r="F8" s="1627"/>
      <c r="G8" s="1627"/>
      <c r="H8" s="1627"/>
      <c r="I8" s="1281"/>
    </row>
    <row r="9" spans="1:12" ht="13">
      <c r="A9" s="3269"/>
      <c r="B9" s="3256"/>
      <c r="C9" s="3274"/>
      <c r="D9" s="3292"/>
      <c r="E9" s="123" t="s">
        <v>1274</v>
      </c>
      <c r="F9" s="1627"/>
      <c r="G9" s="1627"/>
      <c r="H9" s="1627"/>
      <c r="I9" s="1281"/>
    </row>
    <row r="10" spans="1:12" ht="13">
      <c r="A10" s="3269" t="s">
        <v>1275</v>
      </c>
      <c r="B10" s="3256">
        <v>15</v>
      </c>
      <c r="C10" s="3272"/>
      <c r="D10" s="3292"/>
      <c r="E10" s="123" t="s">
        <v>1276</v>
      </c>
      <c r="F10" s="1627"/>
      <c r="G10" s="1627"/>
      <c r="H10" s="1627"/>
      <c r="I10" s="1281"/>
    </row>
    <row r="11" spans="1:12" ht="13">
      <c r="A11" s="3269"/>
      <c r="B11" s="3256"/>
      <c r="C11" s="3274"/>
      <c r="D11" s="3292"/>
      <c r="E11" s="123" t="s">
        <v>1277</v>
      </c>
      <c r="F11" s="1627"/>
      <c r="G11" s="1627"/>
      <c r="H11" s="1627"/>
      <c r="I11" s="1281"/>
    </row>
    <row r="12" spans="1:12" ht="13">
      <c r="A12" s="3269" t="s">
        <v>1278</v>
      </c>
      <c r="B12" s="3256">
        <v>15</v>
      </c>
      <c r="C12" s="3272"/>
      <c r="D12" s="3292"/>
      <c r="E12" s="123" t="s">
        <v>1279</v>
      </c>
      <c r="F12" s="1627"/>
      <c r="G12" s="1627"/>
      <c r="H12" s="1627"/>
      <c r="I12" s="1281"/>
    </row>
    <row r="13" spans="1:12" ht="13">
      <c r="A13" s="3269"/>
      <c r="B13" s="3256"/>
      <c r="C13" s="3274"/>
      <c r="D13" s="3292"/>
      <c r="E13" s="123" t="s">
        <v>1280</v>
      </c>
      <c r="F13" s="1627"/>
      <c r="G13" s="1627"/>
      <c r="H13" s="1627"/>
      <c r="I13" s="1281"/>
    </row>
    <row r="14" spans="1:12" ht="13">
      <c r="A14" s="3269" t="s">
        <v>1281</v>
      </c>
      <c r="B14" s="3256">
        <v>30</v>
      </c>
      <c r="C14" s="3272">
        <v>5</v>
      </c>
      <c r="D14" s="3292">
        <v>5</v>
      </c>
      <c r="E14" s="123" t="s">
        <v>1282</v>
      </c>
      <c r="F14" s="1627"/>
      <c r="G14" s="1627"/>
      <c r="H14" s="1627"/>
      <c r="I14" s="1281"/>
    </row>
    <row r="15" spans="1:12" ht="13">
      <c r="A15" s="3269"/>
      <c r="B15" s="3256"/>
      <c r="C15" s="3273"/>
      <c r="D15" s="3292"/>
      <c r="E15" s="123" t="s">
        <v>1283</v>
      </c>
      <c r="F15" s="1627"/>
      <c r="G15" s="1627"/>
      <c r="H15" s="1627"/>
      <c r="I15" s="1281"/>
    </row>
    <row r="16" spans="1:12" ht="13">
      <c r="A16" s="3269"/>
      <c r="B16" s="3256"/>
      <c r="C16" s="3274"/>
      <c r="D16" s="3292"/>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9" t="s">
        <v>2131</v>
      </c>
      <c r="F18" s="3280"/>
      <c r="G18" s="3280"/>
      <c r="H18" s="3280"/>
      <c r="I18" s="3280"/>
      <c r="K18" s="294" t="s">
        <v>1289</v>
      </c>
      <c r="L18" s="294">
        <f>IF(C1="",'数据-汇总表'!E3,SUMIF(项目类型,C1,'数据-汇总表'!E17:E26)+SUMIF(项目类型,C1,'数据-汇总表'!I17:I26))</f>
        <v>2833.72</v>
      </c>
      <c r="M18" s="294">
        <f>IF(C1="",'数据-汇总表'!E3,SUMIF(项目类型,C1,'数据-汇总表'!E17:E26))</f>
        <v>2833.72</v>
      </c>
    </row>
    <row r="19" spans="1:36" ht="14">
      <c r="A19" s="1630" t="s">
        <v>1290</v>
      </c>
      <c r="B19" s="1631" t="s">
        <v>1291</v>
      </c>
      <c r="C19" s="126">
        <f ca="1">SUMIF(INDIRECT("'"&amp;C4&amp;"'"&amp;"!A:A"),结果表!B19,INDIRECT("'"&amp;C4&amp;"'"&amp;"!B:B"))</f>
        <v>1633</v>
      </c>
      <c r="D19" s="127">
        <f ca="1">SUMIF(INDIRECT("'"&amp;D4&amp;"'"&amp;"!A:A"),结果表!B19,INDIRECT("'"&amp;D4&amp;"'"&amp;"!B:B"))</f>
        <v>1449</v>
      </c>
      <c r="E19" s="1630" t="s">
        <v>1292</v>
      </c>
      <c r="F19" s="1631" t="s">
        <v>1291</v>
      </c>
      <c r="G19" s="128">
        <f ca="1">ROUND(C19*$C$18+D19*$D$18,0)</f>
        <v>1541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5763</v>
      </c>
      <c r="D20" s="130">
        <f ca="1">SUMIF(INDIRECT("'"&amp;D4&amp;"'"&amp;"!A:A"),结果表!B20,INDIRECT("'"&amp;D4&amp;"'"&amp;"!B:B"))</f>
        <v>5113</v>
      </c>
      <c r="E20" s="1633"/>
      <c r="F20" s="43" t="s">
        <v>1295</v>
      </c>
      <c r="G20" s="131">
        <f ca="1">ROUND(C20*$C$18+D20*$D$18,0)</f>
        <v>5438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0.12698412698412698</v>
      </c>
      <c r="E22" s="121"/>
      <c r="F22" s="121"/>
      <c r="G22" s="121"/>
      <c r="H22" s="121"/>
      <c r="I22" s="121"/>
    </row>
    <row r="23" spans="1:36" ht="13" thickBot="1">
      <c r="A23" s="646"/>
      <c r="B23" s="646"/>
      <c r="C23" s="646"/>
      <c r="D23" s="646"/>
      <c r="E23" s="121"/>
      <c r="F23" s="121"/>
      <c r="G23" s="121"/>
      <c r="H23" s="121"/>
      <c r="I23" s="121"/>
    </row>
    <row r="24" spans="1:36" ht="14">
      <c r="A24" s="3263" t="s">
        <v>1299</v>
      </c>
      <c r="B24" s="1631" t="s">
        <v>1291</v>
      </c>
      <c r="C24" s="128">
        <f>IF(B30=0,0,D30)</f>
        <v>0</v>
      </c>
      <c r="D24" s="1637"/>
      <c r="E24" s="121"/>
      <c r="F24" s="121"/>
      <c r="G24" s="121"/>
      <c r="H24" s="121"/>
      <c r="I24" s="121"/>
    </row>
    <row r="25" spans="1:36" ht="1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5438</v>
      </c>
      <c r="D32" s="1641" t="s">
        <v>3484</v>
      </c>
      <c r="E32" s="121"/>
      <c r="F32" s="121"/>
      <c r="G32" s="121"/>
      <c r="H32" s="121"/>
      <c r="I32" s="121"/>
    </row>
    <row r="33" spans="1:15" ht="14">
      <c r="A33" s="740" t="s">
        <v>1306</v>
      </c>
      <c r="B33" s="123"/>
      <c r="C33" s="1642" t="s">
        <v>3485</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3" t="s">
        <v>1312</v>
      </c>
      <c r="B36" s="1652" t="s">
        <v>1313</v>
      </c>
      <c r="C36" s="137"/>
      <c r="D36" s="1653"/>
      <c r="E36" s="1567"/>
      <c r="F36" s="1654"/>
      <c r="G36" s="121"/>
      <c r="H36" s="121"/>
      <c r="I36" s="121"/>
    </row>
    <row r="37" spans="1:15" ht="14.5" thickBot="1">
      <c r="A37" s="3284"/>
      <c r="B37" s="1555" t="s">
        <v>1314</v>
      </c>
      <c r="C37" s="139"/>
      <c r="D37" s="1071"/>
      <c r="E37" s="1071"/>
      <c r="F37" s="1654"/>
      <c r="G37" s="121"/>
      <c r="H37" s="121"/>
      <c r="I37" s="121"/>
    </row>
    <row r="38" spans="1:15" ht="14.5" thickBot="1">
      <c r="A38" s="328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1541</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8">
        <v>1</v>
      </c>
      <c r="K46" s="3319" t="s">
        <v>1331</v>
      </c>
      <c r="L46" s="3319"/>
      <c r="M46" s="3339"/>
      <c r="N46" s="3339"/>
      <c r="O46" s="3339"/>
    </row>
    <row r="47" spans="1:15" ht="12" customHeight="1">
      <c r="A47" s="152" t="s">
        <v>1332</v>
      </c>
      <c r="B47" s="153"/>
      <c r="C47" s="154"/>
      <c r="D47" s="1024" t="s">
        <v>1333</v>
      </c>
      <c r="E47" s="294" t="s">
        <v>1334</v>
      </c>
      <c r="F47" s="155" t="s">
        <v>1335</v>
      </c>
      <c r="G47" s="2331" t="s">
        <v>1336</v>
      </c>
      <c r="H47" s="2332"/>
      <c r="I47" s="151"/>
      <c r="J47" s="2308">
        <v>2</v>
      </c>
      <c r="K47" s="3319" t="s">
        <v>1337</v>
      </c>
      <c r="L47" s="3319"/>
      <c r="M47" s="3340">
        <f>'数据-取费表'!B2</f>
        <v>45951</v>
      </c>
      <c r="N47" s="3340"/>
      <c r="O47" s="3340"/>
    </row>
    <row r="48" spans="1:15" ht="26">
      <c r="A48" s="3288" t="s">
        <v>1338</v>
      </c>
      <c r="B48" s="3271"/>
      <c r="C48" s="3271"/>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19" t="s">
        <v>1340</v>
      </c>
      <c r="L48" s="3319"/>
      <c r="M48" s="3341">
        <f ca="1">H101</f>
        <v>1541</v>
      </c>
      <c r="N48" s="3341"/>
      <c r="O48" s="3341"/>
    </row>
    <row r="49" spans="1:35" ht="25.5" customHeight="1">
      <c r="A49" s="2151" t="s">
        <v>1341</v>
      </c>
      <c r="B49" s="3255" t="s">
        <v>1342</v>
      </c>
      <c r="C49" s="3255"/>
      <c r="D49" s="1478">
        <v>0</v>
      </c>
      <c r="E49" s="316" t="s">
        <v>1343</v>
      </c>
      <c r="F49" s="2231" t="s">
        <v>28</v>
      </c>
      <c r="G49" s="3325"/>
      <c r="H49" s="2133" t="s">
        <v>2134</v>
      </c>
      <c r="I49" s="2134"/>
      <c r="J49" s="2308">
        <v>4</v>
      </c>
      <c r="K49" s="3319" t="str">
        <f>IF(项目基本情况!E8="房地产抵押价值","房地产抵押价值","抵押担保权已注销时的房地产抵押价值")</f>
        <v>房地产抵押价值</v>
      </c>
      <c r="L49" s="3319"/>
      <c r="M49" s="3341">
        <f ca="1">IF(项目基本情况!E8="房地产抵押价值",H107,H109)</f>
        <v>1541</v>
      </c>
      <c r="N49" s="3341"/>
      <c r="O49" s="3341"/>
    </row>
    <row r="50" spans="1:35" ht="25.5" customHeight="1">
      <c r="A50" s="2336"/>
      <c r="B50" s="3255" t="s">
        <v>1344</v>
      </c>
      <c r="C50" s="3255"/>
      <c r="D50" s="2188"/>
      <c r="E50" s="323"/>
      <c r="F50" s="2231"/>
      <c r="G50" s="3326"/>
      <c r="H50" s="2135" t="s">
        <v>2135</v>
      </c>
      <c r="I50" s="2134"/>
      <c r="J50" s="3338" t="s">
        <v>1345</v>
      </c>
      <c r="K50" s="3338"/>
      <c r="L50" s="3338"/>
      <c r="M50" s="3338"/>
      <c r="N50" s="3338"/>
      <c r="O50" s="3338"/>
    </row>
    <row r="51" spans="1:35" ht="20.5" customHeight="1">
      <c r="A51" s="2337"/>
      <c r="B51" s="3255" t="s">
        <v>1346</v>
      </c>
      <c r="C51" s="3255"/>
      <c r="D51" s="1024"/>
      <c r="E51" s="319"/>
      <c r="F51" s="2231"/>
      <c r="G51" s="3327"/>
      <c r="H51" s="2135" t="s">
        <v>2136</v>
      </c>
      <c r="I51" s="2134"/>
      <c r="J51" s="2309" t="s">
        <v>1347</v>
      </c>
      <c r="K51" s="3319" t="s">
        <v>1348</v>
      </c>
      <c r="L51" s="3319"/>
      <c r="M51" s="2309" t="s">
        <v>1349</v>
      </c>
      <c r="N51" s="2309" t="s">
        <v>1350</v>
      </c>
      <c r="O51" s="2309" t="s">
        <v>1351</v>
      </c>
    </row>
    <row r="52" spans="1:35" ht="24" customHeight="1">
      <c r="A52" s="2152" t="s">
        <v>1352</v>
      </c>
      <c r="B52" s="3255" t="s">
        <v>1353</v>
      </c>
      <c r="C52" s="3255"/>
      <c r="D52" s="1024">
        <f ca="1">ROUND(D45*'数据-取费表'!B41/(1+'数据-取费表'!C42),0)</f>
        <v>81</v>
      </c>
      <c r="E52" s="1256" t="s">
        <v>1354</v>
      </c>
      <c r="F52" s="2338">
        <f>'数据-取费表'!B41</f>
        <v>5.5000000000000007E-2</v>
      </c>
      <c r="G52" s="2339"/>
      <c r="H52" s="2329"/>
      <c r="I52" s="1669"/>
      <c r="J52" s="2308">
        <v>1</v>
      </c>
      <c r="K52" s="3320" t="s">
        <v>1355</v>
      </c>
      <c r="L52" s="3320"/>
      <c r="M52" s="2310" t="b">
        <f>D48</f>
        <v>0</v>
      </c>
      <c r="N52" s="2308" t="str">
        <f>E48</f>
        <v>销售额×税（费）率</v>
      </c>
      <c r="O52" s="2311">
        <f>F48</f>
        <v>5.5000000000000007E-2</v>
      </c>
    </row>
    <row r="53" spans="1:35" ht="12" customHeight="1">
      <c r="A53" s="2152" t="s">
        <v>1356</v>
      </c>
      <c r="B53" s="3281" t="s">
        <v>2291</v>
      </c>
      <c r="C53" s="3282"/>
      <c r="D53" s="1024">
        <f ca="1">ROUND(D45*'数据-取费表'!B41/(1+'数据-取费表'!C42),0)</f>
        <v>81</v>
      </c>
      <c r="E53" s="1256" t="s">
        <v>1354</v>
      </c>
      <c r="F53" s="2338">
        <f>'数据-取费表'!B41</f>
        <v>5.5000000000000007E-2</v>
      </c>
      <c r="G53" s="2339"/>
      <c r="H53" s="2329"/>
      <c r="I53" s="1669"/>
      <c r="J53" s="2308">
        <v>2</v>
      </c>
      <c r="K53" s="3320" t="s">
        <v>1357</v>
      </c>
      <c r="L53" s="3320"/>
      <c r="M53" s="2310">
        <f t="shared" ref="M53:O54" ca="1" si="0">D55</f>
        <v>1</v>
      </c>
      <c r="N53" s="2308" t="str">
        <f t="shared" si="0"/>
        <v>销售额×税（费）率</v>
      </c>
      <c r="O53" s="2311" t="str">
        <f t="shared" si="0"/>
        <v>免征</v>
      </c>
    </row>
    <row r="54" spans="1:35" ht="12" customHeight="1">
      <c r="A54" s="2152" t="s">
        <v>1358</v>
      </c>
      <c r="B54" s="3281" t="s">
        <v>2292</v>
      </c>
      <c r="C54" s="3282"/>
      <c r="D54" s="1024">
        <f ca="1">C68</f>
        <v>81</v>
      </c>
      <c r="E54" s="319" t="s">
        <v>1359</v>
      </c>
      <c r="F54" s="2338">
        <f>'数据-取费表'!B41</f>
        <v>5.5000000000000007E-2</v>
      </c>
      <c r="G54" s="2339"/>
      <c r="H54" s="2340"/>
      <c r="I54" s="1669"/>
      <c r="J54" s="2308">
        <v>3</v>
      </c>
      <c r="K54" s="3320" t="s">
        <v>1360</v>
      </c>
      <c r="L54" s="3320"/>
      <c r="M54" s="2310">
        <f t="shared" ca="1" si="0"/>
        <v>874</v>
      </c>
      <c r="N54" s="2308" t="str">
        <f t="shared" si="0"/>
        <v>增值额×税（费）率</v>
      </c>
      <c r="O54" s="2312" t="str">
        <f t="shared" si="0"/>
        <v>免征</v>
      </c>
    </row>
    <row r="55" spans="1:35" ht="24" customHeight="1">
      <c r="A55" s="3270" t="s">
        <v>1361</v>
      </c>
      <c r="B55" s="3271"/>
      <c r="C55" s="3271"/>
      <c r="D55" s="12">
        <f ca="1">IF(H55="个人住宅",0,ROUND(D45*I55,0))</f>
        <v>1</v>
      </c>
      <c r="E55" s="1256" t="s">
        <v>1362</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f ca="1">D59</f>
        <v>15</v>
      </c>
      <c r="N55" s="1883" t="str">
        <f>E59</f>
        <v>差额计税</v>
      </c>
      <c r="O55" s="2314">
        <f>F59</f>
        <v>0.01</v>
      </c>
    </row>
    <row r="56" spans="1:35" ht="26">
      <c r="A56" s="3270" t="s">
        <v>1363</v>
      </c>
      <c r="B56" s="3271"/>
      <c r="C56" s="3271"/>
      <c r="D56" s="12">
        <f ca="1">IF(H56="个人住宅",D57,D58)</f>
        <v>874</v>
      </c>
      <c r="E56" s="1256" t="s">
        <v>1364</v>
      </c>
      <c r="F56" s="2338" t="str">
        <f>IF(H56="正常",F58,"免征")</f>
        <v>免征</v>
      </c>
      <c r="G56" s="2341" t="s">
        <v>1365</v>
      </c>
      <c r="H56" s="2342"/>
      <c r="I56" s="1670"/>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3">
      <c r="A57" s="2152" t="s">
        <v>1341</v>
      </c>
      <c r="B57" s="3281" t="s">
        <v>1366</v>
      </c>
      <c r="C57" s="3282"/>
      <c r="D57" s="1478">
        <v>0</v>
      </c>
      <c r="E57" s="316" t="s">
        <v>1343</v>
      </c>
      <c r="F57" s="294"/>
      <c r="G57" s="2339"/>
      <c r="H57" s="2343"/>
      <c r="I57" s="1670"/>
      <c r="J57" s="3320">
        <f>IF(AND(J55="",J56=""),4,IF(项目基本情况!K6="上海银行",结果表!J56+1,结果表!J55+1))</f>
        <v>5</v>
      </c>
      <c r="K57" s="3320" t="s">
        <v>1367</v>
      </c>
      <c r="L57" s="2315" t="s">
        <v>1368</v>
      </c>
      <c r="M57" s="2316"/>
      <c r="N57" s="2317">
        <f ca="1">SUMIF(M52:M56,"&lt;9e307")</f>
        <v>890</v>
      </c>
      <c r="O57" s="2318"/>
      <c r="P57" s="2462">
        <f ca="1">N57/M49</f>
        <v>0.57754704737183649</v>
      </c>
    </row>
    <row r="58" spans="1:35" ht="26">
      <c r="A58" s="2152" t="s">
        <v>1352</v>
      </c>
      <c r="B58" s="3281" t="s">
        <v>1369</v>
      </c>
      <c r="C58" s="3255"/>
      <c r="D58" s="12">
        <f ca="1">IF(H58="转让取得",C81,C97)</f>
        <v>874</v>
      </c>
      <c r="E58" s="1256" t="s">
        <v>1364</v>
      </c>
      <c r="F58" s="294" t="s">
        <v>28</v>
      </c>
      <c r="G58" s="2339"/>
      <c r="H58" s="2342"/>
      <c r="I58" s="1670"/>
      <c r="J58" s="3320"/>
      <c r="K58" s="3320"/>
      <c r="L58" s="2315" t="s">
        <v>1370</v>
      </c>
      <c r="M58" s="2319"/>
      <c r="N58" s="2320" t="str">
        <f ca="1">NUMBERSTRING(INT(N57*10000),2)&amp;"元整"</f>
        <v>捌佰玖拾万元整</v>
      </c>
      <c r="O58" s="2321"/>
    </row>
    <row r="59" spans="1:35" ht="26.5" thickBot="1">
      <c r="A59" s="3323" t="s">
        <v>1371</v>
      </c>
      <c r="B59" s="3324"/>
      <c r="C59" s="3324"/>
      <c r="D59" s="2344">
        <f ca="1">IF(H59="非个人房产","——",IF(H59="个人住宅（满五唯一有凭证）",0,IF(H59="个人其他（无凭证）",ROUND(D45/(1+'数据-取费表'!C42)*F59,0),ROUND(C67*F59,0))))</f>
        <v>15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1">
        <f>J57+1</f>
        <v>6</v>
      </c>
      <c r="K59" s="3320" t="s">
        <v>1372</v>
      </c>
      <c r="L59" s="2308" t="s">
        <v>1368</v>
      </c>
      <c r="M59" s="2322"/>
      <c r="N59" s="2323">
        <f ca="1">M49-N57</f>
        <v>651</v>
      </c>
      <c r="O59" s="2324"/>
    </row>
    <row r="60" spans="1:35" ht="12" customHeight="1">
      <c r="A60" s="1671"/>
      <c r="B60" s="646"/>
      <c r="C60" s="646"/>
      <c r="D60" s="646"/>
      <c r="E60" s="1466"/>
      <c r="F60" s="1670"/>
      <c r="G60" s="1670"/>
      <c r="H60" s="151"/>
      <c r="I60" s="121"/>
      <c r="J60" s="3322"/>
      <c r="K60" s="3320"/>
      <c r="L60" s="2315" t="s">
        <v>1370</v>
      </c>
      <c r="M60" s="2319"/>
      <c r="N60" s="2320" t="str">
        <f ca="1">NUMBERSTRING(INT(N59*10000),2)&amp;"元整"</f>
        <v>陆佰伍拾壹万元整</v>
      </c>
      <c r="O60" s="2321"/>
    </row>
    <row r="61" spans="1:35" ht="13.5" thickBot="1">
      <c r="A61" s="3268" t="s">
        <v>1373</v>
      </c>
      <c r="B61" s="3268"/>
      <c r="C61" s="3268"/>
      <c r="D61" s="3268"/>
      <c r="E61" s="3268"/>
      <c r="F61" s="1670"/>
      <c r="G61" s="1670"/>
      <c r="H61" s="151"/>
      <c r="I61" s="121"/>
      <c r="J61" s="2308">
        <f>J59+1</f>
        <v>7</v>
      </c>
      <c r="K61" s="3320" t="s">
        <v>1374</v>
      </c>
      <c r="L61" s="3320"/>
      <c r="M61" s="2325"/>
      <c r="N61" s="2326">
        <f ca="1">ROUND(N59*10000/'数据-汇总表'!E3,0)</f>
        <v>2297</v>
      </c>
      <c r="O61" s="2327"/>
    </row>
    <row r="62" spans="1:35" ht="13">
      <c r="A62" s="3286" t="s">
        <v>1375</v>
      </c>
      <c r="B62" s="3287"/>
      <c r="C62" s="1865"/>
      <c r="D62" s="1865" t="s">
        <v>1376</v>
      </c>
      <c r="E62" s="158" t="s">
        <v>1377</v>
      </c>
      <c r="F62" s="1670"/>
      <c r="G62" s="1670"/>
      <c r="H62" s="151"/>
      <c r="I62" s="121"/>
    </row>
    <row r="63" spans="1:35" ht="13">
      <c r="A63" s="165" t="s">
        <v>330</v>
      </c>
      <c r="B63" s="159" t="s">
        <v>1378</v>
      </c>
      <c r="C63" s="2348">
        <f ca="1">ROUND((C64+C65)/(1+'数据-取费表'!C42),0)</f>
        <v>1468</v>
      </c>
      <c r="D63" s="159"/>
      <c r="E63" s="160"/>
      <c r="F63" s="1670"/>
      <c r="G63" s="1670"/>
      <c r="H63" s="151"/>
      <c r="I63" s="121"/>
      <c r="J63" s="3345" t="s">
        <v>1379</v>
      </c>
      <c r="K63" s="1245" t="s">
        <v>1380</v>
      </c>
      <c r="L63" s="1245">
        <f ca="1">IF(M49&gt;10000,M49*0.5%,IF(AND(M49&gt;1000,M49&lt;=10000),M49*1%,IF(AND(M49&gt;100,M49&lt;=1000),M49*3%,IF(AND(M49&gt;10,M49&lt;=100),M49*5%,M49*8%))))</f>
        <v>15.41</v>
      </c>
      <c r="M63" s="294">
        <f ca="1">ROUND(L63,1)</f>
        <v>15.4</v>
      </c>
      <c r="N63" s="2328"/>
      <c r="Z63" s="1623"/>
      <c r="AI63" s="1561"/>
    </row>
    <row r="64" spans="1:35" ht="14.25" customHeight="1">
      <c r="A64" s="161" t="s">
        <v>325</v>
      </c>
      <c r="B64" s="162" t="s">
        <v>1381</v>
      </c>
      <c r="C64" s="2349">
        <f ca="1">D45</f>
        <v>1541</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9.2460000000000004</v>
      </c>
      <c r="M64" s="294">
        <f t="shared" ref="M64:M65" ca="1" si="1">ROUND(L64,1)</f>
        <v>9.1999999999999993</v>
      </c>
      <c r="N64" s="2329" t="s">
        <v>1383</v>
      </c>
      <c r="Z64" s="1623"/>
      <c r="AI64" s="1561"/>
    </row>
    <row r="65" spans="1:35" ht="14.25" customHeight="1">
      <c r="A65" s="161" t="s">
        <v>326</v>
      </c>
      <c r="B65" s="162" t="s">
        <v>1384</v>
      </c>
      <c r="C65" s="2350"/>
      <c r="D65" s="162"/>
      <c r="E65" s="164"/>
      <c r="F65" s="1670"/>
      <c r="G65" s="1670"/>
      <c r="H65" s="151"/>
      <c r="I65" s="121"/>
      <c r="J65" s="3345"/>
      <c r="K65" s="1245" t="s">
        <v>1385</v>
      </c>
      <c r="L65" s="1245">
        <f ca="1">IF(M49&gt;1000,M49*0.1%,IF(AND(M49&gt;500,M49&lt;=1000),M49*0.5%,IF(AND(M49&gt;50,M49&lt;=500),M49*1%,IF(AND(M49&gt;1,M49&lt;=50),M49*1.5%))))</f>
        <v>1.5409999999999999</v>
      </c>
      <c r="M65" s="294">
        <f t="shared" ca="1" si="1"/>
        <v>1.5</v>
      </c>
      <c r="N65" s="2329" t="s">
        <v>1383</v>
      </c>
      <c r="Z65" s="1623"/>
      <c r="AI65" s="1561"/>
    </row>
    <row r="66" spans="1:35" ht="14.25" customHeight="1">
      <c r="A66" s="165" t="s">
        <v>327</v>
      </c>
      <c r="B66" s="166" t="s">
        <v>1386</v>
      </c>
      <c r="C66" s="2351"/>
      <c r="D66" s="166" t="s">
        <v>26</v>
      </c>
      <c r="E66" s="1251" t="s">
        <v>671</v>
      </c>
      <c r="F66" s="1670"/>
      <c r="G66" s="1670"/>
      <c r="H66" s="151"/>
      <c r="I66" s="121"/>
      <c r="J66" s="3345"/>
      <c r="K66" s="1245" t="s">
        <v>1387</v>
      </c>
      <c r="L66" s="1245">
        <f ca="1">M49*0.5%</f>
        <v>7.7050000000000001</v>
      </c>
      <c r="M66" s="294">
        <f ca="1">IF(L66&gt;0.5,0.5,ROUND(L66,0))</f>
        <v>0.5</v>
      </c>
      <c r="N66" s="2329" t="s">
        <v>1388</v>
      </c>
      <c r="Z66" s="1623"/>
      <c r="AI66" s="1561"/>
    </row>
    <row r="67" spans="1:35" ht="14.25" customHeight="1">
      <c r="A67" s="165" t="s">
        <v>328</v>
      </c>
      <c r="B67" s="166" t="s">
        <v>1389</v>
      </c>
      <c r="C67" s="2352">
        <f ca="1">C63-C66</f>
        <v>1468</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3.5615000000000001</v>
      </c>
      <c r="M67" s="294">
        <f ca="1">ROUND(L67*0.9,1)</f>
        <v>3.2</v>
      </c>
      <c r="N67" s="2328"/>
      <c r="Z67" s="1623"/>
      <c r="AI67" s="1561"/>
    </row>
    <row r="68" spans="1:35" ht="14.25" customHeight="1" thickBot="1">
      <c r="A68" s="168" t="s">
        <v>329</v>
      </c>
      <c r="B68" s="169" t="s">
        <v>1391</v>
      </c>
      <c r="C68" s="2353">
        <f ca="1">IF(C67&lt;=0,0,ROUND(C67*D68,0))</f>
        <v>81</v>
      </c>
      <c r="D68" s="2354">
        <f>'数据-取费表'!B41</f>
        <v>5.5000000000000007E-2</v>
      </c>
      <c r="E68" s="170"/>
      <c r="F68" s="1670"/>
      <c r="G68" s="1670"/>
      <c r="H68" s="151"/>
      <c r="I68" s="121"/>
      <c r="J68" s="3345"/>
      <c r="K68" s="1245" t="s">
        <v>1392</v>
      </c>
      <c r="L68" s="1245">
        <f ca="1">IF(M49&gt;10000,M49*0.5%,IF(AND(M49&gt;5000,M49&lt;=10000),M49*1%,IF(AND(M49&gt;1000,M49&lt;=5000),M49*2%,IF(AND(M49&gt;200,M49&lt;=1000),M49*3%,M49*5%))))</f>
        <v>30.82</v>
      </c>
      <c r="M68" s="294">
        <f ca="1">ROUND(L68,1)</f>
        <v>30.8</v>
      </c>
      <c r="N68" s="2328"/>
      <c r="Z68" s="1623"/>
      <c r="AI68" s="1561"/>
    </row>
    <row r="69" spans="1:35" ht="16.5" customHeight="1">
      <c r="A69" s="1672"/>
      <c r="B69" s="1673"/>
      <c r="C69" s="1674"/>
      <c r="D69" s="1675"/>
      <c r="E69" s="1676"/>
      <c r="F69" s="1466"/>
      <c r="G69" s="1466"/>
      <c r="H69" s="1467"/>
      <c r="I69" s="646"/>
      <c r="J69" s="3345"/>
      <c r="K69" s="1245" t="s">
        <v>1393</v>
      </c>
      <c r="L69" s="1245"/>
      <c r="M69" s="294">
        <f ca="1">ROUND(SUM(M63:M68),0)</f>
        <v>61</v>
      </c>
      <c r="N69" s="2330">
        <f ca="1">M69/M49</f>
        <v>3.9584685269305649E-2</v>
      </c>
      <c r="Z69" s="1623"/>
      <c r="AI69" s="1561"/>
    </row>
    <row r="70" spans="1:35" s="642" customFormat="1" ht="14.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1468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7</v>
      </c>
      <c r="D78" s="2361">
        <f>'数据-取费表'!B43</f>
        <v>5.000000000000001E-3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1461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208.71428571428572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874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1468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7</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7"/>
      <c r="G90" s="3347" t="s">
        <v>2129</v>
      </c>
      <c r="H90" s="334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5" t="s">
        <v>1422</v>
      </c>
      <c r="F92" s="3266"/>
      <c r="G92" s="3266"/>
      <c r="H92" s="327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7</v>
      </c>
      <c r="D93" s="2361">
        <f>'数据-取费表'!B43</f>
        <v>5.000000000000001E-3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1461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208.71428571428572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874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成本法</v>
      </c>
      <c r="D101" s="2370" t="str">
        <f>D4</f>
        <v>收益法</v>
      </c>
      <c r="E101" s="3342" t="s">
        <v>1431</v>
      </c>
      <c r="F101" s="3299"/>
      <c r="G101" s="1687" t="s">
        <v>1432</v>
      </c>
      <c r="H101" s="2379">
        <f ca="1">H118</f>
        <v>1541</v>
      </c>
      <c r="I101" s="121"/>
    </row>
    <row r="102" spans="1:35" ht="18.75" customHeight="1">
      <c r="A102" s="3301" t="s">
        <v>1433</v>
      </c>
      <c r="B102" s="2368" t="s">
        <v>1432</v>
      </c>
      <c r="C102" s="2369">
        <f ca="1">IF(D32="楼面单价",ROUND(C19,0),C19)</f>
        <v>1633</v>
      </c>
      <c r="D102" s="2370">
        <f ca="1">IF(D32="楼面单价",ROUND(D19,0),D19)</f>
        <v>1449</v>
      </c>
      <c r="E102" s="3342"/>
      <c r="F102" s="3299"/>
      <c r="G102" s="1687" t="s">
        <v>1434</v>
      </c>
      <c r="H102" s="2339">
        <f ca="1">I118</f>
        <v>5438</v>
      </c>
      <c r="I102" s="121"/>
    </row>
    <row r="103" spans="1:35" ht="42.75" customHeight="1">
      <c r="A103" s="3301"/>
      <c r="B103" s="2368" t="s">
        <v>1434</v>
      </c>
      <c r="C103" s="2371">
        <f ca="1">C20</f>
        <v>5763</v>
      </c>
      <c r="D103" s="2372">
        <f ca="1">D20</f>
        <v>5113</v>
      </c>
      <c r="E103" s="3336" t="s">
        <v>1435</v>
      </c>
      <c r="F103" s="3337"/>
      <c r="G103" s="1688" t="s">
        <v>1436</v>
      </c>
      <c r="H103" s="2379">
        <f>IF(D36="正常操作",H104+H105+H106,H105+H106)</f>
        <v>0</v>
      </c>
      <c r="I103" s="121"/>
    </row>
    <row r="104" spans="1:35" ht="18.75" customHeight="1">
      <c r="A104" s="3301" t="s">
        <v>1437</v>
      </c>
      <c r="B104" s="2373" t="s">
        <v>1432</v>
      </c>
      <c r="C104" s="2374">
        <f ca="1">H118</f>
        <v>1541</v>
      </c>
      <c r="D104" s="2375"/>
      <c r="E104" s="1555" t="s">
        <v>1438</v>
      </c>
      <c r="F104" s="1548"/>
      <c r="G104" s="1688" t="s">
        <v>1436</v>
      </c>
      <c r="H104" s="2380">
        <f>IF(D36="同一抵押权人同一抵押物续贷",C36&amp;"（续贷，未扣减，详见特别提示）",C36)</f>
        <v>0</v>
      </c>
      <c r="I104" s="121"/>
    </row>
    <row r="105" spans="1:35" ht="18.75" customHeight="1" thickBot="1">
      <c r="A105" s="3302"/>
      <c r="B105" s="2376" t="s">
        <v>1434</v>
      </c>
      <c r="C105" s="2377">
        <f ca="1">I118</f>
        <v>5438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8" t="str">
        <f>IF(项目基本情况!E8="已注销","——","3.房地产抵押价值")</f>
        <v>3.房地产抵押价值</v>
      </c>
      <c r="F107" s="3299"/>
      <c r="G107" s="1687" t="s">
        <v>1432</v>
      </c>
      <c r="H107" s="2379">
        <f ca="1">IF(E107="——","——",H101-H103)</f>
        <v>1541</v>
      </c>
      <c r="I107" s="121"/>
    </row>
    <row r="108" spans="1:35" ht="18.75" customHeight="1">
      <c r="A108" s="121"/>
      <c r="B108" s="121"/>
      <c r="C108" s="121"/>
      <c r="D108" s="121"/>
      <c r="E108" s="3298"/>
      <c r="F108" s="3299"/>
      <c r="G108" s="1687" t="s">
        <v>1434</v>
      </c>
      <c r="H108" s="2339">
        <f ca="1">IF(H107=H101,H102,ROUND(H107*10000/'数据-汇总表'!E3,0))</f>
        <v>5438</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298"/>
      <c r="F110" s="3299"/>
      <c r="G110" s="1687"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31"/>
      <c r="F112" s="3332"/>
      <c r="G112" s="1690"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9" t="s">
        <v>1449</v>
      </c>
      <c r="E117" s="2149" t="s">
        <v>1450</v>
      </c>
      <c r="F117" s="2149" t="s">
        <v>1449</v>
      </c>
      <c r="G117" s="2149" t="s">
        <v>1451</v>
      </c>
      <c r="H117" s="2149" t="s">
        <v>1449</v>
      </c>
      <c r="I117" s="2149" t="s">
        <v>1451</v>
      </c>
    </row>
    <row r="118" spans="1:27" ht="24.75" customHeight="1">
      <c r="A118" s="2384" t="str">
        <f>项目基本情况!S2</f>
        <v>北京市大兴区西红门镇京开路1号院1号1幢1层全部等[14]套房地产</v>
      </c>
      <c r="B118" s="2149">
        <f>M18</f>
        <v>2833.72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1541</v>
      </c>
      <c r="I118" s="2149">
        <f ca="1">ROUND(IF(D32="楼面单价",C32,H118*10000/B118),0)</f>
        <v>5438</v>
      </c>
    </row>
    <row r="119" spans="1:27" ht="18.75" customHeight="1">
      <c r="A119" s="3269" t="s">
        <v>1452</v>
      </c>
      <c r="B119" s="3269"/>
      <c r="C119" s="3269"/>
      <c r="D119" s="3309" t="str">
        <f>NUMBERSTRING(INT(D118*10000),2)&amp;"元整"</f>
        <v>零元整</v>
      </c>
      <c r="E119" s="3311"/>
      <c r="F119" s="3309" t="str">
        <f>NUMBERSTRING(INT(F118*10000),2)&amp;"元整"</f>
        <v>零元整</v>
      </c>
      <c r="G119" s="3311"/>
      <c r="H119" s="3309" t="str">
        <f ca="1">NUMBERSTRING(INT(H118*10000),2)&amp;"元整"</f>
        <v>壹仟伍佰肆拾壹万元整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1541</v>
      </c>
      <c r="E122" s="3334"/>
      <c r="F122" s="3334"/>
      <c r="G122" s="3334"/>
      <c r="H122" s="3334"/>
      <c r="I122" s="3335"/>
      <c r="AA122" s="684"/>
    </row>
    <row r="123" spans="1:27" ht="18.75" customHeight="1">
      <c r="A123" s="3269" t="s">
        <v>1452</v>
      </c>
      <c r="B123" s="3269"/>
      <c r="C123" s="3269"/>
      <c r="D123" s="3309" t="str">
        <f ca="1">NUMBERSTRING(INT(D122*10000),2)&amp;"元整"</f>
        <v>壹仟伍佰肆拾壹万元整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24" sqref="L24"/>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1633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5763</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703</v>
      </c>
      <c r="D5" s="203" t="s">
        <v>1469</v>
      </c>
      <c r="E5" s="204" t="s">
        <v>1470</v>
      </c>
      <c r="F5" s="204" t="s">
        <v>1471</v>
      </c>
      <c r="G5" s="205"/>
    </row>
    <row r="6" spans="1:9" s="206" customFormat="1" ht="13.5" customHeight="1">
      <c r="A6" s="732" t="s">
        <v>1472</v>
      </c>
      <c r="B6" s="207" t="s">
        <v>1473</v>
      </c>
      <c r="C6" s="208">
        <f>基准地价修正!E33</f>
        <v>627</v>
      </c>
      <c r="D6" s="209"/>
      <c r="E6" s="210"/>
      <c r="F6" s="210"/>
      <c r="G6" s="211"/>
    </row>
    <row r="7" spans="1:9" s="206" customFormat="1" ht="13.5" customHeight="1">
      <c r="A7" s="732" t="s">
        <v>1474</v>
      </c>
      <c r="B7" s="207" t="s">
        <v>1475</v>
      </c>
      <c r="C7" s="212">
        <f>ROUND(C6*F7,0)</f>
        <v>19</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57</v>
      </c>
      <c r="D8" s="214"/>
      <c r="E8" s="212"/>
      <c r="F8" s="213"/>
      <c r="G8" s="1714" t="s">
        <v>3471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3473</v>
      </c>
      <c r="H9" s="1070"/>
      <c r="I9" s="1716" t="s">
        <v>1479</v>
      </c>
    </row>
    <row r="10" spans="1:9" s="206" customFormat="1" ht="13.5" customHeight="1">
      <c r="A10" s="733" t="s">
        <v>356</v>
      </c>
      <c r="B10" s="216" t="s">
        <v>1480</v>
      </c>
      <c r="C10" s="217">
        <f ca="1">ROUND(D10*E10/10000,0)</f>
        <v>57</v>
      </c>
      <c r="D10" s="795">
        <f ca="1">IF(B1="",'数据-汇总表'!E6,IF(INDIRECT("'数据-取费表'!c"&amp;$G$1)="住宅",INDIRECT("'数据-取费表'!s"&amp;$G$1),INDIRECT("'数据-取费表'!k"&amp;$G$1)+INDIRECT("'数据-取费表'!s"&amp;$G$1)))</f>
        <v>2833.72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2833.72</v>
      </c>
      <c r="E19" s="203">
        <f>'数据-取费表'!B31</f>
        <v>200</v>
      </c>
      <c r="F19" s="223"/>
      <c r="G19" s="1714" t="s">
        <v>3472</v>
      </c>
    </row>
    <row r="20" spans="1:7" s="206" customFormat="1" ht="13.5" customHeight="1">
      <c r="A20" s="247" t="s">
        <v>1493</v>
      </c>
      <c r="B20" s="202" t="s">
        <v>1494</v>
      </c>
      <c r="C20" s="224">
        <f ca="1">ROUND((C5+C19)*F20,0)</f>
        <v>14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45</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72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72</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902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814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708</v>
      </c>
      <c r="D34" s="209"/>
      <c r="E34" s="212"/>
      <c r="F34" s="249">
        <f ca="1">IF('数据-取费表'!B24=0,1,IF(B1="",'数据-取费表'!N16,INDIRECT("'数据-取费表'!n"&amp;$G$1)))</f>
        <v>1</v>
      </c>
      <c r="G34" s="211" t="s">
        <v>1526</v>
      </c>
    </row>
    <row r="35" spans="1:7" ht="13.5" customHeight="1">
      <c r="A35" s="734" t="s">
        <v>351</v>
      </c>
      <c r="B35" s="207" t="s">
        <v>1527</v>
      </c>
      <c r="C35" s="212">
        <f ca="1">ROUND(C34*F35,0)</f>
        <v>35</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57</v>
      </c>
      <c r="D37" s="209">
        <f ca="1">D19</f>
        <v>2833.72</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25</v>
      </c>
      <c r="D42" s="230"/>
      <c r="E42" s="230"/>
      <c r="F42" s="231"/>
      <c r="G42" s="3349" t="s">
        <v>1544</v>
      </c>
    </row>
    <row r="43" spans="1:7" ht="13.5" customHeight="1">
      <c r="A43" s="734" t="s">
        <v>347</v>
      </c>
      <c r="B43" s="207" t="s">
        <v>1545</v>
      </c>
      <c r="C43" s="230">
        <f ca="1">ROUND(IF('数据-取费表'!B22&lt;=1,C39*F22*'数据-取费表'!B21/2,C39*(POWER((1+F22),'数据-取费表'!B21/2)-1)),0)</f>
        <v>1</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83</v>
      </c>
      <c r="D45" s="227">
        <f ca="1">C47</f>
        <v>2E-3</v>
      </c>
      <c r="E45" s="228" t="s">
        <v>1539</v>
      </c>
      <c r="F45" s="238">
        <f ca="1">F27</f>
        <v>0.1</v>
      </c>
      <c r="G45" s="239" t="s">
        <v>1548</v>
      </c>
    </row>
    <row r="46" spans="1:7" s="206" customFormat="1" ht="13.5" customHeight="1">
      <c r="A46" s="734" t="s">
        <v>346</v>
      </c>
      <c r="B46" s="240" t="s">
        <v>1549</v>
      </c>
      <c r="C46" s="241">
        <f ca="1">ROUND((C33+C39)*F27,0)</f>
        <v>83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1015</v>
      </c>
      <c r="D49" s="224"/>
      <c r="E49" s="224"/>
      <c r="F49" s="256"/>
      <c r="G49" s="226" t="s">
        <v>1554</v>
      </c>
    </row>
    <row r="50" spans="1:7" s="250" customFormat="1" ht="26">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731</v>
      </c>
      <c r="D51" s="224"/>
      <c r="E51" s="224"/>
      <c r="F51" s="256"/>
      <c r="G51" s="226" t="s">
        <v>1560</v>
      </c>
    </row>
    <row r="52" spans="1:7" s="200" customFormat="1" ht="16.5" thickBot="1">
      <c r="A52" s="257" t="s">
        <v>1561</v>
      </c>
      <c r="B52" s="258"/>
      <c r="C52" s="259">
        <f ca="1">C31+C51</f>
        <v>1633</v>
      </c>
      <c r="D52" s="258"/>
      <c r="E52" s="258"/>
      <c r="F52" s="258"/>
      <c r="G52" s="260"/>
    </row>
    <row r="55" spans="1:7" ht="15.5">
      <c r="B55" s="262" t="s">
        <v>1562</v>
      </c>
      <c r="C55" s="263"/>
    </row>
    <row r="56" spans="1:7" ht="13">
      <c r="B56" s="265" t="s">
        <v>802</v>
      </c>
      <c r="C56" s="267">
        <f ca="1">1-C57</f>
        <v>0.55200000000000005</v>
      </c>
    </row>
    <row r="57" spans="1:7" ht="13">
      <c r="B57" s="265" t="s">
        <v>803</v>
      </c>
      <c r="C57" s="266">
        <f ca="1">ROUND(C51/C52,3)</f>
        <v>0.44800000000000001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北京市大兴区西红门镇京开路1号院1号1幢1层全部等[14]套房地产抵押价值预评估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877.10810000000004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3095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566744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566744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566744</v>
      </c>
      <c r="D10" s="795">
        <f ca="1">IF(B1="",'数据-汇总表'!E6,IF(INDIRECT("'数据-取费表'!c"&amp;$G$1)="住宅",INDIRECT("'数据-取费表'!s"&amp;$G$1),INDIRECT("'数据-取费表'!k"&amp;$G$1)+INDIRECT("'数据-取费表'!s"&amp;$G$1)))</f>
        <v>2833.72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566744</v>
      </c>
      <c r="D19" s="204">
        <f ca="1">D9+D10</f>
        <v>2833.72</v>
      </c>
      <c r="E19" s="203">
        <f>'数据-取费表'!B31</f>
        <v>200</v>
      </c>
      <c r="F19" s="223"/>
      <c r="G19" s="1714"/>
    </row>
    <row r="20" spans="1:7" s="206" customFormat="1" ht="13.5" customHeight="1">
      <c r="A20" s="247" t="s">
        <v>1574</v>
      </c>
      <c r="B20" s="202" t="s">
        <v>1575</v>
      </c>
      <c r="C20" s="224">
        <f ca="1">ROUND((C5+C19)*F20,0)</f>
        <v>22670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72776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36033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36033</v>
      </c>
      <c r="D24" s="230"/>
      <c r="E24" s="230"/>
      <c r="F24" s="231"/>
      <c r="G24" s="232" t="s">
        <v>1586</v>
      </c>
    </row>
    <row r="25" spans="1:7" s="206" customFormat="1" ht="26">
      <c r="A25" s="734" t="s">
        <v>1476</v>
      </c>
      <c r="B25" s="207" t="s">
        <v>1587</v>
      </c>
      <c r="C25" s="230">
        <f ca="1">ROUND(IF('数据-取费表'!B22&lt;=1,C20*F22*'数据-取费表'!B22/2,C20*(POWER((1+F22),'数据-取费表'!B22/2)-1)),0)</f>
        <v>710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115616</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115616</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1453568</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8146945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7084300</v>
      </c>
      <c r="D34" s="209"/>
      <c r="E34" s="212"/>
      <c r="F34" s="249"/>
      <c r="G34" s="211"/>
    </row>
    <row r="35" spans="1:7" ht="13.5" customHeight="1">
      <c r="A35" s="734" t="s">
        <v>351</v>
      </c>
      <c r="B35" s="207" t="s">
        <v>1527</v>
      </c>
      <c r="C35" s="212">
        <f ca="1">ROUND(C34*F35,0)</f>
        <v>354215</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566744</v>
      </c>
      <c r="D37" s="209">
        <f ca="1">D19</f>
        <v>2833.72</v>
      </c>
      <c r="E37" s="241">
        <f>'数据-取费表'!B35</f>
        <v>200</v>
      </c>
      <c r="F37" s="251"/>
      <c r="G37" s="253"/>
    </row>
    <row r="38" spans="1:7" ht="13.5" customHeight="1">
      <c r="A38" s="734" t="s">
        <v>354</v>
      </c>
      <c r="B38" s="207" t="s">
        <v>1533</v>
      </c>
      <c r="C38" s="212">
        <f ca="1">ROUND(C34*F38,0)</f>
        <v>141686</v>
      </c>
      <c r="D38" s="212"/>
      <c r="E38" s="212"/>
      <c r="F38" s="251">
        <f>'数据-取费表'!B36</f>
        <v>0.02</v>
      </c>
      <c r="G38" s="211" t="s">
        <v>1528</v>
      </c>
    </row>
    <row r="39" spans="1:7" s="206" customFormat="1" ht="13.5" customHeight="1">
      <c r="A39" s="247" t="s">
        <v>1534</v>
      </c>
      <c r="B39" s="202" t="s">
        <v>1535</v>
      </c>
      <c r="C39" s="224">
        <f ca="1">ROUND(C33*F20,0)</f>
        <v>162939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260099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254999</v>
      </c>
      <c r="D42" s="230"/>
      <c r="E42" s="230"/>
      <c r="F42" s="231"/>
      <c r="G42" s="3349" t="s">
        <v>1591</v>
      </c>
    </row>
    <row r="43" spans="1:7" ht="13.5" customHeight="1">
      <c r="A43" s="734" t="s">
        <v>347</v>
      </c>
      <c r="B43" s="207" t="s">
        <v>1545</v>
      </c>
      <c r="C43" s="230">
        <f ca="1">ROUND(IF('数据-取费表'!B22&lt;=1,C39*F22*'数据-取费表'!B20/2,C39*(POWER((1+F22),'数据-取费表'!B20/2)-1)),0)</f>
        <v>5100</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830988</v>
      </c>
      <c r="D45" s="227">
        <f ca="1">C47</f>
        <v>2E-3</v>
      </c>
      <c r="E45" s="228" t="s">
        <v>1539</v>
      </c>
      <c r="F45" s="238">
        <f ca="1">F27</f>
        <v>0.1</v>
      </c>
      <c r="G45" s="239" t="s">
        <v>1548</v>
      </c>
    </row>
    <row r="46" spans="1:7" s="206" customFormat="1" ht="13.5" customHeight="1">
      <c r="A46" s="734" t="s">
        <v>346</v>
      </c>
      <c r="B46" s="240" t="s">
        <v>1549</v>
      </c>
      <c r="C46" s="241">
        <f ca="1">ROUND((C33+C39)*F27,0)</f>
        <v>830988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10163212</v>
      </c>
      <c r="D49" s="224"/>
      <c r="E49" s="224"/>
      <c r="F49" s="256"/>
      <c r="G49" s="226" t="s">
        <v>1554</v>
      </c>
    </row>
    <row r="50" spans="1:7" s="250" customFormat="1" ht="13.5">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7317513</v>
      </c>
      <c r="D51" s="224"/>
      <c r="E51" s="224"/>
      <c r="F51" s="256"/>
      <c r="G51" s="226" t="s">
        <v>1560</v>
      </c>
    </row>
    <row r="52" spans="1:7" s="200" customFormat="1" ht="16.5" thickBot="1">
      <c r="A52" s="257" t="s">
        <v>1561</v>
      </c>
      <c r="B52" s="258"/>
      <c r="C52" s="259">
        <f ca="1">C31+C51</f>
        <v>8771081</v>
      </c>
      <c r="D52" s="258"/>
      <c r="E52" s="258"/>
      <c r="F52" s="258"/>
      <c r="G52" s="260"/>
    </row>
    <row r="55" spans="1:7" ht="15.5">
      <c r="B55" s="262" t="s">
        <v>1562</v>
      </c>
      <c r="C55" s="263"/>
    </row>
    <row r="56" spans="1:7" ht="13">
      <c r="B56" s="265" t="s">
        <v>802</v>
      </c>
      <c r="C56" s="267">
        <f ca="1">1-C57</f>
        <v>0.16600000000000004</v>
      </c>
    </row>
    <row r="57" spans="1:7" ht="13">
      <c r="B57" s="265" t="s">
        <v>803</v>
      </c>
      <c r="C57" s="266">
        <f ca="1">ROUND(C51/C52,3)</f>
        <v>0.83399999999999996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2833.72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2833.72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57</v>
      </c>
      <c r="D20" s="796">
        <f ca="1">IF(C1="",'数据-汇总表'!E6,IF(INDIRECT("'数据-取费表'!c"&amp;$K$1)="住宅",INDIRECT("'数据-取费表'!s"&amp;$K$1),INDIRECT("'数据-取费表'!k"&amp;$K$1)+INDIRECT("'数据-取费表'!s"&amp;$K$1)))</f>
        <v>2833.72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I43" sqref="I43"/>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v>
      </c>
      <c r="D1" s="1271" t="s">
        <v>43</v>
      </c>
      <c r="E1" s="1272" t="s">
        <v>678</v>
      </c>
      <c r="F1" s="999">
        <f ca="1">J53</f>
        <v>30.57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1449</v>
      </c>
      <c r="C2" s="1289" t="s">
        <v>805</v>
      </c>
      <c r="D2" s="1289"/>
      <c r="E2" s="1295"/>
      <c r="F2" s="1296"/>
      <c r="G2" s="2476"/>
      <c r="H2" s="2466"/>
      <c r="I2" s="2466"/>
      <c r="J2" s="2466"/>
      <c r="K2" s="2467"/>
      <c r="L2" s="2466"/>
      <c r="M2" s="2466"/>
    </row>
    <row r="3" spans="1:37" ht="18" customHeight="1" thickBot="1">
      <c r="A3" s="1297" t="s">
        <v>806</v>
      </c>
      <c r="B3" s="1298">
        <f ca="1">IF(ISERROR(B2*10000/F43),0,ROUND(B2*10000/F43,0))</f>
        <v>5113</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112</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112</v>
      </c>
      <c r="D6" s="147" t="s">
        <v>2109</v>
      </c>
      <c r="E6" s="294" t="s">
        <v>696</v>
      </c>
      <c r="F6" s="295">
        <f ca="1">INDIRECT("'数据-取费表'!u"&amp;$G$1)</f>
        <v>1.2</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2833.72</v>
      </c>
      <c r="G7" s="1292"/>
      <c r="H7" s="296"/>
      <c r="I7" s="3355"/>
      <c r="J7" s="298"/>
      <c r="K7" s="299"/>
      <c r="L7" s="294" t="s">
        <v>697</v>
      </c>
      <c r="M7" s="295">
        <f ca="1">F7</f>
        <v>2833.72</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3479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731</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708</v>
      </c>
      <c r="D14" s="1257" t="s">
        <v>708</v>
      </c>
      <c r="E14" s="1255"/>
      <c r="F14" s="311"/>
      <c r="G14" s="1292"/>
      <c r="H14" s="928" t="s">
        <v>398</v>
      </c>
      <c r="I14" s="294" t="s">
        <v>709</v>
      </c>
      <c r="J14" s="21">
        <f ca="1">C29</f>
        <v>1015</v>
      </c>
      <c r="K14" s="12"/>
      <c r="L14" s="759"/>
      <c r="M14" s="760"/>
    </row>
    <row r="15" spans="1:37" s="1304" customFormat="1" ht="18" customHeight="1" thickBot="1">
      <c r="A15" s="928" t="s">
        <v>399</v>
      </c>
      <c r="B15" s="294" t="s">
        <v>710</v>
      </c>
      <c r="C15" s="21">
        <f ca="1">ROUND(C14*F15,0)</f>
        <v>35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10</v>
      </c>
      <c r="K16" s="1024" t="s">
        <v>715</v>
      </c>
      <c r="L16" s="1025"/>
      <c r="M16" s="1009"/>
    </row>
    <row r="17" spans="1:37" s="1304" customFormat="1" ht="18" customHeight="1">
      <c r="A17" s="928" t="s">
        <v>681</v>
      </c>
      <c r="B17" s="294" t="s">
        <v>716</v>
      </c>
      <c r="C17" s="21">
        <f ca="1">ROUND(F17*(F43+INDIRECT("'数据-取费表'!S"&amp;$G$1))/10000,0)</f>
        <v>57</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814</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16</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10.15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-10</v>
      </c>
      <c r="K25" s="1032" t="s">
        <v>753</v>
      </c>
      <c r="L25" s="1033"/>
      <c r="M25" s="1034"/>
    </row>
    <row r="26" spans="1:37" ht="13">
      <c r="A26" s="928" t="s">
        <v>397</v>
      </c>
      <c r="B26" s="294" t="s">
        <v>754</v>
      </c>
      <c r="C26" s="21">
        <f ca="1">ROUND((C19+C20)*F26,0)</f>
        <v>83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1015</v>
      </c>
      <c r="D29" s="1029"/>
      <c r="E29" s="1027"/>
      <c r="F29" s="1030"/>
      <c r="G29" s="1303"/>
      <c r="H29" s="325" t="s">
        <v>396</v>
      </c>
      <c r="I29" s="326" t="s">
        <v>768</v>
      </c>
      <c r="J29" s="327">
        <f ca="1">ROUND(J26/(1+F40)^F41,0)</f>
        <v>0</v>
      </c>
      <c r="K29" s="328" t="s">
        <v>769</v>
      </c>
      <c r="L29" s="329"/>
      <c r="M29" s="330">
        <f ca="1">INDIRECT("'数据-取费表'!k"&amp;$G$1)</f>
        <v>2833.72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18.670000000000002</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5.87</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12.8</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10.15</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0.73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1.1200000000000001</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81</v>
      </c>
      <c r="D39" s="1032" t="s">
        <v>773</v>
      </c>
      <c r="E39" s="1033"/>
      <c r="F39" s="1034"/>
      <c r="G39" s="1292"/>
      <c r="H39" s="2471"/>
      <c r="I39" s="1305"/>
      <c r="J39" s="1306"/>
      <c r="K39" s="2469"/>
      <c r="L39" s="2471"/>
      <c r="M39" s="2471"/>
    </row>
    <row r="40" spans="1:18" ht="18" customHeight="1">
      <c r="A40" s="291" t="s">
        <v>395</v>
      </c>
      <c r="B40" s="292" t="s">
        <v>774</v>
      </c>
      <c r="C40" s="293">
        <f ca="1">ROUND(C39*(1-((1+F42)/(1+F40))^F41)/(F40-F42),0)</f>
        <v>1404</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30.57</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ROUND(C40*10000/F43,0)</f>
        <v>4955</v>
      </c>
      <c r="D43" s="328" t="s">
        <v>777</v>
      </c>
      <c r="E43" s="329" t="s">
        <v>778</v>
      </c>
      <c r="F43" s="330">
        <f ca="1">INDIRECT("'数据-取费表'!k"&amp;$G$1)</f>
        <v>2833.72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f ca="1">C68-C40</f>
        <v>-1565</v>
      </c>
      <c r="D46" s="1313" t="str">
        <f>C2</f>
        <v>万元</v>
      </c>
      <c r="E46" s="1307"/>
      <c r="F46" s="1307"/>
      <c r="I46" s="1314" t="s">
        <v>810</v>
      </c>
      <c r="J46" s="1315"/>
      <c r="K46" s="1316"/>
      <c r="L46" s="1317">
        <f ca="1">IF(M47="住宅",0,IF(L48&gt;J51,L60,J60))</f>
        <v>45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3480</v>
      </c>
      <c r="K47" s="1323" t="s">
        <v>816</v>
      </c>
      <c r="L47" s="1324">
        <f ca="1">INDIRECT("'数据-取费表'!d"&amp;$G$1)</f>
        <v>50</v>
      </c>
      <c r="M47" s="1288" t="str">
        <f>IF(ISNUMBER(FIND("住宅",C1)),"住宅","非住宅")</f>
        <v>非住宅</v>
      </c>
      <c r="O47" s="1325" t="s">
        <v>403</v>
      </c>
      <c r="P47" s="1326" t="s">
        <v>817</v>
      </c>
      <c r="Q47" s="1327">
        <f ca="1">C40+J29</f>
        <v>1404</v>
      </c>
      <c r="R47" s="1327" t="s">
        <v>818</v>
      </c>
    </row>
    <row r="48" spans="1:18" s="1292" customFormat="1" ht="43.5" thickBot="1">
      <c r="A48" s="1047" t="s">
        <v>438</v>
      </c>
      <c r="B48" s="292" t="s">
        <v>692</v>
      </c>
      <c r="C48" s="1268">
        <f ca="1">C49+C53+C55</f>
        <v>0</v>
      </c>
      <c r="D48" s="1049"/>
      <c r="E48" s="1050"/>
      <c r="F48" s="908"/>
      <c r="G48" s="681"/>
      <c r="H48" s="682"/>
      <c r="I48" s="1328" t="s">
        <v>819</v>
      </c>
      <c r="J48" s="1329" t="s">
        <v>3481</v>
      </c>
      <c r="K48" s="1330" t="s">
        <v>820</v>
      </c>
      <c r="L48" s="1331">
        <f ca="1">INDIRECT("'数据-取费表'!f"&amp;$G$1)</f>
        <v>30.57</v>
      </c>
      <c r="O48" s="1325" t="s">
        <v>404</v>
      </c>
      <c r="P48" s="1326" t="s">
        <v>821</v>
      </c>
      <c r="Q48" s="1327">
        <f ca="1">J60</f>
        <v>45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'数据-取费表'!N17</f>
        <v>2008</v>
      </c>
      <c r="K49" s="1330" t="s">
        <v>824</v>
      </c>
      <c r="L49" s="1333"/>
      <c r="O49" s="1334" t="s">
        <v>405</v>
      </c>
      <c r="P49" s="1326" t="s">
        <v>825</v>
      </c>
      <c r="Q49" s="1327">
        <f ca="1">C29</f>
        <v>1015</v>
      </c>
      <c r="R49" s="1327" t="s">
        <v>818</v>
      </c>
    </row>
    <row r="50" spans="1:18" s="1292" customFormat="1" ht="13.5" thickBot="1">
      <c r="A50" s="922"/>
      <c r="B50" s="925"/>
      <c r="C50" s="1055"/>
      <c r="D50" s="899"/>
      <c r="E50" s="993" t="s">
        <v>697</v>
      </c>
      <c r="F50" s="994">
        <f ca="1">F7</f>
        <v>2833.72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523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30.57</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30.57</v>
      </c>
      <c r="K53" s="3352" t="s">
        <v>837</v>
      </c>
      <c r="L53" s="3353"/>
      <c r="O53" s="1325" t="s">
        <v>409</v>
      </c>
      <c r="P53" s="1326" t="s">
        <v>838</v>
      </c>
      <c r="Q53" s="1327">
        <f ca="1">Q47+Q48</f>
        <v>1449</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0.20699999999999999</v>
      </c>
      <c r="K55" s="1350" t="s">
        <v>841</v>
      </c>
      <c r="L55" s="1351"/>
      <c r="O55" s="1318" t="s">
        <v>811</v>
      </c>
      <c r="P55" s="1319" t="s">
        <v>812</v>
      </c>
      <c r="Q55" s="1320" t="s">
        <v>813</v>
      </c>
      <c r="R55" s="1320" t="s">
        <v>814</v>
      </c>
    </row>
    <row r="56" spans="1:18" s="1292" customFormat="1" ht="40" thickTop="1" thickBot="1">
      <c r="A56" s="903">
        <v>2</v>
      </c>
      <c r="B56" s="904" t="s">
        <v>704</v>
      </c>
      <c r="C56" s="224">
        <f ca="1">C13</f>
        <v>731</v>
      </c>
      <c r="D56" s="1352"/>
      <c r="E56" s="1353"/>
      <c r="F56" s="1345"/>
      <c r="I56" s="1354" t="s">
        <v>842</v>
      </c>
      <c r="J56" s="1355" t="s">
        <v>3482</v>
      </c>
      <c r="K56" s="1328" t="s">
        <v>843</v>
      </c>
      <c r="L56" s="1331" t="str">
        <f ca="1">IF(L48&lt;J51,"——",L48-J53)</f>
        <v>——</v>
      </c>
      <c r="O56" s="1325" t="s">
        <v>403</v>
      </c>
      <c r="P56" s="1326" t="s">
        <v>817</v>
      </c>
      <c r="Q56" s="1327">
        <f ca="1">C40+J29</f>
        <v>1404</v>
      </c>
      <c r="R56" s="1327" t="s">
        <v>818</v>
      </c>
    </row>
    <row r="57" spans="1:18" s="1292" customFormat="1" ht="26.5" thickBot="1">
      <c r="A57" s="1356"/>
      <c r="B57" s="896" t="s">
        <v>767</v>
      </c>
      <c r="C57" s="230">
        <f ca="1">C29</f>
        <v>1015</v>
      </c>
      <c r="D57" s="1357"/>
      <c r="E57" s="1358"/>
      <c r="F57" s="1359"/>
      <c r="I57" s="1360" t="s">
        <v>844</v>
      </c>
      <c r="J57" s="1361">
        <f ca="1">IF(OR(M47="住宅",J51&lt;L48,J56="是"),"——",J51-L48)</f>
        <v>12.43</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11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406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1404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10.15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0.73</v>
      </c>
      <c r="D65" s="910" t="s">
        <v>743</v>
      </c>
      <c r="E65" s="896" t="s">
        <v>744</v>
      </c>
      <c r="F65" s="321">
        <f t="shared" ca="1" si="0"/>
        <v>1E-3</v>
      </c>
      <c r="I65" s="1367" t="s">
        <v>867</v>
      </c>
      <c r="J65" s="610">
        <v>40</v>
      </c>
      <c r="K65" s="610">
        <v>30</v>
      </c>
      <c r="L65" s="610">
        <v>50</v>
      </c>
      <c r="M65" s="1369">
        <v>0.02</v>
      </c>
      <c r="O65" s="1325" t="s">
        <v>403</v>
      </c>
      <c r="P65" s="1326" t="s">
        <v>868</v>
      </c>
      <c r="Q65" s="1327">
        <f ca="1">C40+J29</f>
        <v>1404</v>
      </c>
      <c r="R65" s="1327" t="s">
        <v>818</v>
      </c>
    </row>
    <row r="66" spans="1:18" s="1292" customFormat="1" ht="16"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-11</v>
      </c>
      <c r="D67" s="909" t="s">
        <v>753</v>
      </c>
      <c r="E67" s="914"/>
      <c r="F67" s="915"/>
      <c r="O67" s="1334" t="s">
        <v>405</v>
      </c>
      <c r="P67" s="1326" t="s">
        <v>850</v>
      </c>
      <c r="Q67" s="1370">
        <f ca="1">L51</f>
        <v>523</v>
      </c>
      <c r="R67" s="1327" t="s">
        <v>870</v>
      </c>
    </row>
    <row r="68" spans="1:18" s="1292" customFormat="1" ht="16" thickBot="1">
      <c r="A68" s="893" t="s">
        <v>395</v>
      </c>
      <c r="B68" s="894" t="s">
        <v>774</v>
      </c>
      <c r="C68" s="293">
        <f ca="1">ROUND(C67*(1-((1+F70)/(1+F68))^F69)/(F68-F70),0)</f>
        <v>-161</v>
      </c>
      <c r="D68" s="911" t="s">
        <v>758</v>
      </c>
      <c r="E68" s="896" t="s">
        <v>759</v>
      </c>
      <c r="F68" s="304">
        <f ca="1">F40</f>
        <v>5.5E-2</v>
      </c>
      <c r="O68" s="1334" t="s">
        <v>406</v>
      </c>
      <c r="P68" s="1371" t="s">
        <v>871</v>
      </c>
      <c r="Q68" s="1327">
        <f ca="1">ROUND(Q69-Q70*Q71,0)</f>
        <v>30</v>
      </c>
      <c r="R68" s="1327" t="s">
        <v>414</v>
      </c>
    </row>
    <row r="69" spans="1:18" s="1292" customFormat="1" ht="13.5" thickBot="1">
      <c r="A69" s="897"/>
      <c r="B69" s="898"/>
      <c r="C69" s="298"/>
      <c r="D69" s="916" t="s">
        <v>762</v>
      </c>
      <c r="E69" s="896" t="s">
        <v>763</v>
      </c>
      <c r="F69" s="324">
        <f ca="1">F41</f>
        <v>30.57</v>
      </c>
      <c r="O69" s="1334" t="s">
        <v>411</v>
      </c>
      <c r="P69" s="1371" t="s">
        <v>872</v>
      </c>
      <c r="Q69" s="1327">
        <f ca="1">C39</f>
        <v>81</v>
      </c>
      <c r="R69" s="1327" t="s">
        <v>818</v>
      </c>
    </row>
    <row r="70" spans="1:18" s="1292" customFormat="1" ht="13.5" thickBot="1">
      <c r="A70" s="900"/>
      <c r="B70" s="901"/>
      <c r="C70" s="302"/>
      <c r="D70" s="912"/>
      <c r="E70" s="896" t="s">
        <v>766</v>
      </c>
      <c r="F70" s="991"/>
      <c r="O70" s="1334" t="s">
        <v>412</v>
      </c>
      <c r="P70" s="1371" t="s">
        <v>873</v>
      </c>
      <c r="Q70" s="1327">
        <f ca="1">C13</f>
        <v>731</v>
      </c>
      <c r="R70" s="1327" t="s">
        <v>818</v>
      </c>
    </row>
    <row r="71" spans="1:18" s="1292" customFormat="1" ht="13.5" thickBot="1">
      <c r="A71" s="917" t="s">
        <v>396</v>
      </c>
      <c r="B71" s="918" t="s">
        <v>776</v>
      </c>
      <c r="C71" s="327">
        <f ca="1">ROUND(C68*10000/F71,0)</f>
        <v>-568</v>
      </c>
      <c r="D71" s="919" t="s">
        <v>777</v>
      </c>
      <c r="E71" s="920" t="s">
        <v>778</v>
      </c>
      <c r="F71" s="330">
        <f ca="1">F43</f>
        <v>2833.72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51</v>
      </c>
      <c r="D75" s="1292"/>
      <c r="E75" s="1292"/>
      <c r="F75" s="1292"/>
      <c r="K75" s="1309"/>
      <c r="L75" s="1292"/>
      <c r="O75" s="1325" t="s">
        <v>409</v>
      </c>
      <c r="P75" s="1326" t="s">
        <v>838</v>
      </c>
      <c r="Q75" s="1327">
        <f ca="1">Q65+Q66</f>
        <v>1404</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0.37</v>
      </c>
    </row>
    <row r="80" spans="1:18" ht="13">
      <c r="B80" s="331" t="s">
        <v>800</v>
      </c>
      <c r="C80" s="266">
        <f ca="1">ROUND(C75/C39,3)</f>
        <v>0.63</v>
      </c>
    </row>
    <row r="81" spans="2:3" ht="13.5">
      <c r="B81" s="262" t="s">
        <v>801</v>
      </c>
      <c r="C81" s="230"/>
    </row>
    <row r="82" spans="2:3" ht="13">
      <c r="B82" s="265" t="s">
        <v>802</v>
      </c>
      <c r="C82" s="267">
        <f ca="1">1-C83</f>
        <v>0.47899999999999998</v>
      </c>
    </row>
    <row r="83" spans="2:3" ht="13">
      <c r="B83" s="265" t="s">
        <v>803</v>
      </c>
      <c r="C83" s="266">
        <f ca="1">ROUND(C13/C40,3)</f>
        <v>0.52100000000000002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0</v>
      </c>
      <c r="D6" s="147" t="s">
        <v>2106</v>
      </c>
      <c r="E6" s="294" t="s">
        <v>696</v>
      </c>
      <c r="F6" s="295">
        <f ca="1">INDIRECT("'数据-取费表'!u"&amp;$G$1)</f>
        <v>0</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#DIV/0!</v>
      </c>
      <c r="D45" s="3128"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3357</v>
      </c>
      <c r="E2" s="3137"/>
      <c r="F2" s="2595"/>
      <c r="G2" s="2596"/>
      <c r="H2" s="2597"/>
      <c r="I2" s="2598"/>
      <c r="J2" s="3363" t="s">
        <v>2317</v>
      </c>
      <c r="K2" s="3364"/>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365" t="s">
        <v>2327</v>
      </c>
      <c r="K3" s="3366"/>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365" t="s">
        <v>2329</v>
      </c>
      <c r="K4" s="3366"/>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371" t="s">
        <v>2333</v>
      </c>
      <c r="B6" s="3372"/>
      <c r="C6" s="3373"/>
      <c r="D6" s="2619"/>
      <c r="E6" s="2620"/>
      <c r="F6" s="2621"/>
      <c r="G6" s="2622"/>
      <c r="H6" s="2597"/>
      <c r="I6" s="2598"/>
      <c r="J6" s="3357">
        <v>1</v>
      </c>
      <c r="K6" s="335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357"/>
      <c r="K7" s="3359"/>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374" t="s">
        <v>2347</v>
      </c>
      <c r="C8" s="3375"/>
      <c r="D8" s="2638" t="s">
        <v>2348</v>
      </c>
      <c r="E8" s="2639" t="s">
        <v>2349</v>
      </c>
      <c r="F8" s="2640" t="s">
        <v>2350</v>
      </c>
      <c r="G8" s="2641"/>
      <c r="H8" s="2597"/>
      <c r="I8" s="2598"/>
      <c r="J8" s="3357"/>
      <c r="K8" s="3359"/>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374" t="s">
        <v>2353</v>
      </c>
      <c r="C9" s="3375"/>
      <c r="D9" s="2638">
        <f>ROUND(D6*E9,0)</f>
        <v>0</v>
      </c>
      <c r="E9" s="2642"/>
      <c r="F9" s="2643" t="s">
        <v>2354</v>
      </c>
      <c r="G9" s="2622"/>
      <c r="H9" s="2597"/>
      <c r="I9" s="2598"/>
      <c r="J9" s="3357"/>
      <c r="K9" s="3359"/>
      <c r="L9" s="2632" t="s">
        <v>2355</v>
      </c>
      <c r="M9" s="2633"/>
      <c r="N9" s="2609"/>
      <c r="O9" s="2634"/>
      <c r="P9" s="2634"/>
      <c r="Q9" s="2635">
        <v>365</v>
      </c>
      <c r="R9" s="2636">
        <f t="shared" si="0"/>
        <v>0</v>
      </c>
      <c r="S9" s="2590"/>
      <c r="T9" s="2590"/>
      <c r="U9" s="2590"/>
      <c r="V9" s="2598"/>
    </row>
    <row r="10" spans="1:22" s="2602" customFormat="1" ht="13.15" customHeight="1">
      <c r="A10" s="2637">
        <v>2</v>
      </c>
      <c r="B10" s="3374" t="s">
        <v>2356</v>
      </c>
      <c r="C10" s="3375"/>
      <c r="D10" s="2638">
        <f>ROUND(D6*E10,0)</f>
        <v>0</v>
      </c>
      <c r="E10" s="2642"/>
      <c r="F10" s="2643" t="s">
        <v>2357</v>
      </c>
      <c r="G10" s="2622"/>
      <c r="H10" s="2597"/>
      <c r="I10" s="2598"/>
      <c r="J10" s="3357"/>
      <c r="K10" s="3359"/>
      <c r="L10" s="2632" t="s">
        <v>2358</v>
      </c>
      <c r="M10" s="2633"/>
      <c r="N10" s="2609"/>
      <c r="O10" s="2634"/>
      <c r="P10" s="2634"/>
      <c r="Q10" s="2635">
        <v>365</v>
      </c>
      <c r="R10" s="2636">
        <f t="shared" si="0"/>
        <v>0</v>
      </c>
      <c r="S10" s="2590"/>
      <c r="T10" s="2590"/>
      <c r="U10" s="2590"/>
      <c r="V10" s="2598"/>
    </row>
    <row r="11" spans="1:22" s="2602" customFormat="1" ht="13.15" customHeight="1">
      <c r="A11" s="2637">
        <v>3</v>
      </c>
      <c r="B11" s="3374" t="s">
        <v>2359</v>
      </c>
      <c r="C11" s="3375"/>
      <c r="D11" s="2638">
        <f>D12+D14+D15+D16</f>
        <v>0</v>
      </c>
      <c r="E11" s="2644" t="e">
        <f>D11/D6</f>
        <v>#DIV/0!</v>
      </c>
      <c r="F11" s="2640"/>
      <c r="G11" s="2641"/>
      <c r="H11" s="2597"/>
      <c r="I11" s="2598"/>
      <c r="J11" s="3357"/>
      <c r="K11" s="3359"/>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367" t="s">
        <v>2362</v>
      </c>
      <c r="C12" s="3368"/>
      <c r="D12" s="2646">
        <f>ROUND(D13*1.2%*(1-30%),0)</f>
        <v>0</v>
      </c>
      <c r="E12" s="2647">
        <v>1.2E-2</v>
      </c>
      <c r="F12" s="2640" t="s">
        <v>2363</v>
      </c>
      <c r="G12" s="2641"/>
      <c r="H12" s="2597"/>
      <c r="I12" s="2598"/>
      <c r="J12" s="3357"/>
      <c r="K12" s="3359"/>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357"/>
      <c r="K13" s="3359"/>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367" t="s">
        <v>2368</v>
      </c>
      <c r="C14" s="3368"/>
      <c r="D14" s="2646">
        <f>ROUND(E14*B5/10000,0)</f>
        <v>0</v>
      </c>
      <c r="E14" s="2635"/>
      <c r="F14" s="2640" t="s">
        <v>2369</v>
      </c>
      <c r="G14" s="2641"/>
      <c r="H14" s="2597"/>
      <c r="I14" s="2598"/>
      <c r="J14" s="3357"/>
      <c r="K14" s="336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367" t="s">
        <v>2372</v>
      </c>
      <c r="C15" s="3368"/>
      <c r="D15" s="2646">
        <f>ROUND(D6*E15,0)</f>
        <v>0</v>
      </c>
      <c r="E15" s="2647">
        <v>5.5E-2</v>
      </c>
      <c r="F15" s="2640" t="s">
        <v>2373</v>
      </c>
      <c r="G15" s="2622"/>
      <c r="H15" s="2597"/>
      <c r="I15" s="2598"/>
      <c r="J15" s="3357">
        <v>2</v>
      </c>
      <c r="K15" s="335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367" t="s">
        <v>2381</v>
      </c>
      <c r="C16" s="3368"/>
      <c r="D16" s="2657">
        <f>D6*E16</f>
        <v>0</v>
      </c>
      <c r="E16" s="2658"/>
      <c r="F16" s="2643" t="s">
        <v>2382</v>
      </c>
      <c r="G16" s="2622"/>
      <c r="H16" s="2597"/>
      <c r="I16" s="2598"/>
      <c r="J16" s="3357"/>
      <c r="K16" s="3359"/>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369" t="s">
        <v>2384</v>
      </c>
      <c r="C17" s="3370"/>
      <c r="D17" s="2660">
        <f>ROUND(D6*E17,0)</f>
        <v>0</v>
      </c>
      <c r="E17" s="2661"/>
      <c r="F17" s="2662" t="s">
        <v>2385</v>
      </c>
      <c r="G17" s="2622"/>
      <c r="H17" s="2597"/>
      <c r="I17" s="2598"/>
      <c r="J17" s="3357"/>
      <c r="K17" s="3359"/>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357"/>
      <c r="K18" s="3359"/>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357"/>
      <c r="K19" s="336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7">
        <v>3</v>
      </c>
      <c r="K20" s="335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357"/>
      <c r="K21" s="3359"/>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357"/>
      <c r="K22" s="3359"/>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357"/>
      <c r="K23" s="3359"/>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357"/>
      <c r="K24" s="336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36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36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363" t="s">
        <v>2317</v>
      </c>
      <c r="K32" s="3364"/>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365" t="s">
        <v>2327</v>
      </c>
      <c r="K33" s="3366"/>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365" t="s">
        <v>2329</v>
      </c>
      <c r="K34" s="336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357">
        <v>1</v>
      </c>
      <c r="K36" s="3358"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357"/>
      <c r="K37" s="3359"/>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7"/>
      <c r="K38" s="3359"/>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357"/>
      <c r="K39" s="3359"/>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357"/>
      <c r="K40" s="3360"/>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1">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36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1449</v>
      </c>
      <c r="C2" s="1729" t="s">
        <v>1651</v>
      </c>
      <c r="D2" s="1730" t="s">
        <v>1652</v>
      </c>
      <c r="E2" s="2391">
        <f>SUM(E6:E13)</f>
        <v>2833.72</v>
      </c>
      <c r="F2" s="2477"/>
      <c r="G2" s="459"/>
      <c r="H2" s="459"/>
      <c r="I2" s="459"/>
      <c r="J2" s="459"/>
      <c r="K2" s="459"/>
      <c r="L2" s="459"/>
      <c r="M2" s="459"/>
      <c r="N2" s="459"/>
      <c r="O2" s="459"/>
      <c r="P2" s="459"/>
      <c r="Q2" s="459"/>
      <c r="R2" s="459"/>
      <c r="S2" s="459"/>
    </row>
    <row r="3" spans="1:22" ht="15.5">
      <c r="A3" s="1728" t="s">
        <v>686</v>
      </c>
      <c r="B3" s="2385">
        <f ca="1">ROUND(B2*10000/E2,0)</f>
        <v>5113</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76" t="s">
        <v>1654</v>
      </c>
      <c r="C5" s="3377"/>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1449</v>
      </c>
      <c r="C6" s="1729" t="s">
        <v>1651</v>
      </c>
      <c r="D6" s="2477"/>
      <c r="E6" s="2390">
        <f>IF(OR(A6=0,F6="否"),0,'数据-取费表'!K6+'数据-取费表'!S6)</f>
        <v>2833.72</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2833.72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396" t="s">
        <v>1667</v>
      </c>
      <c r="D4" s="3397"/>
      <c r="E4" s="3398" t="s">
        <v>1668</v>
      </c>
      <c r="F4" s="3399"/>
      <c r="G4" s="3396" t="s">
        <v>1669</v>
      </c>
      <c r="H4" s="3397"/>
      <c r="I4" s="3396" t="s">
        <v>1670</v>
      </c>
      <c r="J4" s="3397"/>
      <c r="K4" s="1744" t="s">
        <v>1671</v>
      </c>
      <c r="L4" s="2484"/>
      <c r="M4" s="2485"/>
      <c r="N4" s="2485"/>
      <c r="O4" s="2485"/>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45951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391"/>
      <c r="Q16" s="1263"/>
      <c r="R16" s="667"/>
      <c r="S16" s="668"/>
      <c r="T16" s="667"/>
      <c r="U16" s="668"/>
      <c r="V16" s="667"/>
      <c r="W16" s="668"/>
      <c r="X16" s="1265"/>
      <c r="Y16" s="338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391"/>
      <c r="Q18" s="1263"/>
      <c r="R18" s="667"/>
      <c r="S18" s="668"/>
      <c r="T18" s="667"/>
      <c r="U18" s="668"/>
      <c r="V18" s="667"/>
      <c r="W18" s="668"/>
      <c r="X18" s="1265"/>
      <c r="Y18" s="3384"/>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391"/>
      <c r="Q20" s="1263"/>
      <c r="R20" s="667"/>
      <c r="S20" s="668"/>
      <c r="T20" s="667"/>
      <c r="U20" s="668"/>
      <c r="V20" s="667"/>
      <c r="W20" s="668"/>
      <c r="X20" s="1265"/>
      <c r="Y20" s="3384"/>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391"/>
      <c r="Q22" s="1263"/>
      <c r="R22" s="667"/>
      <c r="S22" s="668"/>
      <c r="T22" s="667"/>
      <c r="U22" s="668"/>
      <c r="V22" s="667"/>
      <c r="W22" s="668"/>
      <c r="X22" s="1265"/>
      <c r="Y22" s="3384"/>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391"/>
      <c r="Q24" s="1263"/>
      <c r="R24" s="667"/>
      <c r="S24" s="668"/>
      <c r="T24" s="667"/>
      <c r="U24" s="668"/>
      <c r="V24" s="667"/>
      <c r="W24" s="668"/>
      <c r="X24" s="1265"/>
      <c r="Y24" s="3384"/>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4.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2833.72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82"/>
      <c r="AC6" s="3395"/>
    </row>
    <row r="7" spans="1:29" s="102" customFormat="1" ht="14.5" thickBot="1">
      <c r="A7" s="352" t="s">
        <v>1679</v>
      </c>
      <c r="B7" s="353"/>
      <c r="C7" s="354">
        <f>'数据-取费表'!B2</f>
        <v>45951</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391"/>
      <c r="Q22" s="1263"/>
      <c r="R22" s="667"/>
      <c r="S22" s="668"/>
      <c r="T22" s="667"/>
      <c r="U22" s="668"/>
      <c r="V22" s="667"/>
      <c r="W22" s="668"/>
      <c r="X22" s="1265"/>
      <c r="Y22" s="3384"/>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6"/>
      <c r="Q36" s="1263" t="str">
        <f t="shared" si="11"/>
        <v>成新度</v>
      </c>
      <c r="R36" s="667" t="s">
        <v>14</v>
      </c>
      <c r="S36" s="668" t="e">
        <f t="shared" si="12"/>
        <v>#N/A</v>
      </c>
      <c r="T36" s="667" t="s">
        <v>14</v>
      </c>
      <c r="U36" s="668" t="e">
        <f t="shared" si="13"/>
        <v>#N/A</v>
      </c>
      <c r="V36" s="667" t="s">
        <v>14</v>
      </c>
      <c r="W36" s="668" t="e">
        <f t="shared" si="14"/>
        <v>#N/A</v>
      </c>
      <c r="X36" s="1265"/>
      <c r="Y36" s="3388"/>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4.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2833.72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4"/>
      <c r="M5" s="2485"/>
      <c r="N5" s="2485"/>
      <c r="O5" s="2485"/>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32"/>
      <c r="Q6" s="3405"/>
      <c r="R6" s="3408"/>
      <c r="S6" s="3409"/>
      <c r="T6" s="3410"/>
      <c r="U6" s="3411"/>
      <c r="V6" s="3382"/>
      <c r="W6" s="3382"/>
      <c r="X6" s="1265"/>
      <c r="Y6" s="3410"/>
      <c r="Z6" s="3411"/>
      <c r="AA6" s="3395"/>
      <c r="AB6" s="3395"/>
      <c r="AC6" s="3428"/>
    </row>
    <row r="7" spans="1:29" s="102" customFormat="1" ht="14.5" thickBot="1">
      <c r="A7" s="352" t="s">
        <v>1679</v>
      </c>
      <c r="B7" s="353"/>
      <c r="C7" s="354">
        <f>'数据-取费表'!B2</f>
        <v>45951</v>
      </c>
      <c r="D7" s="355">
        <v>100</v>
      </c>
      <c r="E7" s="356"/>
      <c r="F7" s="357">
        <f>SUMIF(59:59,YEAR(E7)&amp;"-"&amp;MONTH(E7),60:60)</f>
        <v>0</v>
      </c>
      <c r="G7" s="356"/>
      <c r="H7" s="355">
        <f>SUMIF(59:59,YEAR(G7)&amp;"-"&amp;MONTH(G7),60:60)</f>
        <v>0</v>
      </c>
      <c r="I7" s="356"/>
      <c r="J7" s="355">
        <f>SUMIF(59:59,YEAR(I7)&amp;"-"&amp;MONTH(I7),60:60)</f>
        <v>0</v>
      </c>
      <c r="K7" s="38"/>
      <c r="L7" s="2486"/>
      <c r="M7" s="2438"/>
      <c r="N7" s="2438"/>
      <c r="O7" s="2438"/>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0"/>
      <c r="M22" s="2485"/>
      <c r="N22" s="2485"/>
      <c r="O22" s="2485"/>
      <c r="P22" s="3391"/>
      <c r="Q22" s="1263"/>
      <c r="R22" s="667"/>
      <c r="S22" s="668"/>
      <c r="T22" s="667"/>
      <c r="U22" s="668"/>
      <c r="V22" s="667"/>
      <c r="W22" s="668"/>
      <c r="X22" s="1265"/>
      <c r="Y22" s="3384"/>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0"/>
      <c r="M26" s="2485"/>
      <c r="N26" s="2485"/>
      <c r="O26" s="2485"/>
      <c r="P26" s="3391"/>
      <c r="Q26" s="1263"/>
      <c r="R26" s="667"/>
      <c r="S26" s="668"/>
      <c r="T26" s="667"/>
      <c r="U26" s="668"/>
      <c r="V26" s="667"/>
      <c r="W26" s="668"/>
      <c r="X26" s="1265"/>
      <c r="Y26" s="3384"/>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2"/>
      <c r="M48" s="2485"/>
      <c r="N48" s="2485"/>
      <c r="O48" s="2485"/>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4.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2833.72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45951</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4.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受贵公司委托，我公司对北京市大兴区西红门镇京开路1号院1号1幢1层全部等[14]套房地产抵押价值进行了预评估。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京开路1号院1号1幢1层全部等[14]套房地产，为北京太平洋工贸发展有限公司所有。根据《国有土地使用证》[]，估价对象（分摊）出让国有建设用地使用权面积为0平方米，建筑面积为2833.72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京开路1号院1号1幢1层全部等[14]套房地产,属北京太平洋工贸发展有限公司开发建设的工业项目，该项目尚在开发建设中。根据《国有土地使用证》[]，估价对象（分摊）出让国有建设用地使用权面积为0平方米，规划建筑面积为2833.72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大兴区西红门镇京开路1号院1号1幢1层全部等[14]套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2025年10月21日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45951</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384"/>
      <c r="Q15" s="1263"/>
      <c r="R15" s="667"/>
      <c r="S15" s="668"/>
      <c r="T15" s="667"/>
      <c r="U15" s="668"/>
      <c r="V15" s="667"/>
      <c r="W15" s="668"/>
      <c r="X15" s="1265"/>
      <c r="Y15" s="3384"/>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384"/>
      <c r="Q17" s="1263"/>
      <c r="R17" s="667"/>
      <c r="S17" s="668"/>
      <c r="T17" s="667"/>
      <c r="U17" s="668"/>
      <c r="V17" s="667"/>
      <c r="W17" s="668"/>
      <c r="X17" s="1265"/>
      <c r="Y17" s="3384"/>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384"/>
      <c r="Q19" s="1263"/>
      <c r="R19" s="667"/>
      <c r="S19" s="668"/>
      <c r="T19" s="667"/>
      <c r="U19" s="668"/>
      <c r="V19" s="667"/>
      <c r="W19" s="668"/>
      <c r="X19" s="1265"/>
      <c r="Y19" s="3384"/>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384"/>
      <c r="Q21" s="1263"/>
      <c r="R21" s="667"/>
      <c r="S21" s="668"/>
      <c r="T21" s="667"/>
      <c r="U21" s="668"/>
      <c r="V21" s="667"/>
      <c r="W21" s="668"/>
      <c r="X21" s="1265"/>
      <c r="Y21" s="3384"/>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2"/>
      <c r="M37" s="2485"/>
      <c r="N37" s="2485"/>
      <c r="O37" s="2485"/>
      <c r="P37" s="3381" t="str">
        <f>A37</f>
        <v>成交单价</v>
      </c>
      <c r="Q37" s="3381"/>
      <c r="R37" s="3382">
        <f>E37</f>
        <v>0</v>
      </c>
      <c r="S37" s="3382"/>
      <c r="T37" s="3382">
        <f>G37</f>
        <v>0</v>
      </c>
      <c r="U37" s="3382"/>
      <c r="V37" s="3382">
        <f>I37</f>
        <v>0</v>
      </c>
      <c r="W37" s="3382"/>
      <c r="X37" s="385"/>
      <c r="Y37" s="673"/>
      <c r="Z37" s="385"/>
      <c r="AA37" s="385"/>
      <c r="AB37" s="385"/>
      <c r="AC37" s="385"/>
    </row>
    <row r="38" spans="1:29" ht="14.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45951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384"/>
      <c r="Q15" s="1263"/>
      <c r="R15" s="667"/>
      <c r="S15" s="668"/>
      <c r="T15" s="667"/>
      <c r="U15" s="668"/>
      <c r="V15" s="667"/>
      <c r="W15" s="668"/>
      <c r="X15" s="1265"/>
      <c r="Y15" s="3384"/>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384"/>
      <c r="Q17" s="1263"/>
      <c r="R17" s="667"/>
      <c r="S17" s="668"/>
      <c r="T17" s="667"/>
      <c r="U17" s="668"/>
      <c r="V17" s="667"/>
      <c r="W17" s="668"/>
      <c r="X17" s="1265"/>
      <c r="Y17" s="3384"/>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384"/>
      <c r="Q19" s="1263"/>
      <c r="R19" s="667"/>
      <c r="S19" s="668"/>
      <c r="T19" s="667"/>
      <c r="U19" s="668"/>
      <c r="V19" s="667"/>
      <c r="W19" s="668"/>
      <c r="X19" s="1265"/>
      <c r="Y19" s="3384"/>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384"/>
      <c r="Q21" s="1263"/>
      <c r="R21" s="667"/>
      <c r="S21" s="668"/>
      <c r="T21" s="667"/>
      <c r="U21" s="668"/>
      <c r="V21" s="667"/>
      <c r="W21" s="668"/>
      <c r="X21" s="1265"/>
      <c r="Y21" s="3384"/>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4.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45951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381"/>
      <c r="Q10" s="530" t="str">
        <f t="shared" si="6"/>
        <v>土地使用年限（年）</v>
      </c>
      <c r="R10" s="664" t="s">
        <v>14</v>
      </c>
      <c r="S10" s="665">
        <f t="shared" si="0"/>
        <v>118</v>
      </c>
      <c r="T10" s="664" t="s">
        <v>14</v>
      </c>
      <c r="U10" s="665">
        <f t="shared" si="1"/>
        <v>118</v>
      </c>
      <c r="V10" s="664" t="s">
        <v>14</v>
      </c>
      <c r="W10" s="665">
        <f t="shared" si="2"/>
        <v>118</v>
      </c>
      <c r="X10" s="666"/>
      <c r="Y10" s="3256"/>
      <c r="Z10" s="50" t="str">
        <f t="shared" si="7"/>
        <v>土地使用年限（年）</v>
      </c>
      <c r="AA10" s="50">
        <f t="shared" si="3"/>
        <v>0.84745762711864403</v>
      </c>
      <c r="AB10" s="50">
        <f t="shared" si="4"/>
        <v>0.84745762711864403</v>
      </c>
      <c r="AC10" s="50">
        <f t="shared" si="5"/>
        <v>0.84745762711864403</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384"/>
      <c r="Q20" s="1263"/>
      <c r="R20" s="667"/>
      <c r="S20" s="668"/>
      <c r="T20" s="667"/>
      <c r="U20" s="668"/>
      <c r="V20" s="667"/>
      <c r="W20" s="668"/>
      <c r="X20" s="1265"/>
      <c r="Y20" s="3384"/>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384"/>
      <c r="Q24" s="1263"/>
      <c r="R24" s="667"/>
      <c r="S24" s="668"/>
      <c r="T24" s="667"/>
      <c r="U24" s="668"/>
      <c r="V24" s="667"/>
      <c r="W24" s="668"/>
      <c r="X24" s="1265"/>
      <c r="Y24" s="3384"/>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384"/>
      <c r="Q26" s="1263"/>
      <c r="R26" s="667"/>
      <c r="S26" s="668"/>
      <c r="T26" s="667"/>
      <c r="U26" s="668"/>
      <c r="V26" s="667"/>
      <c r="W26" s="668"/>
      <c r="X26" s="1265"/>
      <c r="Y26" s="3384"/>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384"/>
      <c r="Q28" s="530"/>
      <c r="R28" s="664"/>
      <c r="S28" s="665"/>
      <c r="T28" s="664"/>
      <c r="U28" s="665"/>
      <c r="V28" s="664"/>
      <c r="W28" s="665"/>
      <c r="X28" s="666"/>
      <c r="Y28" s="3384"/>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384"/>
      <c r="Q30" s="530"/>
      <c r="R30" s="664"/>
      <c r="S30" s="665"/>
      <c r="T30" s="664"/>
      <c r="U30" s="665"/>
      <c r="V30" s="664"/>
      <c r="W30" s="665"/>
      <c r="X30" s="666"/>
      <c r="Y30" s="3384"/>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384"/>
      <c r="Q33" s="1263"/>
      <c r="R33" s="667"/>
      <c r="S33" s="668"/>
      <c r="T33" s="667"/>
      <c r="U33" s="668"/>
      <c r="V33" s="667"/>
      <c r="W33" s="668"/>
      <c r="X33" s="1265"/>
      <c r="Y33" s="3384"/>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381" t="str">
        <f>A46</f>
        <v>成交单价</v>
      </c>
      <c r="Q46" s="3381"/>
      <c r="R46" s="3382">
        <f>E46</f>
        <v>0</v>
      </c>
      <c r="S46" s="3382"/>
      <c r="T46" s="3382">
        <f>G46</f>
        <v>0</v>
      </c>
      <c r="U46" s="3382"/>
      <c r="V46" s="3382">
        <f>I46</f>
        <v>0</v>
      </c>
      <c r="W46" s="3382"/>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2833.72</v>
      </c>
      <c r="F56" s="833" t="e">
        <f t="shared" ref="F56:F64" si="15">ROUND(B56*E56/10000,0)</f>
        <v>#DIV/0!</v>
      </c>
      <c r="G56" s="3392"/>
      <c r="H56" s="338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2833.72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45951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381"/>
      <c r="Q10" s="530" t="str">
        <f t="shared" si="6"/>
        <v>土地使用年限（年）</v>
      </c>
      <c r="R10" s="664" t="s">
        <v>14</v>
      </c>
      <c r="S10" s="665">
        <f t="shared" si="0"/>
        <v>118</v>
      </c>
      <c r="T10" s="664" t="s">
        <v>14</v>
      </c>
      <c r="U10" s="665">
        <f t="shared" si="1"/>
        <v>118</v>
      </c>
      <c r="V10" s="664" t="s">
        <v>14</v>
      </c>
      <c r="W10" s="665">
        <f t="shared" si="2"/>
        <v>118</v>
      </c>
      <c r="X10" s="666"/>
      <c r="Y10" s="3256"/>
      <c r="Z10" s="50" t="str">
        <f t="shared" si="7"/>
        <v>土地使用年限（年）</v>
      </c>
      <c r="AA10" s="50">
        <f t="shared" si="3"/>
        <v>0.84745762711864403</v>
      </c>
      <c r="AB10" s="50">
        <f t="shared" si="4"/>
        <v>0.84745762711864403</v>
      </c>
      <c r="AC10" s="50">
        <f t="shared" si="5"/>
        <v>0.84745762711864403</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384"/>
      <c r="Q20" s="1263"/>
      <c r="R20" s="667"/>
      <c r="S20" s="668"/>
      <c r="T20" s="667"/>
      <c r="U20" s="668"/>
      <c r="V20" s="667"/>
      <c r="W20" s="668"/>
      <c r="X20" s="1265"/>
      <c r="Y20" s="3384"/>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384"/>
      <c r="Q24" s="530"/>
      <c r="R24" s="664"/>
      <c r="S24" s="665"/>
      <c r="T24" s="664"/>
      <c r="U24" s="665"/>
      <c r="V24" s="664"/>
      <c r="W24" s="665"/>
      <c r="X24" s="666"/>
      <c r="Y24" s="3384"/>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384"/>
      <c r="Q26" s="530"/>
      <c r="R26" s="664"/>
      <c r="S26" s="665"/>
      <c r="T26" s="664"/>
      <c r="U26" s="665"/>
      <c r="V26" s="664"/>
      <c r="W26" s="665"/>
      <c r="X26" s="666"/>
      <c r="Y26" s="338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384"/>
      <c r="Q29" s="1263"/>
      <c r="R29" s="667"/>
      <c r="S29" s="668"/>
      <c r="T29" s="667"/>
      <c r="U29" s="668"/>
      <c r="V29" s="667"/>
      <c r="W29" s="668"/>
      <c r="X29" s="1265"/>
      <c r="Y29" s="3384"/>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381" t="str">
        <f>A41</f>
        <v>成交单价</v>
      </c>
      <c r="Q41" s="3381"/>
      <c r="R41" s="3382">
        <f>E41</f>
        <v>0</v>
      </c>
      <c r="S41" s="3382"/>
      <c r="T41" s="3382">
        <f>G41</f>
        <v>0</v>
      </c>
      <c r="U41" s="3382"/>
      <c r="V41" s="3382">
        <f>I41</f>
        <v>0</v>
      </c>
      <c r="W41" s="3382"/>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2833.72</v>
      </c>
      <c r="F51" s="611" t="e">
        <f t="shared" ref="F51:F60" si="15">ROUND(B51*E51/10000,0)</f>
        <v>#DIV/0!</v>
      </c>
      <c r="G51" s="3392"/>
      <c r="H51" s="338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627</v>
      </c>
      <c r="C2" s="1984" t="s">
        <v>2074</v>
      </c>
      <c r="D2" s="1984" t="s">
        <v>2075</v>
      </c>
      <c r="E2" s="2396">
        <f ca="1">SUMIF(E6:E13,"&lt;&gt;#ref!",E6:E13)</f>
        <v>2833.72</v>
      </c>
      <c r="F2" s="2542"/>
      <c r="G2" s="2542"/>
      <c r="H2" s="2542"/>
      <c r="I2" s="2542"/>
      <c r="J2" s="2542"/>
      <c r="K2" s="2542"/>
      <c r="L2" s="2542"/>
      <c r="M2" s="2542"/>
      <c r="N2" s="2542"/>
      <c r="O2" s="2542"/>
      <c r="P2" s="2542"/>
    </row>
    <row r="3" spans="1:16" ht="15.5">
      <c r="A3" s="1984" t="s">
        <v>2076</v>
      </c>
      <c r="B3" s="2386">
        <f ca="1">ROUND(B2*10000/E2,0)</f>
        <v>2213</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627</v>
      </c>
      <c r="C6" s="1984" t="s">
        <v>2074</v>
      </c>
      <c r="D6" s="2542"/>
      <c r="E6" s="2396">
        <f ca="1">SUMIF(INDIRECT("'"&amp;A6&amp;"'"&amp;"!C:C"),"建筑面积",INDIRECT("'"&amp;A6&amp;"'"&amp;"!D:D"))</f>
        <v>2833.72</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83" sqref="G83:G90"/>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2833.72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627</v>
      </c>
      <c r="C2" s="1846" t="s">
        <v>1935</v>
      </c>
      <c r="D2" s="162" t="s">
        <v>1936</v>
      </c>
      <c r="E2" s="3118"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Ⅵ-兴1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3321</v>
      </c>
      <c r="U2" s="1130"/>
      <c r="V2" s="306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2213</v>
      </c>
      <c r="C3" s="1846" t="s">
        <v>1941</v>
      </c>
      <c r="D3" s="162" t="s">
        <v>1942</v>
      </c>
      <c r="E3" s="3116" t="s">
        <v>2479</v>
      </c>
      <c r="F3" s="1848" t="s">
        <v>3463</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2618</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2213</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2270</v>
      </c>
      <c r="D5" s="1252">
        <f>ROUND(C6*C17+C20,0)</f>
        <v>2270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1951</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2270</v>
      </c>
      <c r="D6" s="1861"/>
      <c r="E6" s="1862"/>
      <c r="F6" s="1862"/>
      <c r="G6" s="1863"/>
      <c r="H6" s="1863"/>
      <c r="I6" s="1863"/>
      <c r="J6" s="1864"/>
      <c r="K6" s="1292"/>
      <c r="L6" s="1847" t="s">
        <v>1951</v>
      </c>
      <c r="M6" s="811">
        <f>SUMPRODUCT((区片价!B127:B189=I2)*(区片价!C3:G3=E2)*(区片价!C127:G189))</f>
        <v>2270</v>
      </c>
      <c r="N6" s="813">
        <f>SUMPRODUCT((因素修正幅度!B127:B189=I2)*(因素修正幅度!C3:G3=E2)*(因素修正幅度!C127:G189))</f>
        <v>0.126</v>
      </c>
      <c r="O6" s="1056"/>
      <c r="P6" s="1056"/>
      <c r="Q6" s="1056"/>
      <c r="R6" s="1129">
        <v>5</v>
      </c>
      <c r="S6" s="3061">
        <f>ROUND(SUMPRODUCT((B106:B110=R6)*(C105:N105=G2)*(C106:N110)),4)</f>
        <v>0.84799999999999998</v>
      </c>
      <c r="T6" s="3061">
        <f t="shared" si="0"/>
        <v>1875</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1.2</v>
      </c>
      <c r="AA7" s="1133"/>
      <c r="AB7" s="1133"/>
      <c r="AC7" s="1134"/>
      <c r="AD7" s="1135"/>
      <c r="AE7" s="1135"/>
      <c r="AF7" s="1135"/>
      <c r="AG7" s="1135"/>
      <c r="AH7" s="1135"/>
      <c r="AI7" s="1135"/>
      <c r="AJ7" s="1136"/>
    </row>
    <row r="8" spans="1:36" ht="25">
      <c r="A8" s="3007"/>
      <c r="B8" s="162" t="s">
        <v>1957</v>
      </c>
      <c r="C8" s="1870" t="s">
        <v>3464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9"/>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64" t="s">
        <v>3254</v>
      </c>
      <c r="B20" s="159" t="s">
        <v>1994</v>
      </c>
      <c r="C20" s="3029">
        <f>ROUND(IF(F21="与级别开发程度一致",0,(G21-E21)/C21),0)</f>
        <v>0</v>
      </c>
      <c r="D20" s="3044" t="s">
        <v>1998</v>
      </c>
      <c r="E20" s="3045"/>
      <c r="F20" s="3470" t="s">
        <v>1995</v>
      </c>
      <c r="G20" s="347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65"/>
      <c r="B21" s="2001" t="s">
        <v>1997</v>
      </c>
      <c r="C21" s="2002">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3508" t="s">
        <v>3465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45951</v>
      </c>
      <c r="H23" s="3046" t="s">
        <v>3466</v>
      </c>
      <c r="I23" s="3047" t="str">
        <f>IF(H23="季度增幅（自定义）",SUMIF(N25:N28,E2,O25:O28),"")</f>
        <v/>
      </c>
      <c r="J23" s="3139" t="s">
        <v>3467</v>
      </c>
      <c r="K23" s="1061"/>
      <c r="L23" s="1897" t="s">
        <v>2004</v>
      </c>
      <c r="M23" s="1241">
        <f>ROUND(SUMIF(地价!B2:G2,E2,地价!B16:G16),0)</f>
        <v>318</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0.84899999999999998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30.57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3333</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1.0531999999999999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627</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2211</v>
      </c>
      <c r="D33" s="1940">
        <f>'数据-汇总表'!E19</f>
        <v>2833.72</v>
      </c>
      <c r="E33" s="727">
        <f>ROUND(C33*D33/10000,0)</f>
        <v>627</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332</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8"/>
      <c r="B37" s="1955" t="s">
        <v>2036</v>
      </c>
      <c r="C37" s="167">
        <f>ROUND(D5*C22*C23*C24*C28*F37,0)</f>
        <v>1327</v>
      </c>
      <c r="D37" s="1940"/>
      <c r="E37" s="163">
        <f>ROUND(C37*D37/10000,0)</f>
        <v>0</v>
      </c>
      <c r="F37" s="163">
        <f>SUMIF(修正!A59:A70,G2,修正!B59:B70)</f>
        <v>0.6</v>
      </c>
      <c r="G37" s="163">
        <f>ROUND(IF(E2="工业",C37*$M$42,C37*$M$41),0)</f>
        <v>199</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69"/>
      <c r="B38" s="1884" t="s">
        <v>2037</v>
      </c>
      <c r="C38" s="167">
        <f>ROUND(D5*C22*C23*C24*C28*F38,0)</f>
        <v>663</v>
      </c>
      <c r="D38" s="1940"/>
      <c r="E38" s="163">
        <f t="shared" ref="E38:E42" si="4">ROUND(C38*D38/10000,0)</f>
        <v>0</v>
      </c>
      <c r="F38" s="163">
        <f>SUMIF(修正!A59:A70,G2,修正!C59:C70)</f>
        <v>0.3</v>
      </c>
      <c r="G38" s="163">
        <f>ROUND(IF(E2="工业",C38*$M$42,C38*$M$41),0)</f>
        <v>99</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9"/>
      <c r="B39" s="1884" t="s">
        <v>3257</v>
      </c>
      <c r="C39" s="167">
        <f>ROUND(D5*C22*C23*C24*C28*F39,0)</f>
        <v>553</v>
      </c>
      <c r="D39" s="1940"/>
      <c r="E39" s="163">
        <f t="shared" si="4"/>
        <v>0</v>
      </c>
      <c r="F39" s="163">
        <f>SUMIF(修正!A59:A70,G2,修正!D59:D70)</f>
        <v>0.25</v>
      </c>
      <c r="G39" s="163">
        <f>ROUND(IF(E2="工业",C39*$M$42,C39*$M$41),0)</f>
        <v>83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553</v>
      </c>
      <c r="D40" s="1940"/>
      <c r="E40" s="163">
        <f t="shared" si="4"/>
        <v>0</v>
      </c>
      <c r="F40" s="167">
        <f>SUMIF(修正!A59:A70,G2,修正!E59:E70)</f>
        <v>0.25</v>
      </c>
      <c r="G40" s="163">
        <f>ROUND(IF(E2="工业",C40*$M$42,C40*$M$41),0)</f>
        <v>83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1.0531999999999999</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t="s">
        <v>3468</v>
      </c>
      <c r="D83" s="1002">
        <f t="shared" ref="D83:D90" si="22">SUMIF($J$82:$N$82,C83,J83:N83)</f>
        <v>0</v>
      </c>
      <c r="E83" s="702">
        <f>ROUND(SUM(D83:D90),4)</f>
        <v>5.3199999999999997E-2</v>
      </c>
      <c r="F83" s="1675">
        <f>IF(E2="工业",SUMIF(L1:L12,G2,N1:N12),"——")</f>
        <v>0.126</v>
      </c>
      <c r="G83" s="1000">
        <v>1.6299999999999999E-2</v>
      </c>
      <c r="H83" s="1003">
        <f t="shared" ref="H83:H90" si="23">IFERROR(ROUNDDOWN($F$83*I83/2,4),"——")</f>
        <v>1.6299999999999999E-2</v>
      </c>
      <c r="I83" s="3066">
        <v>0.26</v>
      </c>
      <c r="J83" s="1001">
        <f t="shared" ref="J83:J90" si="24">K83+$G83</f>
        <v>3.2599999999999997E-2</v>
      </c>
      <c r="K83" s="1001">
        <f t="shared" ref="K83:K90" si="25">$L83+$G83</f>
        <v>1.6299999999999999E-2</v>
      </c>
      <c r="L83" s="1001">
        <v>0</v>
      </c>
      <c r="M83" s="1001">
        <f t="shared" ref="M83:N90" si="26">L83-$G83</f>
        <v>-1.6299999999999999E-2</v>
      </c>
      <c r="N83" s="1001">
        <f t="shared" si="26"/>
        <v>-3.2599999999999997E-2</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t="s">
        <v>3469</v>
      </c>
      <c r="D84" s="1002">
        <f t="shared" si="22"/>
        <v>1.89E-2</v>
      </c>
      <c r="E84" s="705"/>
      <c r="F84" s="1675"/>
      <c r="G84" s="1000">
        <v>1.89E-2</v>
      </c>
      <c r="H84" s="1003">
        <f t="shared" si="23"/>
        <v>1.89E-2</v>
      </c>
      <c r="I84" s="3066">
        <v>0.3</v>
      </c>
      <c r="J84" s="1001">
        <f t="shared" si="24"/>
        <v>3.78E-2</v>
      </c>
      <c r="K84" s="1001">
        <f t="shared" si="25"/>
        <v>1.89E-2</v>
      </c>
      <c r="L84" s="1001">
        <v>0</v>
      </c>
      <c r="M84" s="1001">
        <f t="shared" si="26"/>
        <v>-1.89E-2</v>
      </c>
      <c r="N84" s="1001">
        <f t="shared" si="26"/>
        <v>-3.78E-2</v>
      </c>
      <c r="Z84" s="1845"/>
      <c r="AA84" s="1895"/>
      <c r="AG84" s="1058"/>
      <c r="AK84" s="1895"/>
    </row>
    <row r="85" spans="1:37" ht="39">
      <c r="A85" s="3068" t="s">
        <v>3268</v>
      </c>
      <c r="B85" s="1262">
        <f>估价对象房地状况!G17</f>
        <v>0</v>
      </c>
      <c r="C85" s="1887" t="s">
        <v>3469</v>
      </c>
      <c r="D85" s="1002">
        <f t="shared" si="22"/>
        <v>6.3E-3</v>
      </c>
      <c r="E85" s="705"/>
      <c r="F85" s="1675"/>
      <c r="G85" s="1000">
        <v>6.3E-3</v>
      </c>
      <c r="H85" s="1003">
        <f t="shared" si="23"/>
        <v>6.3E-3</v>
      </c>
      <c r="I85" s="3066">
        <v>0.1</v>
      </c>
      <c r="J85" s="1001">
        <f t="shared" si="24"/>
        <v>1.26E-2</v>
      </c>
      <c r="K85" s="1001">
        <f t="shared" si="25"/>
        <v>6.3E-3</v>
      </c>
      <c r="L85" s="1001">
        <v>0</v>
      </c>
      <c r="M85" s="1001">
        <f t="shared" si="26"/>
        <v>-6.3E-3</v>
      </c>
      <c r="N85" s="1001">
        <f t="shared" si="26"/>
        <v>-1.26E-2</v>
      </c>
      <c r="Z85" s="1845"/>
      <c r="AA85" s="1895"/>
      <c r="AG85" s="1058"/>
      <c r="AK85" s="1895"/>
    </row>
    <row r="86" spans="1:37" ht="14">
      <c r="A86" s="1970" t="s">
        <v>2067</v>
      </c>
      <c r="B86" s="1262">
        <f>估价对象房地状况!G22</f>
        <v>0</v>
      </c>
      <c r="C86" s="1887" t="s">
        <v>3470</v>
      </c>
      <c r="D86" s="1002">
        <f t="shared" si="22"/>
        <v>6.1999999999999998E-3</v>
      </c>
      <c r="E86" s="705"/>
      <c r="F86" s="1675"/>
      <c r="G86" s="1000">
        <v>3.0999999999999999E-3</v>
      </c>
      <c r="H86" s="1003">
        <f t="shared" si="23"/>
        <v>3.0999999999999999E-3</v>
      </c>
      <c r="I86" s="3066">
        <v>0.05</v>
      </c>
      <c r="J86" s="1001">
        <f t="shared" si="24"/>
        <v>6.1999999999999998E-3</v>
      </c>
      <c r="K86" s="1001">
        <f t="shared" si="25"/>
        <v>3.0999999999999999E-3</v>
      </c>
      <c r="L86" s="1001">
        <v>0</v>
      </c>
      <c r="M86" s="1001">
        <f t="shared" si="26"/>
        <v>-3.0999999999999999E-3</v>
      </c>
      <c r="N86" s="1001">
        <f t="shared" si="26"/>
        <v>-6.1999999999999998E-3</v>
      </c>
      <c r="Z86" s="1845"/>
      <c r="AA86" s="1895"/>
      <c r="AG86" s="1058"/>
      <c r="AK86" s="1895"/>
    </row>
    <row r="87" spans="1:37" ht="26">
      <c r="A87" s="1970" t="s">
        <v>2059</v>
      </c>
      <c r="B87" s="1240" t="str">
        <f>估价对象房地状况!G19</f>
        <v>估价对象所在区域公共配套设施齐备情况</v>
      </c>
      <c r="C87" s="1887" t="s">
        <v>3468</v>
      </c>
      <c r="D87" s="1002">
        <f t="shared" si="22"/>
        <v>0</v>
      </c>
      <c r="E87" s="705"/>
      <c r="F87" s="1675"/>
      <c r="G87" s="1000">
        <v>3.7000000000000002E-3</v>
      </c>
      <c r="H87" s="1003">
        <f t="shared" si="23"/>
        <v>3.7000000000000002E-3</v>
      </c>
      <c r="I87" s="3066">
        <v>0.06</v>
      </c>
      <c r="J87" s="1001">
        <f t="shared" si="24"/>
        <v>7.4000000000000003E-3</v>
      </c>
      <c r="K87" s="1001">
        <f t="shared" si="25"/>
        <v>3.7000000000000002E-3</v>
      </c>
      <c r="L87" s="1001">
        <v>0</v>
      </c>
      <c r="M87" s="1001">
        <f t="shared" si="26"/>
        <v>-3.7000000000000002E-3</v>
      </c>
      <c r="N87" s="1001">
        <f t="shared" si="26"/>
        <v>-7.4000000000000003E-3</v>
      </c>
    </row>
    <row r="88" spans="1:37" ht="26">
      <c r="A88" s="1970" t="s">
        <v>2060</v>
      </c>
      <c r="B88" s="1240" t="str">
        <f>估价对象房地状况!G20</f>
        <v>估价对象所在区域基础设施水平</v>
      </c>
      <c r="C88" s="1887" t="s">
        <v>3470</v>
      </c>
      <c r="D88" s="1002">
        <f t="shared" si="22"/>
        <v>1.4999999999999999E-2</v>
      </c>
      <c r="E88" s="705"/>
      <c r="F88" s="1675"/>
      <c r="G88" s="1000">
        <v>7.4999999999999997E-3</v>
      </c>
      <c r="H88" s="1003">
        <f t="shared" si="23"/>
        <v>7.4999999999999997E-3</v>
      </c>
      <c r="I88" s="3066">
        <v>0.12</v>
      </c>
      <c r="J88" s="1001">
        <f t="shared" si="24"/>
        <v>1.4999999999999999E-2</v>
      </c>
      <c r="K88" s="1001">
        <f t="shared" si="25"/>
        <v>7.4999999999999997E-3</v>
      </c>
      <c r="L88" s="1001">
        <v>0</v>
      </c>
      <c r="M88" s="1001">
        <f t="shared" si="26"/>
        <v>-7.4999999999999997E-3</v>
      </c>
      <c r="N88" s="1001">
        <f t="shared" si="26"/>
        <v>-1.4999999999999999E-2</v>
      </c>
    </row>
    <row r="89" spans="1:37" ht="26">
      <c r="A89" s="1970" t="s">
        <v>2057</v>
      </c>
      <c r="B89" s="1975" t="s">
        <v>2071</v>
      </c>
      <c r="C89" s="1887" t="s">
        <v>3469</v>
      </c>
      <c r="D89" s="1002">
        <f t="shared" si="22"/>
        <v>3.7000000000000002E-3</v>
      </c>
      <c r="E89" s="705"/>
      <c r="F89" s="1675"/>
      <c r="G89" s="1000">
        <v>3.7000000000000002E-3</v>
      </c>
      <c r="H89" s="1003">
        <f t="shared" si="23"/>
        <v>3.7000000000000002E-3</v>
      </c>
      <c r="I89" s="3066">
        <v>0.06</v>
      </c>
      <c r="J89" s="1001">
        <f t="shared" si="24"/>
        <v>7.4000000000000003E-3</v>
      </c>
      <c r="K89" s="1001">
        <f t="shared" si="25"/>
        <v>3.7000000000000002E-3</v>
      </c>
      <c r="L89" s="1001">
        <v>0</v>
      </c>
      <c r="M89" s="1001">
        <f t="shared" si="26"/>
        <v>-3.7000000000000002E-3</v>
      </c>
      <c r="N89" s="1001">
        <f t="shared" si="26"/>
        <v>-7.4000000000000003E-3</v>
      </c>
    </row>
    <row r="90" spans="1:37" ht="38" thickBot="1">
      <c r="A90" s="1977" t="s">
        <v>2072</v>
      </c>
      <c r="B90" s="1982" t="str">
        <f>估价对象房地状况!G18</f>
        <v>该园区内是否有污染型企业，绿化情况，卫生条件，整体环境状况判断</v>
      </c>
      <c r="C90" s="1887" t="s">
        <v>3469</v>
      </c>
      <c r="D90" s="1002">
        <f t="shared" si="22"/>
        <v>3.0999999999999999E-3</v>
      </c>
      <c r="E90" s="706"/>
      <c r="F90" s="1675"/>
      <c r="G90" s="1000">
        <v>3.0999999999999999E-3</v>
      </c>
      <c r="H90" s="1003">
        <f t="shared" si="23"/>
        <v>3.0999999999999999E-3</v>
      </c>
      <c r="I90" s="3067">
        <v>0.05</v>
      </c>
      <c r="J90" s="1001">
        <f t="shared" si="24"/>
        <v>6.1999999999999998E-3</v>
      </c>
      <c r="K90" s="1001">
        <f t="shared" si="25"/>
        <v>3.0999999999999999E-3</v>
      </c>
      <c r="L90" s="1001">
        <v>0</v>
      </c>
      <c r="M90" s="1001">
        <f t="shared" si="26"/>
        <v>-3.0999999999999999E-3</v>
      </c>
      <c r="N90" s="1001">
        <f t="shared" si="26"/>
        <v>-6.1999999999999998E-3</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49" t="s">
        <v>3287</v>
      </c>
      <c r="K92" s="2149" t="s">
        <v>3288</v>
      </c>
      <c r="L92" s="2149" t="s">
        <v>3289</v>
      </c>
      <c r="M92" s="2149" t="s">
        <v>3290</v>
      </c>
      <c r="N92" s="2149"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66" t="s">
        <v>3292</v>
      </c>
      <c r="B103" s="3466"/>
      <c r="C103" s="3466"/>
      <c r="D103" s="3466"/>
      <c r="E103" s="3466"/>
      <c r="F103" s="3466"/>
      <c r="G103" s="3466"/>
      <c r="H103" s="3466"/>
      <c r="I103" s="3466"/>
      <c r="J103" s="3466"/>
      <c r="K103" s="1667"/>
      <c r="L103" s="1667"/>
      <c r="M103" s="1667"/>
      <c r="N103" s="1667"/>
    </row>
    <row r="104" spans="1:14" ht="13">
      <c r="A104" s="3467" t="s">
        <v>3293</v>
      </c>
      <c r="B104" s="3467" t="s">
        <v>3294</v>
      </c>
      <c r="C104" s="3088" t="s">
        <v>3295</v>
      </c>
      <c r="D104" s="3089"/>
      <c r="E104" s="3089"/>
      <c r="F104" s="3089"/>
      <c r="G104" s="3089"/>
      <c r="H104" s="3089"/>
      <c r="I104" s="3089"/>
      <c r="J104" s="3090"/>
      <c r="K104" s="3091"/>
      <c r="L104" s="3091"/>
      <c r="M104" s="3091"/>
      <c r="N104" s="3091"/>
    </row>
    <row r="105" spans="1:14" ht="13">
      <c r="A105" s="3467"/>
      <c r="B105" s="3467"/>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53"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54"/>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456" t="s">
        <v>3309</v>
      </c>
      <c r="B113" s="3456"/>
      <c r="C113" s="3456"/>
      <c r="D113" s="3456"/>
      <c r="E113" s="3456"/>
      <c r="F113" s="3456"/>
      <c r="G113" s="3456"/>
      <c r="H113" s="3456"/>
      <c r="I113" s="3456"/>
      <c r="J113" s="345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1.2</v>
      </c>
      <c r="C116" s="3097" t="s">
        <v>3311</v>
      </c>
      <c r="D116" s="3098">
        <f>SUMPRODUCT((A118:A122=F116)*(B117:M117=H116)*B118:M122)</f>
        <v>0.63959999999999995</v>
      </c>
      <c r="E116" s="162" t="s">
        <v>3312</v>
      </c>
      <c r="F116" s="3099" t="str">
        <f>E2</f>
        <v>工业</v>
      </c>
      <c r="G116" s="162" t="s">
        <v>3313</v>
      </c>
      <c r="H116" s="3099" t="str">
        <f>G2</f>
        <v>六级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0.98360000000000003</v>
      </c>
      <c r="C118" s="3087">
        <f>B118</f>
        <v>0.98360000000000003</v>
      </c>
      <c r="D118" s="3087">
        <f>ROUND(0.949-0.014*B116,4)</f>
        <v>0.93220000000000003</v>
      </c>
      <c r="E118" s="3087">
        <f>D118</f>
        <v>0.93220000000000003</v>
      </c>
      <c r="F118" s="3087">
        <f>E118</f>
        <v>0.93220000000000003</v>
      </c>
      <c r="G118" s="3087">
        <f>F118</f>
        <v>0.93220000000000003</v>
      </c>
      <c r="H118" s="3087">
        <f>G118</f>
        <v>0.93220000000000003</v>
      </c>
      <c r="I118" s="3087">
        <f>ROUND(0.8486-0.018*B116,4)</f>
        <v>0.82699999999999996</v>
      </c>
      <c r="J118" s="3087">
        <f t="shared" ref="J118:M122" si="35">I118</f>
        <v>0.82699999999999996</v>
      </c>
      <c r="K118" s="3087">
        <f t="shared" si="35"/>
        <v>0.82699999999999996</v>
      </c>
      <c r="L118" s="3087">
        <f t="shared" si="35"/>
        <v>0.82699999999999996</v>
      </c>
      <c r="M118" s="3107">
        <f t="shared" si="35"/>
        <v>0.82699999999999996</v>
      </c>
      <c r="N118" s="3095"/>
    </row>
    <row r="119" spans="1:14" ht="13">
      <c r="A119" s="3055" t="s">
        <v>3327</v>
      </c>
      <c r="B119" s="3087">
        <f>ROUND(0.993-0.0112*B116,4)</f>
        <v>0.97960000000000003</v>
      </c>
      <c r="C119" s="3087">
        <f>B119</f>
        <v>0.97960000000000003</v>
      </c>
      <c r="D119" s="3087">
        <f>ROUND(0.9415-0.0142*B116,4)</f>
        <v>0.92449999999999999</v>
      </c>
      <c r="E119" s="3087">
        <f t="shared" ref="E119:H120" si="36">D119</f>
        <v>0.92449999999999999</v>
      </c>
      <c r="F119" s="3087">
        <f t="shared" si="36"/>
        <v>0.92449999999999999</v>
      </c>
      <c r="G119" s="3087">
        <f t="shared" si="36"/>
        <v>0.92449999999999999</v>
      </c>
      <c r="H119" s="3087">
        <f t="shared" si="36"/>
        <v>0.92449999999999999</v>
      </c>
      <c r="I119" s="3087">
        <f>ROUND(0.838-0.0182*B116,4)</f>
        <v>0.81620000000000004</v>
      </c>
      <c r="J119" s="3087">
        <f t="shared" si="35"/>
        <v>0.81620000000000004</v>
      </c>
      <c r="K119" s="3087">
        <f t="shared" si="35"/>
        <v>0.81620000000000004</v>
      </c>
      <c r="L119" s="3087">
        <f t="shared" si="35"/>
        <v>0.81620000000000004</v>
      </c>
      <c r="M119" s="3107">
        <f t="shared" si="35"/>
        <v>0.81620000000000004</v>
      </c>
      <c r="N119" s="3095"/>
    </row>
    <row r="120" spans="1:14" ht="13">
      <c r="A120" s="3055" t="s">
        <v>3328</v>
      </c>
      <c r="B120" s="3087">
        <f>ROUND(0.9448-0.0115*B116,4)</f>
        <v>0.93100000000000005</v>
      </c>
      <c r="C120" s="3087">
        <f>B120</f>
        <v>0.93100000000000005</v>
      </c>
      <c r="D120" s="3087">
        <f>ROUND(0.937-0.0145*B116,4)</f>
        <v>0.91959999999999997</v>
      </c>
      <c r="E120" s="3087">
        <f t="shared" si="36"/>
        <v>0.91959999999999997</v>
      </c>
      <c r="F120" s="3087">
        <f t="shared" si="36"/>
        <v>0.91959999999999997</v>
      </c>
      <c r="G120" s="3087">
        <f t="shared" si="36"/>
        <v>0.91959999999999997</v>
      </c>
      <c r="H120" s="3087">
        <f t="shared" si="36"/>
        <v>0.91959999999999997</v>
      </c>
      <c r="I120" s="3087">
        <f>ROUND(0.7965-0.0185*B116,4)</f>
        <v>0.77429999999999999</v>
      </c>
      <c r="J120" s="3087">
        <f t="shared" si="35"/>
        <v>0.77429999999999999</v>
      </c>
      <c r="K120" s="3087">
        <f t="shared" si="35"/>
        <v>0.77429999999999999</v>
      </c>
      <c r="L120" s="3087">
        <f t="shared" si="35"/>
        <v>0.77429999999999999</v>
      </c>
      <c r="M120" s="3107">
        <f t="shared" si="35"/>
        <v>0.77429999999999999</v>
      </c>
      <c r="N120" s="3095"/>
    </row>
    <row r="121" spans="1:14" ht="13.5" thickBot="1">
      <c r="A121" s="3108" t="s">
        <v>3329</v>
      </c>
      <c r="B121" s="3109">
        <f>ROUND(0.7836-0.012*B116,4)</f>
        <v>0.76919999999999999</v>
      </c>
      <c r="C121" s="3109">
        <f>B121</f>
        <v>0.76919999999999999</v>
      </c>
      <c r="D121" s="3109">
        <f>ROUND(0.753-0.015*B116,4)</f>
        <v>0.73499999999999999</v>
      </c>
      <c r="E121" s="3109">
        <f>D121</f>
        <v>0.73499999999999999</v>
      </c>
      <c r="F121" s="3109">
        <f>E121</f>
        <v>0.73499999999999999</v>
      </c>
      <c r="G121" s="3109">
        <f>ROUND(0.6612-0.018*B116,4)</f>
        <v>0.63959999999999995</v>
      </c>
      <c r="H121" s="3109">
        <f>G121</f>
        <v>0.63959999999999995</v>
      </c>
      <c r="I121" s="3109">
        <f>ROUND(0.5905-0.019*B116,4)</f>
        <v>0.56769999999999998</v>
      </c>
      <c r="J121" s="3109">
        <f t="shared" si="35"/>
        <v>0.56769999999999998</v>
      </c>
      <c r="K121" s="3109">
        <f t="shared" si="35"/>
        <v>0.56769999999999998</v>
      </c>
      <c r="L121" s="3109">
        <f t="shared" si="35"/>
        <v>0.56769999999999998</v>
      </c>
      <c r="M121" s="3110">
        <f t="shared" si="35"/>
        <v>0.56769999999999998</v>
      </c>
      <c r="N121" s="3095"/>
    </row>
    <row r="122" spans="1:14" ht="13">
      <c r="A122" s="3111" t="s">
        <v>2612</v>
      </c>
      <c r="B122" s="3087">
        <f>ROUND(0.9404-0.0106*B116,4)</f>
        <v>0.92769999999999997</v>
      </c>
      <c r="C122" s="3087">
        <f>B122</f>
        <v>0.92769999999999997</v>
      </c>
      <c r="D122" s="3087">
        <f>ROUND(0.8955-0.0135*B116,4)</f>
        <v>0.87929999999999997</v>
      </c>
      <c r="E122" s="3087">
        <f t="shared" ref="E122:H122" si="37">D122</f>
        <v>0.87929999999999997</v>
      </c>
      <c r="F122" s="3087">
        <f t="shared" si="37"/>
        <v>0.87929999999999997</v>
      </c>
      <c r="G122" s="3087">
        <f t="shared" si="37"/>
        <v>0.87929999999999997</v>
      </c>
      <c r="H122" s="3087">
        <f t="shared" si="37"/>
        <v>0.87929999999999997</v>
      </c>
      <c r="I122" s="3087">
        <f>ROUND(0.7632-0.0166*B116,4)</f>
        <v>0.74329999999999996</v>
      </c>
      <c r="J122" s="3087">
        <f t="shared" si="35"/>
        <v>0.74329999999999996</v>
      </c>
      <c r="K122" s="3087">
        <f t="shared" si="35"/>
        <v>0.74329999999999996</v>
      </c>
      <c r="L122" s="3087">
        <f t="shared" si="35"/>
        <v>0.74329999999999996</v>
      </c>
      <c r="M122" s="3107">
        <f t="shared" si="35"/>
        <v>0.74329999999999996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B02B6-7F6F-4496-8FF9-55E22BF7E9F3}">
  <sheetPr>
    <tabColor rgb="FF7030A0"/>
  </sheetPr>
  <dimension ref="A1:H19"/>
  <sheetViews>
    <sheetView tabSelected="1" topLeftCell="A7" workbookViewId="0">
      <selection activeCell="A72" sqref="A72"/>
    </sheetView>
  </sheetViews>
  <sheetFormatPr defaultRowHeight="14"/>
  <cols>
    <col min="1" max="1" width="40.1796875" customWidth="1"/>
    <col min="4" max="4" width="10.26953125" bestFit="1" customWidth="1"/>
  </cols>
  <sheetData>
    <row r="1" spans="1:8">
      <c r="A1" s="1405" t="s">
        <v>3486</v>
      </c>
      <c r="B1" s="1405" t="s">
        <v>3487</v>
      </c>
    </row>
    <row r="2" spans="1:8">
      <c r="A2" s="1405" t="s">
        <v>3428</v>
      </c>
      <c r="B2">
        <v>40.71</v>
      </c>
    </row>
    <row r="3" spans="1:8">
      <c r="A3" s="1405" t="s">
        <v>3427</v>
      </c>
      <c r="B3">
        <v>213.7</v>
      </c>
    </row>
    <row r="4" spans="1:8">
      <c r="A4" s="1405" t="s">
        <v>3435</v>
      </c>
      <c r="B4">
        <v>100.5</v>
      </c>
    </row>
    <row r="5" spans="1:8">
      <c r="A5" s="1405" t="s">
        <v>3432</v>
      </c>
      <c r="B5">
        <v>178.88</v>
      </c>
      <c r="H5" s="1405" t="s">
        <v>3460</v>
      </c>
    </row>
    <row r="6" spans="1:8">
      <c r="A6" s="1405" t="s">
        <v>3425</v>
      </c>
      <c r="B6">
        <v>178.88</v>
      </c>
    </row>
    <row r="7" spans="1:8">
      <c r="A7" s="1405" t="s">
        <v>3434</v>
      </c>
      <c r="B7">
        <v>213.7</v>
      </c>
    </row>
    <row r="8" spans="1:8">
      <c r="A8" s="1405" t="s">
        <v>3426</v>
      </c>
      <c r="B8">
        <v>185.4</v>
      </c>
    </row>
    <row r="9" spans="1:8">
      <c r="A9" s="1405" t="s">
        <v>3433</v>
      </c>
      <c r="B9">
        <v>422.75</v>
      </c>
    </row>
    <row r="10" spans="1:8">
      <c r="A10" s="1405" t="s">
        <v>3429</v>
      </c>
      <c r="B10">
        <v>115.23</v>
      </c>
    </row>
    <row r="11" spans="1:8">
      <c r="A11" s="1405" t="s">
        <v>3423</v>
      </c>
      <c r="B11">
        <v>125.89</v>
      </c>
      <c r="C11" s="1405" t="s">
        <v>3438</v>
      </c>
      <c r="D11" s="3506">
        <v>57111</v>
      </c>
    </row>
    <row r="12" spans="1:8">
      <c r="A12" s="1405" t="s">
        <v>3436</v>
      </c>
      <c r="B12">
        <v>868.77</v>
      </c>
    </row>
    <row r="13" spans="1:8">
      <c r="A13" s="1405" t="s">
        <v>3431</v>
      </c>
      <c r="B13">
        <v>134.69</v>
      </c>
    </row>
    <row r="14" spans="1:8">
      <c r="A14" s="1405" t="s">
        <v>3424</v>
      </c>
      <c r="B14">
        <v>23.37</v>
      </c>
    </row>
    <row r="15" spans="1:8">
      <c r="A15" s="1405" t="s">
        <v>3430</v>
      </c>
      <c r="B15">
        <v>31.25</v>
      </c>
    </row>
    <row r="16" spans="1:8">
      <c r="A16" s="1405" t="s">
        <v>2592</v>
      </c>
      <c r="B16">
        <f>SUM(B2:B15)</f>
        <v>2833.72</v>
      </c>
    </row>
    <row r="19" spans="1:2">
      <c r="A19" s="1405" t="s">
        <v>3437</v>
      </c>
      <c r="B19">
        <v>23251.47</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A0DF2-B21E-482B-BA47-351F7C2DF970}">
  <sheetPr>
    <tabColor rgb="FF7030A0"/>
  </sheetPr>
  <dimension ref="A1"/>
  <sheetViews>
    <sheetView topLeftCell="A64" workbookViewId="0">
      <selection activeCell="A73" sqref="A73"/>
    </sheetView>
  </sheetViews>
  <sheetFormatPr defaultRowHeight="1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3" t="s">
        <v>2607</v>
      </c>
      <c r="B20" s="3476" t="s">
        <v>2628</v>
      </c>
      <c r="C20" s="3166" t="s">
        <v>2439</v>
      </c>
      <c r="D20" s="3166"/>
      <c r="E20" s="2842">
        <v>1</v>
      </c>
      <c r="F20" s="2843" t="s">
        <v>2440</v>
      </c>
      <c r="G20" s="2843"/>
    </row>
    <row r="21" spans="1:13" ht="19.5" customHeight="1">
      <c r="A21" s="3484"/>
      <c r="B21" s="3472"/>
      <c r="C21" s="2855" t="s">
        <v>2441</v>
      </c>
      <c r="D21" s="2855"/>
      <c r="E21" s="2846">
        <v>1</v>
      </c>
      <c r="F21" s="2843" t="s">
        <v>2442</v>
      </c>
      <c r="G21" s="2843"/>
    </row>
    <row r="22" spans="1:13" ht="19.5" customHeight="1">
      <c r="A22" s="3484"/>
      <c r="B22" s="3472"/>
      <c r="C22" s="2855" t="s">
        <v>2443</v>
      </c>
      <c r="D22" s="2855"/>
      <c r="E22" s="2846">
        <v>0.9</v>
      </c>
      <c r="F22" s="2843" t="s">
        <v>2444</v>
      </c>
      <c r="G22" s="2843"/>
    </row>
    <row r="23" spans="1:13" ht="19.5" customHeight="1">
      <c r="A23" s="3484"/>
      <c r="B23" s="3472"/>
      <c r="C23" s="2855" t="s">
        <v>2445</v>
      </c>
      <c r="D23" s="2855"/>
      <c r="E23" s="2846">
        <v>0.9</v>
      </c>
      <c r="F23" s="2843" t="s">
        <v>2446</v>
      </c>
      <c r="G23" s="2843"/>
    </row>
    <row r="24" spans="1:13" ht="19.5" customHeight="1">
      <c r="A24" s="3484"/>
      <c r="B24" s="3472"/>
      <c r="C24" s="2855" t="s">
        <v>2447</v>
      </c>
      <c r="D24" s="2855"/>
      <c r="E24" s="2846">
        <v>0.8</v>
      </c>
      <c r="F24" s="2843" t="s">
        <v>2448</v>
      </c>
      <c r="G24" s="2843"/>
    </row>
    <row r="25" spans="1:13" ht="19.5" customHeight="1">
      <c r="A25" s="3484"/>
      <c r="B25" s="3472"/>
      <c r="C25" s="2855" t="s">
        <v>2449</v>
      </c>
      <c r="D25" s="2855"/>
      <c r="E25" s="2846">
        <v>0.8</v>
      </c>
      <c r="F25" s="2843"/>
      <c r="G25" s="2843"/>
    </row>
    <row r="26" spans="1:13" ht="19.5" customHeight="1">
      <c r="A26" s="3484"/>
      <c r="B26" s="3472"/>
      <c r="C26" s="2855" t="s">
        <v>3407</v>
      </c>
      <c r="D26" s="2855"/>
      <c r="E26" s="2846">
        <v>0.43</v>
      </c>
      <c r="F26" s="2843"/>
      <c r="G26" s="2843"/>
    </row>
    <row r="27" spans="1:13" ht="19.5" customHeight="1" thickBot="1">
      <c r="A27" s="3485"/>
      <c r="B27" s="3477"/>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78" t="s">
        <v>2631</v>
      </c>
      <c r="B29" s="3481" t="s">
        <v>2612</v>
      </c>
      <c r="C29" s="2840" t="s">
        <v>2452</v>
      </c>
      <c r="D29" s="2841"/>
      <c r="E29" s="2842">
        <v>1</v>
      </c>
      <c r="F29" s="2843" t="s">
        <v>2453</v>
      </c>
      <c r="G29" s="2843"/>
    </row>
    <row r="30" spans="1:13" ht="19.5" customHeight="1">
      <c r="A30" s="3479"/>
      <c r="B30" s="3475"/>
      <c r="C30" s="2844" t="s">
        <v>2454</v>
      </c>
      <c r="D30" s="2845"/>
      <c r="E30" s="2846">
        <v>1</v>
      </c>
      <c r="F30" s="2843" t="s">
        <v>2455</v>
      </c>
      <c r="G30" s="2843"/>
    </row>
    <row r="31" spans="1:13" ht="19.5" customHeight="1">
      <c r="A31" s="3479"/>
      <c r="B31" s="3475"/>
      <c r="C31" s="2844" t="s">
        <v>2456</v>
      </c>
      <c r="D31" s="2845"/>
      <c r="E31" s="2846">
        <v>0.8</v>
      </c>
      <c r="F31" s="2843" t="s">
        <v>2457</v>
      </c>
      <c r="G31" s="2843"/>
    </row>
    <row r="32" spans="1:13" ht="19.5" customHeight="1">
      <c r="A32" s="3479"/>
      <c r="B32" s="3475"/>
      <c r="C32" s="2844" t="s">
        <v>2458</v>
      </c>
      <c r="D32" s="2845"/>
      <c r="E32" s="2846">
        <v>0.8</v>
      </c>
      <c r="F32" s="2843" t="s">
        <v>2459</v>
      </c>
      <c r="G32" s="2843"/>
    </row>
    <row r="33" spans="1:7" ht="19.5" customHeight="1">
      <c r="A33" s="3479"/>
      <c r="B33" s="3475"/>
      <c r="C33" s="2844" t="s">
        <v>2460</v>
      </c>
      <c r="D33" s="2845"/>
      <c r="E33" s="2846">
        <v>0.8</v>
      </c>
      <c r="F33" s="2843" t="s">
        <v>2461</v>
      </c>
      <c r="G33" s="2843"/>
    </row>
    <row r="34" spans="1:7" ht="19.5" customHeight="1">
      <c r="A34" s="3479"/>
      <c r="B34" s="3475"/>
      <c r="C34" s="2844" t="s">
        <v>2462</v>
      </c>
      <c r="D34" s="2845"/>
      <c r="E34" s="2846">
        <v>0.7</v>
      </c>
      <c r="F34" s="2843" t="s">
        <v>2463</v>
      </c>
      <c r="G34" s="2843"/>
    </row>
    <row r="35" spans="1:7" ht="19.5" customHeight="1">
      <c r="A35" s="3479"/>
      <c r="B35" s="3475"/>
      <c r="C35" s="2844" t="s">
        <v>2464</v>
      </c>
      <c r="D35" s="2845"/>
      <c r="E35" s="2846">
        <v>0.8</v>
      </c>
      <c r="F35" s="2843" t="s">
        <v>2465</v>
      </c>
      <c r="G35" s="2843"/>
    </row>
    <row r="36" spans="1:7" ht="19.5" customHeight="1">
      <c r="A36" s="3479"/>
      <c r="B36" s="3475"/>
      <c r="C36" s="2844" t="s">
        <v>2466</v>
      </c>
      <c r="D36" s="2845"/>
      <c r="E36" s="2846">
        <v>0.6</v>
      </c>
      <c r="F36" s="2843" t="s">
        <v>2467</v>
      </c>
      <c r="G36" s="2843"/>
    </row>
    <row r="37" spans="1:7" ht="19.5" customHeight="1">
      <c r="A37" s="3479"/>
      <c r="B37" s="3475"/>
      <c r="C37" s="2844" t="s">
        <v>2468</v>
      </c>
      <c r="D37" s="2845"/>
      <c r="E37" s="2846">
        <v>0.2</v>
      </c>
      <c r="F37" s="2843" t="s">
        <v>2469</v>
      </c>
      <c r="G37" s="2843"/>
    </row>
    <row r="38" spans="1:7" ht="19.5" customHeight="1">
      <c r="A38" s="3479"/>
      <c r="B38" s="3475"/>
      <c r="C38" s="2844" t="s">
        <v>2470</v>
      </c>
      <c r="D38" s="2845"/>
      <c r="E38" s="2846">
        <v>0.2</v>
      </c>
      <c r="F38" s="2843" t="s">
        <v>2471</v>
      </c>
      <c r="G38" s="2843"/>
    </row>
    <row r="39" spans="1:7" ht="19.5" customHeight="1">
      <c r="A39" s="3479"/>
      <c r="B39" s="3473" t="s">
        <v>2632</v>
      </c>
      <c r="C39" s="2844" t="s">
        <v>2472</v>
      </c>
      <c r="D39" s="2845"/>
      <c r="E39" s="2846">
        <v>0.6</v>
      </c>
      <c r="F39" s="2843" t="s">
        <v>2473</v>
      </c>
      <c r="G39" s="2843"/>
    </row>
    <row r="40" spans="1:7" ht="19.5" customHeight="1">
      <c r="A40" s="3479"/>
      <c r="B40" s="3475"/>
      <c r="C40" s="2844" t="s">
        <v>2474</v>
      </c>
      <c r="D40" s="2845"/>
      <c r="E40" s="2846">
        <v>0.6</v>
      </c>
      <c r="F40" s="2843" t="s">
        <v>2475</v>
      </c>
      <c r="G40" s="2843"/>
    </row>
    <row r="41" spans="1:7" ht="19.5" customHeight="1" thickBot="1">
      <c r="A41" s="3480"/>
      <c r="B41" s="3482"/>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83" t="s">
        <v>2610</v>
      </c>
      <c r="B43" s="3481" t="s">
        <v>2634</v>
      </c>
      <c r="C43" s="2840" t="s">
        <v>2479</v>
      </c>
      <c r="D43" s="2841"/>
      <c r="E43" s="2842">
        <v>1</v>
      </c>
      <c r="F43" s="2843" t="s">
        <v>2480</v>
      </c>
      <c r="G43" s="2843"/>
    </row>
    <row r="44" spans="1:7" ht="19.5" customHeight="1">
      <c r="A44" s="3484"/>
      <c r="B44" s="3475"/>
      <c r="C44" s="2844" t="s">
        <v>2481</v>
      </c>
      <c r="D44" s="2845"/>
      <c r="E44" s="2846">
        <v>1</v>
      </c>
      <c r="F44" s="2843" t="s">
        <v>2482</v>
      </c>
      <c r="G44" s="2843"/>
    </row>
    <row r="45" spans="1:7" ht="19.5" customHeight="1">
      <c r="A45" s="3484"/>
      <c r="B45" s="3474"/>
      <c r="C45" s="2844" t="s">
        <v>2483</v>
      </c>
      <c r="D45" s="2845"/>
      <c r="E45" s="2846">
        <v>1.5</v>
      </c>
      <c r="F45" s="2843" t="s">
        <v>2484</v>
      </c>
      <c r="G45" s="2843"/>
    </row>
    <row r="46" spans="1:7" ht="19.5" customHeight="1">
      <c r="A46" s="3484"/>
      <c r="B46" s="2855" t="s">
        <v>2635</v>
      </c>
      <c r="C46" s="2844" t="s">
        <v>2636</v>
      </c>
      <c r="D46" s="2845"/>
      <c r="E46" s="2846">
        <v>2</v>
      </c>
      <c r="F46" s="2843" t="s">
        <v>2485</v>
      </c>
      <c r="G46" s="2843"/>
    </row>
    <row r="47" spans="1:7" ht="19.5" customHeight="1">
      <c r="A47" s="3484"/>
      <c r="B47" s="3473" t="s">
        <v>2637</v>
      </c>
      <c r="C47" s="2844" t="s">
        <v>2486</v>
      </c>
      <c r="D47" s="2845"/>
      <c r="E47" s="2846">
        <v>1</v>
      </c>
      <c r="F47" s="2843" t="s">
        <v>2487</v>
      </c>
      <c r="G47" s="2843"/>
    </row>
    <row r="48" spans="1:7" ht="19.5" customHeight="1">
      <c r="A48" s="3484"/>
      <c r="B48" s="3475"/>
      <c r="C48" s="2844" t="s">
        <v>2488</v>
      </c>
      <c r="D48" s="2845"/>
      <c r="E48" s="2846">
        <v>1</v>
      </c>
      <c r="F48" s="2843" t="s">
        <v>2489</v>
      </c>
      <c r="G48" s="2843"/>
    </row>
    <row r="49" spans="1:7" ht="19.5" customHeight="1">
      <c r="A49" s="3484"/>
      <c r="B49" s="3475"/>
      <c r="C49" s="2844" t="s">
        <v>2490</v>
      </c>
      <c r="D49" s="2845"/>
      <c r="E49" s="2846">
        <v>1</v>
      </c>
      <c r="F49" s="2843" t="s">
        <v>2491</v>
      </c>
      <c r="G49" s="2843"/>
    </row>
    <row r="50" spans="1:7" ht="19.5" customHeight="1">
      <c r="A50" s="3484"/>
      <c r="B50" s="3475"/>
      <c r="C50" s="2844" t="s">
        <v>2492</v>
      </c>
      <c r="D50" s="2845"/>
      <c r="E50" s="2846">
        <v>1</v>
      </c>
      <c r="F50" s="2843" t="s">
        <v>2493</v>
      </c>
      <c r="G50" s="2843"/>
    </row>
    <row r="51" spans="1:7" ht="19.5" customHeight="1">
      <c r="A51" s="3484"/>
      <c r="B51" s="3475"/>
      <c r="C51" s="2844" t="s">
        <v>2494</v>
      </c>
      <c r="D51" s="2845"/>
      <c r="E51" s="2846">
        <v>1</v>
      </c>
      <c r="F51" s="2843" t="s">
        <v>2495</v>
      </c>
      <c r="G51" s="2843"/>
    </row>
    <row r="52" spans="1:7" ht="19.5" customHeight="1">
      <c r="A52" s="3484"/>
      <c r="B52" s="3475"/>
      <c r="C52" s="2844" t="s">
        <v>2496</v>
      </c>
      <c r="D52" s="2845"/>
      <c r="E52" s="2846">
        <v>1</v>
      </c>
      <c r="F52" s="2843" t="s">
        <v>2497</v>
      </c>
      <c r="G52" s="2843"/>
    </row>
    <row r="53" spans="1:7" ht="19.5" customHeight="1" thickBot="1">
      <c r="A53" s="3485"/>
      <c r="B53" s="3482"/>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73" t="s">
        <v>2651</v>
      </c>
      <c r="C75" s="2829" t="s">
        <v>2652</v>
      </c>
      <c r="D75" s="2829" t="s">
        <v>2653</v>
      </c>
      <c r="E75" s="2855">
        <v>0.2</v>
      </c>
      <c r="F75" s="2855">
        <v>25</v>
      </c>
    </row>
    <row r="76" spans="1:7" ht="26">
      <c r="A76" s="2855">
        <v>2</v>
      </c>
      <c r="B76" s="3475"/>
      <c r="C76" s="2829" t="s">
        <v>2654</v>
      </c>
      <c r="D76" s="2829" t="s">
        <v>2655</v>
      </c>
      <c r="E76" s="2855">
        <v>0.2</v>
      </c>
      <c r="F76" s="2855">
        <v>25</v>
      </c>
    </row>
    <row r="77" spans="1:7" ht="26">
      <c r="A77" s="2855">
        <v>3</v>
      </c>
      <c r="B77" s="3475"/>
      <c r="C77" s="2829" t="s">
        <v>2656</v>
      </c>
      <c r="D77" s="2829" t="s">
        <v>2657</v>
      </c>
      <c r="E77" s="2855">
        <v>0.2</v>
      </c>
      <c r="F77" s="2855">
        <v>25</v>
      </c>
    </row>
    <row r="78" spans="1:7" ht="14">
      <c r="A78" s="2855">
        <v>4</v>
      </c>
      <c r="B78" s="3475"/>
      <c r="C78" s="2829" t="s">
        <v>2658</v>
      </c>
      <c r="D78" s="2829" t="s">
        <v>2659</v>
      </c>
      <c r="E78" s="2855">
        <v>0.15</v>
      </c>
      <c r="F78" s="2855">
        <v>20</v>
      </c>
    </row>
    <row r="79" spans="1:7" ht="26">
      <c r="A79" s="2855">
        <v>5</v>
      </c>
      <c r="B79" s="3475"/>
      <c r="C79" s="2829" t="s">
        <v>2660</v>
      </c>
      <c r="D79" s="2829" t="s">
        <v>2661</v>
      </c>
      <c r="E79" s="2855">
        <v>0.15</v>
      </c>
      <c r="F79" s="2855">
        <v>20</v>
      </c>
    </row>
    <row r="80" spans="1:7" ht="26">
      <c r="A80" s="2855">
        <v>6</v>
      </c>
      <c r="B80" s="3475"/>
      <c r="C80" s="2829" t="s">
        <v>2662</v>
      </c>
      <c r="D80" s="2829" t="s">
        <v>2663</v>
      </c>
      <c r="E80" s="2855">
        <v>0.15</v>
      </c>
      <c r="F80" s="2855">
        <v>20</v>
      </c>
    </row>
    <row r="81" spans="1:6" ht="26">
      <c r="A81" s="2855">
        <v>7</v>
      </c>
      <c r="B81" s="3475"/>
      <c r="C81" s="2829" t="s">
        <v>2664</v>
      </c>
      <c r="D81" s="2829" t="s">
        <v>2665</v>
      </c>
      <c r="E81" s="2855">
        <v>0.15</v>
      </c>
      <c r="F81" s="2855">
        <v>20</v>
      </c>
    </row>
    <row r="82" spans="1:6" ht="26">
      <c r="A82" s="2855">
        <v>8</v>
      </c>
      <c r="B82" s="3475"/>
      <c r="C82" s="2829" t="s">
        <v>2666</v>
      </c>
      <c r="D82" s="2829" t="s">
        <v>2667</v>
      </c>
      <c r="E82" s="2855">
        <v>0.1</v>
      </c>
      <c r="F82" s="2855">
        <v>15</v>
      </c>
    </row>
    <row r="83" spans="1:6" ht="26">
      <c r="A83" s="2855">
        <v>9</v>
      </c>
      <c r="B83" s="3475"/>
      <c r="C83" s="2829" t="s">
        <v>2668</v>
      </c>
      <c r="D83" s="2829" t="s">
        <v>2669</v>
      </c>
      <c r="E83" s="2855">
        <v>0.1</v>
      </c>
      <c r="F83" s="2855">
        <v>15</v>
      </c>
    </row>
    <row r="84" spans="1:6" ht="26">
      <c r="A84" s="2855">
        <v>10</v>
      </c>
      <c r="B84" s="3475"/>
      <c r="C84" s="2829" t="s">
        <v>2670</v>
      </c>
      <c r="D84" s="2829" t="s">
        <v>2671</v>
      </c>
      <c r="E84" s="2855">
        <v>0.1</v>
      </c>
      <c r="F84" s="2855">
        <v>15</v>
      </c>
    </row>
    <row r="85" spans="1:6" ht="26">
      <c r="A85" s="2855">
        <v>11</v>
      </c>
      <c r="B85" s="3475"/>
      <c r="C85" s="2829" t="s">
        <v>2672</v>
      </c>
      <c r="D85" s="2829" t="s">
        <v>2673</v>
      </c>
      <c r="E85" s="2855">
        <v>0.1</v>
      </c>
      <c r="F85" s="2855">
        <v>15</v>
      </c>
    </row>
    <row r="86" spans="1:6" ht="26">
      <c r="A86" s="2855">
        <v>12</v>
      </c>
      <c r="B86" s="3475"/>
      <c r="C86" s="2829" t="s">
        <v>2674</v>
      </c>
      <c r="D86" s="2829" t="s">
        <v>2675</v>
      </c>
      <c r="E86" s="2855">
        <v>0.1</v>
      </c>
      <c r="F86" s="2855">
        <v>15</v>
      </c>
    </row>
    <row r="87" spans="1:6" ht="14">
      <c r="A87" s="2855">
        <v>13</v>
      </c>
      <c r="B87" s="3475"/>
      <c r="C87" s="2829" t="s">
        <v>2676</v>
      </c>
      <c r="D87" s="2829" t="s">
        <v>2677</v>
      </c>
      <c r="E87" s="2855">
        <v>0.1</v>
      </c>
      <c r="F87" s="2855">
        <v>15</v>
      </c>
    </row>
    <row r="88" spans="1:6" ht="14">
      <c r="A88" s="2855">
        <v>14</v>
      </c>
      <c r="B88" s="3475"/>
      <c r="C88" s="2829" t="s">
        <v>2678</v>
      </c>
      <c r="D88" s="2829" t="s">
        <v>2679</v>
      </c>
      <c r="E88" s="2855">
        <v>0.1</v>
      </c>
      <c r="F88" s="2855">
        <v>15</v>
      </c>
    </row>
    <row r="89" spans="1:6" ht="14">
      <c r="A89" s="2855">
        <v>15</v>
      </c>
      <c r="B89" s="3475"/>
      <c r="C89" s="2829" t="s">
        <v>2680</v>
      </c>
      <c r="D89" s="2829" t="s">
        <v>2681</v>
      </c>
      <c r="E89" s="2855">
        <v>0.1</v>
      </c>
      <c r="F89" s="2855">
        <v>15</v>
      </c>
    </row>
    <row r="90" spans="1:6" ht="26">
      <c r="A90" s="2855">
        <v>16</v>
      </c>
      <c r="B90" s="3475"/>
      <c r="C90" s="2829" t="s">
        <v>2682</v>
      </c>
      <c r="D90" s="2829" t="s">
        <v>2683</v>
      </c>
      <c r="E90" s="2855">
        <v>0.1</v>
      </c>
      <c r="F90" s="2855">
        <v>15</v>
      </c>
    </row>
    <row r="91" spans="1:6" ht="26">
      <c r="A91" s="2855">
        <v>17</v>
      </c>
      <c r="B91" s="3474"/>
      <c r="C91" s="2829" t="s">
        <v>2684</v>
      </c>
      <c r="D91" s="2829" t="s">
        <v>2685</v>
      </c>
      <c r="E91" s="2855">
        <v>0.1</v>
      </c>
      <c r="F91" s="2855">
        <v>15</v>
      </c>
    </row>
    <row r="92" spans="1:6" ht="14">
      <c r="A92" s="2855">
        <v>18</v>
      </c>
      <c r="B92" s="3473" t="s">
        <v>2686</v>
      </c>
      <c r="C92" s="2829" t="s">
        <v>2687</v>
      </c>
      <c r="D92" s="2829" t="s">
        <v>2688</v>
      </c>
      <c r="E92" s="2855">
        <v>0.2</v>
      </c>
      <c r="F92" s="2855">
        <v>25</v>
      </c>
    </row>
    <row r="93" spans="1:6" ht="26">
      <c r="A93" s="2855">
        <v>19</v>
      </c>
      <c r="B93" s="3475"/>
      <c r="C93" s="2829" t="s">
        <v>2689</v>
      </c>
      <c r="D93" s="2829" t="s">
        <v>2690</v>
      </c>
      <c r="E93" s="2855">
        <v>0.2</v>
      </c>
      <c r="F93" s="2855">
        <v>25</v>
      </c>
    </row>
    <row r="94" spans="1:6" ht="14">
      <c r="A94" s="2855">
        <v>20</v>
      </c>
      <c r="B94" s="3475"/>
      <c r="C94" s="2829" t="s">
        <v>2691</v>
      </c>
      <c r="D94" s="2829" t="s">
        <v>2692</v>
      </c>
      <c r="E94" s="2855">
        <v>0.15</v>
      </c>
      <c r="F94" s="2855">
        <v>20</v>
      </c>
    </row>
    <row r="95" spans="1:6" ht="26">
      <c r="A95" s="2855">
        <v>21</v>
      </c>
      <c r="B95" s="3475"/>
      <c r="C95" s="2829" t="s">
        <v>2693</v>
      </c>
      <c r="D95" s="2829" t="s">
        <v>2694</v>
      </c>
      <c r="E95" s="2855">
        <v>0.15</v>
      </c>
      <c r="F95" s="2855">
        <v>20</v>
      </c>
    </row>
    <row r="96" spans="1:6" ht="26">
      <c r="A96" s="2855">
        <v>22</v>
      </c>
      <c r="B96" s="3475"/>
      <c r="C96" s="2829" t="s">
        <v>2695</v>
      </c>
      <c r="D96" s="2829" t="s">
        <v>2696</v>
      </c>
      <c r="E96" s="2855">
        <v>0.15</v>
      </c>
      <c r="F96" s="2855">
        <v>20</v>
      </c>
    </row>
    <row r="97" spans="1:6" ht="39">
      <c r="A97" s="2855">
        <v>23</v>
      </c>
      <c r="B97" s="3475"/>
      <c r="C97" s="2829" t="s">
        <v>2697</v>
      </c>
      <c r="D97" s="2829" t="s">
        <v>2698</v>
      </c>
      <c r="E97" s="2855">
        <v>0.15</v>
      </c>
      <c r="F97" s="2855">
        <v>20</v>
      </c>
    </row>
    <row r="98" spans="1:6" ht="14">
      <c r="A98" s="2855">
        <v>24</v>
      </c>
      <c r="B98" s="3475"/>
      <c r="C98" s="2829" t="s">
        <v>2699</v>
      </c>
      <c r="D98" s="2829" t="s">
        <v>2700</v>
      </c>
      <c r="E98" s="2855">
        <v>0.1</v>
      </c>
      <c r="F98" s="2855">
        <v>15</v>
      </c>
    </row>
    <row r="99" spans="1:6" ht="26">
      <c r="A99" s="2855">
        <v>25</v>
      </c>
      <c r="B99" s="3475"/>
      <c r="C99" s="2829" t="s">
        <v>2701</v>
      </c>
      <c r="D99" s="2829" t="s">
        <v>2702</v>
      </c>
      <c r="E99" s="2855">
        <v>0.1</v>
      </c>
      <c r="F99" s="2855">
        <v>15</v>
      </c>
    </row>
    <row r="100" spans="1:6" ht="26">
      <c r="A100" s="2855">
        <v>26</v>
      </c>
      <c r="B100" s="3475"/>
      <c r="C100" s="2829" t="s">
        <v>2703</v>
      </c>
      <c r="D100" s="2829" t="s">
        <v>2704</v>
      </c>
      <c r="E100" s="2855">
        <v>0.1</v>
      </c>
      <c r="F100" s="2855">
        <v>15</v>
      </c>
    </row>
    <row r="101" spans="1:6" ht="26">
      <c r="A101" s="2855">
        <v>27</v>
      </c>
      <c r="B101" s="3475"/>
      <c r="C101" s="2829" t="s">
        <v>2705</v>
      </c>
      <c r="D101" s="2829" t="s">
        <v>2706</v>
      </c>
      <c r="E101" s="2855">
        <v>0.1</v>
      </c>
      <c r="F101" s="2855">
        <v>15</v>
      </c>
    </row>
    <row r="102" spans="1:6" ht="26">
      <c r="A102" s="2855">
        <v>28</v>
      </c>
      <c r="B102" s="3475"/>
      <c r="C102" s="2829" t="s">
        <v>2707</v>
      </c>
      <c r="D102" s="2829" t="s">
        <v>2708</v>
      </c>
      <c r="E102" s="2855">
        <v>0.1</v>
      </c>
      <c r="F102" s="2855">
        <v>15</v>
      </c>
    </row>
    <row r="103" spans="1:6" ht="26">
      <c r="A103" s="2855">
        <v>29</v>
      </c>
      <c r="B103" s="3475"/>
      <c r="C103" s="2829" t="s">
        <v>2709</v>
      </c>
      <c r="D103" s="2829" t="s">
        <v>2710</v>
      </c>
      <c r="E103" s="2855">
        <v>0.1</v>
      </c>
      <c r="F103" s="2855">
        <v>15</v>
      </c>
    </row>
    <row r="104" spans="1:6" ht="26">
      <c r="A104" s="2855">
        <v>30</v>
      </c>
      <c r="B104" s="3475"/>
      <c r="C104" s="2829" t="s">
        <v>2711</v>
      </c>
      <c r="D104" s="2829" t="s">
        <v>2712</v>
      </c>
      <c r="E104" s="2855">
        <v>0.1</v>
      </c>
      <c r="F104" s="2855">
        <v>15</v>
      </c>
    </row>
    <row r="105" spans="1:6" ht="26">
      <c r="A105" s="2855">
        <v>31</v>
      </c>
      <c r="B105" s="3475"/>
      <c r="C105" s="2829" t="s">
        <v>2713</v>
      </c>
      <c r="D105" s="2829" t="s">
        <v>2714</v>
      </c>
      <c r="E105" s="2855">
        <v>0.1</v>
      </c>
      <c r="F105" s="2855">
        <v>15</v>
      </c>
    </row>
    <row r="106" spans="1:6" ht="26">
      <c r="A106" s="2855">
        <v>32</v>
      </c>
      <c r="B106" s="3475"/>
      <c r="C106" s="2829" t="s">
        <v>2715</v>
      </c>
      <c r="D106" s="2829" t="s">
        <v>2716</v>
      </c>
      <c r="E106" s="2855">
        <v>0.1</v>
      </c>
      <c r="F106" s="2855">
        <v>15</v>
      </c>
    </row>
    <row r="107" spans="1:6" ht="26">
      <c r="A107" s="2855">
        <v>33</v>
      </c>
      <c r="B107" s="3475"/>
      <c r="C107" s="2829" t="s">
        <v>2717</v>
      </c>
      <c r="D107" s="2829" t="s">
        <v>2718</v>
      </c>
      <c r="E107" s="2855">
        <v>0.1</v>
      </c>
      <c r="F107" s="2855">
        <v>15</v>
      </c>
    </row>
    <row r="108" spans="1:6" ht="26">
      <c r="A108" s="2855">
        <v>34</v>
      </c>
      <c r="B108" s="3474"/>
      <c r="C108" s="2829" t="s">
        <v>2719</v>
      </c>
      <c r="D108" s="2829" t="s">
        <v>2720</v>
      </c>
      <c r="E108" s="2855">
        <v>0.1</v>
      </c>
      <c r="F108" s="2855">
        <v>15</v>
      </c>
    </row>
    <row r="109" spans="1:6" ht="26">
      <c r="A109" s="2855">
        <v>35</v>
      </c>
      <c r="B109" s="3473" t="s">
        <v>2721</v>
      </c>
      <c r="C109" s="2855" t="s">
        <v>2722</v>
      </c>
      <c r="D109" s="2829" t="s">
        <v>2723</v>
      </c>
      <c r="E109" s="2855">
        <v>0.15</v>
      </c>
      <c r="F109" s="2855">
        <v>20</v>
      </c>
    </row>
    <row r="110" spans="1:6" ht="26">
      <c r="A110" s="2855">
        <v>36</v>
      </c>
      <c r="B110" s="3475"/>
      <c r="C110" s="2855" t="s">
        <v>2724</v>
      </c>
      <c r="D110" s="2829" t="s">
        <v>2725</v>
      </c>
      <c r="E110" s="2855">
        <v>0.15</v>
      </c>
      <c r="F110" s="2855">
        <v>20</v>
      </c>
    </row>
    <row r="111" spans="1:6" ht="26">
      <c r="A111" s="2855">
        <v>37</v>
      </c>
      <c r="B111" s="3475"/>
      <c r="C111" s="2855" t="s">
        <v>2726</v>
      </c>
      <c r="D111" s="2829" t="s">
        <v>2727</v>
      </c>
      <c r="E111" s="2855">
        <v>0.15</v>
      </c>
      <c r="F111" s="2855">
        <v>20</v>
      </c>
    </row>
    <row r="112" spans="1:6" ht="14">
      <c r="A112" s="2855">
        <v>38</v>
      </c>
      <c r="B112" s="3475"/>
      <c r="C112" s="2855" t="s">
        <v>2728</v>
      </c>
      <c r="D112" s="2829" t="s">
        <v>2729</v>
      </c>
      <c r="E112" s="2855">
        <v>0.1</v>
      </c>
      <c r="F112" s="2855">
        <v>15</v>
      </c>
    </row>
    <row r="113" spans="1:6" ht="26">
      <c r="A113" s="2855">
        <v>39</v>
      </c>
      <c r="B113" s="3475"/>
      <c r="C113" s="2855" t="s">
        <v>2730</v>
      </c>
      <c r="D113" s="2829" t="s">
        <v>2731</v>
      </c>
      <c r="E113" s="2855">
        <v>0.1</v>
      </c>
      <c r="F113" s="2855">
        <v>15</v>
      </c>
    </row>
    <row r="114" spans="1:6" ht="26">
      <c r="A114" s="2855">
        <v>40</v>
      </c>
      <c r="B114" s="3474"/>
      <c r="C114" s="2855" t="s">
        <v>2732</v>
      </c>
      <c r="D114" s="2829" t="s">
        <v>2733</v>
      </c>
      <c r="E114" s="2855">
        <v>0.1</v>
      </c>
      <c r="F114" s="2855">
        <v>15</v>
      </c>
    </row>
    <row r="115" spans="1:6" ht="26">
      <c r="A115" s="2855">
        <v>41</v>
      </c>
      <c r="B115" s="3472" t="s">
        <v>2734</v>
      </c>
      <c r="C115" s="2855" t="s">
        <v>2735</v>
      </c>
      <c r="D115" s="2829" t="s">
        <v>2736</v>
      </c>
      <c r="E115" s="2855">
        <v>0.1</v>
      </c>
      <c r="F115" s="2855">
        <v>15</v>
      </c>
    </row>
    <row r="116" spans="1:6" ht="14">
      <c r="A116" s="2855">
        <v>42</v>
      </c>
      <c r="B116" s="3472"/>
      <c r="C116" s="2855" t="s">
        <v>2737</v>
      </c>
      <c r="D116" s="2829" t="s">
        <v>2738</v>
      </c>
      <c r="E116" s="2855">
        <v>0.1</v>
      </c>
      <c r="F116" s="2855">
        <v>15</v>
      </c>
    </row>
    <row r="117" spans="1:6" ht="26">
      <c r="A117" s="2855">
        <v>43</v>
      </c>
      <c r="B117" s="3472"/>
      <c r="C117" s="2855" t="s">
        <v>2739</v>
      </c>
      <c r="D117" s="2829" t="s">
        <v>2740</v>
      </c>
      <c r="E117" s="2855">
        <v>0.1</v>
      </c>
      <c r="F117" s="2855">
        <v>15</v>
      </c>
    </row>
    <row r="118" spans="1:6" ht="26">
      <c r="A118" s="2855">
        <v>44</v>
      </c>
      <c r="B118" s="3473" t="s">
        <v>2741</v>
      </c>
      <c r="C118" s="2855" t="s">
        <v>2742</v>
      </c>
      <c r="D118" s="2829" t="s">
        <v>2743</v>
      </c>
      <c r="E118" s="2855">
        <v>0.1</v>
      </c>
      <c r="F118" s="2855">
        <v>15</v>
      </c>
    </row>
    <row r="119" spans="1:6" ht="26">
      <c r="A119" s="2855">
        <v>45</v>
      </c>
      <c r="B119" s="3474"/>
      <c r="C119" s="2829" t="s">
        <v>2744</v>
      </c>
      <c r="D119" s="2829" t="s">
        <v>2745</v>
      </c>
      <c r="E119" s="2855">
        <v>0.1</v>
      </c>
      <c r="F119" s="2855">
        <v>15</v>
      </c>
    </row>
    <row r="120" spans="1:6" ht="26">
      <c r="A120" s="2855">
        <v>46</v>
      </c>
      <c r="B120" s="3473" t="s">
        <v>2746</v>
      </c>
      <c r="C120" s="2855" t="s">
        <v>2747</v>
      </c>
      <c r="D120" s="2829" t="s">
        <v>2748</v>
      </c>
      <c r="E120" s="2855">
        <v>0.1</v>
      </c>
      <c r="F120" s="2855">
        <v>15</v>
      </c>
    </row>
    <row r="121" spans="1:6" ht="26">
      <c r="A121" s="2855">
        <v>47</v>
      </c>
      <c r="B121" s="3474"/>
      <c r="C121" s="2855" t="s">
        <v>2749</v>
      </c>
      <c r="D121" s="2829" t="s">
        <v>2750</v>
      </c>
      <c r="E121" s="2855">
        <v>0.1</v>
      </c>
      <c r="F121" s="2855">
        <v>15</v>
      </c>
    </row>
    <row r="122" spans="1:6" ht="26">
      <c r="A122" s="2855">
        <v>48</v>
      </c>
      <c r="B122" s="3473" t="s">
        <v>2751</v>
      </c>
      <c r="C122" s="2855" t="s">
        <v>2752</v>
      </c>
      <c r="D122" s="2829" t="s">
        <v>2753</v>
      </c>
      <c r="E122" s="2855">
        <v>0.1</v>
      </c>
      <c r="F122" s="2855">
        <v>15</v>
      </c>
    </row>
    <row r="123" spans="1:6" ht="14">
      <c r="A123" s="2855">
        <v>49</v>
      </c>
      <c r="B123" s="3474"/>
      <c r="C123" s="2855" t="s">
        <v>2754</v>
      </c>
      <c r="D123" s="2829" t="s">
        <v>2755</v>
      </c>
      <c r="E123" s="2855">
        <v>0.1</v>
      </c>
      <c r="F123" s="2855">
        <v>15</v>
      </c>
    </row>
    <row r="124" spans="1:6" ht="26">
      <c r="A124" s="2855">
        <v>50</v>
      </c>
      <c r="B124" s="3472" t="s">
        <v>2756</v>
      </c>
      <c r="C124" s="2855" t="s">
        <v>2757</v>
      </c>
      <c r="D124" s="2829" t="s">
        <v>2758</v>
      </c>
      <c r="E124" s="2855">
        <v>0.1</v>
      </c>
      <c r="F124" s="2855">
        <v>15</v>
      </c>
    </row>
    <row r="125" spans="1:6" ht="26">
      <c r="A125" s="2855">
        <v>51</v>
      </c>
      <c r="B125" s="3472"/>
      <c r="C125" s="2855" t="s">
        <v>2759</v>
      </c>
      <c r="D125" s="2829" t="s">
        <v>2760</v>
      </c>
      <c r="E125" s="2855">
        <v>0.1</v>
      </c>
      <c r="F125" s="2855">
        <v>15</v>
      </c>
    </row>
    <row r="126" spans="1:6" ht="26">
      <c r="A126" s="2855">
        <v>52</v>
      </c>
      <c r="B126" s="3472" t="s">
        <v>2761</v>
      </c>
      <c r="C126" s="2855" t="s">
        <v>2762</v>
      </c>
      <c r="D126" s="2829" t="s">
        <v>2763</v>
      </c>
      <c r="E126" s="2855">
        <v>0.1</v>
      </c>
      <c r="F126" s="2855">
        <v>15</v>
      </c>
    </row>
    <row r="127" spans="1:6" ht="26">
      <c r="A127" s="2855">
        <v>53</v>
      </c>
      <c r="B127" s="3472"/>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72" t="s">
        <v>2769</v>
      </c>
      <c r="C129" s="2855" t="s">
        <v>2770</v>
      </c>
      <c r="D129" s="2829" t="s">
        <v>2771</v>
      </c>
      <c r="E129" s="2855">
        <v>0.1</v>
      </c>
      <c r="F129" s="2855">
        <v>15</v>
      </c>
    </row>
    <row r="130" spans="1:6" ht="14">
      <c r="A130" s="2855">
        <v>56</v>
      </c>
      <c r="B130" s="3472"/>
      <c r="C130" s="2855" t="s">
        <v>2772</v>
      </c>
      <c r="D130" s="2829" t="s">
        <v>2773</v>
      </c>
      <c r="E130" s="2855">
        <v>0.1</v>
      </c>
      <c r="F130" s="2855">
        <v>15</v>
      </c>
    </row>
    <row r="131" spans="1:6" ht="26">
      <c r="A131" s="2855">
        <v>57</v>
      </c>
      <c r="B131" s="3472"/>
      <c r="C131" s="2855" t="s">
        <v>2774</v>
      </c>
      <c r="D131" s="2829" t="s">
        <v>2775</v>
      </c>
      <c r="E131" s="2855">
        <v>0.1</v>
      </c>
      <c r="F131" s="2855">
        <v>15</v>
      </c>
    </row>
    <row r="132" spans="1:6" ht="26">
      <c r="A132" s="2855">
        <v>58</v>
      </c>
      <c r="B132" s="3472" t="s">
        <v>2776</v>
      </c>
      <c r="C132" s="2855" t="s">
        <v>2777</v>
      </c>
      <c r="D132" s="2829" t="s">
        <v>2778</v>
      </c>
      <c r="E132" s="2855">
        <v>0.1</v>
      </c>
      <c r="F132" s="2855">
        <v>15</v>
      </c>
    </row>
    <row r="133" spans="1:6" ht="26">
      <c r="A133" s="2855">
        <v>59</v>
      </c>
      <c r="B133" s="3472"/>
      <c r="C133" s="2855" t="s">
        <v>2779</v>
      </c>
      <c r="D133" s="2829" t="s">
        <v>2780</v>
      </c>
      <c r="E133" s="2855">
        <v>0.1</v>
      </c>
      <c r="F133" s="2855">
        <v>15</v>
      </c>
    </row>
    <row r="134" spans="1:6" ht="26">
      <c r="A134" s="2855">
        <v>60</v>
      </c>
      <c r="B134" s="3473" t="s">
        <v>2781</v>
      </c>
      <c r="C134" s="2855" t="s">
        <v>2782</v>
      </c>
      <c r="D134" s="2829" t="s">
        <v>2783</v>
      </c>
      <c r="E134" s="2855">
        <v>0.1</v>
      </c>
      <c r="F134" s="2855">
        <v>15</v>
      </c>
    </row>
    <row r="135" spans="1:6" ht="26">
      <c r="A135" s="2855">
        <v>61</v>
      </c>
      <c r="B135" s="3474"/>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72" t="s">
        <v>2789</v>
      </c>
      <c r="C137" s="2855" t="s">
        <v>2790</v>
      </c>
      <c r="D137" s="2829" t="s">
        <v>2791</v>
      </c>
      <c r="E137" s="2855">
        <v>0.1</v>
      </c>
      <c r="F137" s="2855">
        <v>15</v>
      </c>
    </row>
    <row r="138" spans="1:6" ht="14">
      <c r="A138" s="2855">
        <v>64</v>
      </c>
      <c r="B138" s="3472"/>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5" thickBot="1">
      <c r="A4" s="1391"/>
      <c r="B4" s="3171" t="s">
        <v>917</v>
      </c>
      <c r="C4" s="3171"/>
      <c r="D4" s="3171"/>
      <c r="E4" s="1391"/>
    </row>
    <row r="5" spans="1:5" ht="16" thickTop="1">
      <c r="B5" s="3169" t="s">
        <v>909</v>
      </c>
      <c r="C5" s="1392" t="s">
        <v>910</v>
      </c>
      <c r="D5" s="797">
        <f ca="1">结果表!H101</f>
        <v>1541</v>
      </c>
    </row>
    <row r="6" spans="1:5" ht="15.5">
      <c r="B6" s="3169"/>
      <c r="C6" s="1392" t="s">
        <v>911</v>
      </c>
      <c r="D6" s="797" t="str">
        <f ca="1">NUMBERSTRING(INT(D5*10000),2)&amp;"元整"</f>
        <v>壹仟伍佰肆拾壹万元整</v>
      </c>
    </row>
    <row r="7" spans="1:5" ht="15.5">
      <c r="B7" s="3174"/>
      <c r="C7" s="1393" t="s">
        <v>912</v>
      </c>
      <c r="D7" s="798">
        <f ca="1">结果表!H102</f>
        <v>5438</v>
      </c>
    </row>
    <row r="8" spans="1:5" ht="15.5">
      <c r="B8" s="3175" t="str">
        <f>结果表!E103</f>
        <v>2.估价师知悉的法定优先受偿款</v>
      </c>
      <c r="C8" s="1394" t="s">
        <v>913</v>
      </c>
      <c r="D8" s="798">
        <f>结果表!H103</f>
        <v>0</v>
      </c>
    </row>
    <row r="9" spans="1:5" ht="15.5">
      <c r="B9" s="3177"/>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8" t="str">
        <f>结果表!E107</f>
        <v>3.房地产抵押价值</v>
      </c>
      <c r="C13" s="1397" t="s">
        <v>910</v>
      </c>
      <c r="D13" s="800">
        <f ca="1">结果表!H107</f>
        <v>1541</v>
      </c>
    </row>
    <row r="14" spans="1:5" ht="15.5">
      <c r="B14" s="3169"/>
      <c r="C14" s="1392" t="s">
        <v>911</v>
      </c>
      <c r="D14" s="797" t="str">
        <f ca="1">NUMBERSTRING(INT(D13*10000),2)&amp;"元整"</f>
        <v>壹仟伍佰肆拾壹万元整</v>
      </c>
    </row>
    <row r="15" spans="1:5" ht="15.5">
      <c r="B15" s="3174"/>
      <c r="C15" s="1393" t="s">
        <v>921</v>
      </c>
      <c r="D15" s="806">
        <f ca="1">结果表!H108</f>
        <v>5438</v>
      </c>
    </row>
    <row r="16" spans="1:5" ht="15">
      <c r="B16" s="3175" t="str">
        <f>结果表!E109</f>
        <v>——</v>
      </c>
      <c r="C16" s="1397" t="s">
        <v>922</v>
      </c>
      <c r="D16" s="1398" t="str">
        <f>结果表!H109</f>
        <v>——</v>
      </c>
    </row>
    <row r="17" spans="1:5" ht="15.5">
      <c r="B17" s="3176"/>
      <c r="C17" s="1392" t="s">
        <v>923</v>
      </c>
      <c r="D17" s="797" t="e">
        <f>NUMBERSTRING(INT(D16*10000),2)&amp;"元整"</f>
        <v>#VALUE!</v>
      </c>
    </row>
    <row r="18" spans="1:5" ht="15.5">
      <c r="B18" s="3177"/>
      <c r="C18" s="1393" t="s">
        <v>912</v>
      </c>
      <c r="D18" s="806" t="str">
        <f>结果表!H110</f>
        <v>——</v>
      </c>
    </row>
    <row r="19" spans="1:5" ht="15.5">
      <c r="B19" s="3168" t="str">
        <f>结果表!E111</f>
        <v>——</v>
      </c>
      <c r="C19" s="1397" t="s">
        <v>910</v>
      </c>
      <c r="D19" s="798" t="str">
        <f>结果表!H111</f>
        <v>——</v>
      </c>
    </row>
    <row r="20" spans="1:5" ht="15.5">
      <c r="B20" s="3169"/>
      <c r="C20" s="1392" t="s">
        <v>923</v>
      </c>
      <c r="D20" s="797" t="e">
        <f>NUMBERSTRING(INT(D19*10000),2)&amp;"元整"</f>
        <v>#VALUE!</v>
      </c>
    </row>
    <row r="21" spans="1:5" ht="16" thickBot="1">
      <c r="B21" s="3170"/>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1.1748000000000001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1.1174999999999999</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27233</v>
      </c>
      <c r="C2" s="2" t="s">
        <v>106</v>
      </c>
      <c r="D2" s="191"/>
      <c r="E2" s="191"/>
      <c r="F2" s="191"/>
      <c r="G2" s="191"/>
    </row>
    <row r="3" spans="1:7" s="192" customFormat="1" ht="18" customHeight="1" thickBot="1">
      <c r="A3" s="195" t="s">
        <v>58</v>
      </c>
      <c r="B3" s="196">
        <f ca="1">ROUND(B2*10000/'数据-汇总表'!E3,0)</f>
        <v>96103</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57</v>
      </c>
      <c r="D10" s="795">
        <f>'数据-汇总表'!E6</f>
        <v>2833.72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57</v>
      </c>
      <c r="D19" s="204">
        <f>'数据-汇总表'!E3</f>
        <v>2833.72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1327</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2108</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2108</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26502</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814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708</v>
      </c>
      <c r="D34" s="209"/>
      <c r="E34" s="212"/>
      <c r="F34" s="249">
        <f>IF('数据-取费表'!B24=0,1,'数据-取费表'!N16)</f>
        <v>1</v>
      </c>
      <c r="G34" s="211" t="s">
        <v>89</v>
      </c>
    </row>
    <row r="35" spans="1:7" ht="13.5" customHeight="1">
      <c r="A35" s="734" t="s">
        <v>351</v>
      </c>
      <c r="B35" s="207" t="s">
        <v>33</v>
      </c>
      <c r="C35" s="212">
        <f>ROUND(C34*F35,0)</f>
        <v>35</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57</v>
      </c>
      <c r="D37" s="209">
        <f>'数据-汇总表'!E3</f>
        <v>2833.72</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v>
      </c>
      <c r="D42" s="230"/>
      <c r="E42" s="230"/>
      <c r="F42" s="231"/>
      <c r="G42" s="3349" t="s">
        <v>94</v>
      </c>
    </row>
    <row r="43" spans="1:7" ht="13.5" customHeight="1">
      <c r="A43" s="734" t="s">
        <v>347</v>
      </c>
      <c r="B43" s="207" t="s">
        <v>426</v>
      </c>
      <c r="C43" s="230">
        <f ca="1">ROUND(IF('数据-取费表'!B22&lt;=1,C39*F22*'数据-取费表'!B21/2,C39*(POWER((1+F22),'数据-取费表'!B21/2)-1)),0)</f>
        <v>1</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83</v>
      </c>
      <c r="D45" s="227">
        <f>C47</f>
        <v>2E-3</v>
      </c>
      <c r="E45" s="228" t="s">
        <v>102</v>
      </c>
      <c r="F45" s="238"/>
      <c r="G45" s="239" t="s">
        <v>434</v>
      </c>
    </row>
    <row r="46" spans="1:7" s="206" customFormat="1" ht="13.5" customHeight="1">
      <c r="A46" s="734" t="s">
        <v>349</v>
      </c>
      <c r="B46" s="240" t="s">
        <v>427</v>
      </c>
      <c r="C46" s="241">
        <f>ROUND((C33+C39)*F27,0)</f>
        <v>83</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1015</v>
      </c>
      <c r="D49" s="224"/>
      <c r="E49" s="224"/>
      <c r="F49" s="256"/>
      <c r="G49" s="226" t="s">
        <v>435</v>
      </c>
    </row>
    <row r="50" spans="1:7" s="250" customFormat="1" ht="26">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731</v>
      </c>
      <c r="D51" s="224"/>
      <c r="E51" s="224"/>
      <c r="F51" s="256"/>
      <c r="G51" s="226" t="s">
        <v>37</v>
      </c>
    </row>
    <row r="52" spans="1:7" s="200" customFormat="1" ht="16.5" thickBot="1">
      <c r="A52" s="257" t="s">
        <v>38</v>
      </c>
      <c r="B52" s="258"/>
      <c r="C52" s="259">
        <f ca="1">C31+C51</f>
        <v>27233</v>
      </c>
      <c r="D52" s="258"/>
      <c r="E52" s="258"/>
      <c r="F52" s="258"/>
      <c r="G52" s="260"/>
    </row>
    <row r="55" spans="1:7" ht="15.5">
      <c r="B55" s="262" t="s">
        <v>39</v>
      </c>
      <c r="C55" s="263"/>
    </row>
    <row r="56" spans="1:7" ht="13">
      <c r="B56" s="265" t="s">
        <v>40</v>
      </c>
      <c r="C56" s="266">
        <f ca="1">ROUND(C51/C52,3)</f>
        <v>2.7E-2</v>
      </c>
    </row>
    <row r="57" spans="1:7" ht="13">
      <c r="B57" s="265" t="s">
        <v>41</v>
      </c>
      <c r="C57" s="267">
        <f ca="1">1-C56</f>
        <v>0.97299999999999998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86" t="s">
        <v>3181</v>
      </c>
      <c r="B1" s="3486"/>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487" t="s">
        <v>3232</v>
      </c>
      <c r="B1" s="3487"/>
      <c r="C1" s="3487"/>
      <c r="D1" s="3487"/>
      <c r="E1" s="3487"/>
      <c r="F1" s="348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5">
        <f>基准地价修正!G23</f>
        <v>45951</v>
      </c>
      <c r="B1" s="2927" t="s">
        <v>3376</v>
      </c>
      <c r="C1" s="2928"/>
      <c r="D1" s="2928"/>
      <c r="E1" s="2928"/>
      <c r="F1" s="2928"/>
      <c r="G1" s="2928"/>
      <c r="H1" s="2928"/>
      <c r="I1" s="2928"/>
      <c r="J1" s="2894"/>
      <c r="K1" s="2928" t="s">
        <v>454</v>
      </c>
      <c r="L1" s="2928"/>
      <c r="M1" s="2928"/>
      <c r="N1" s="2928"/>
      <c r="O1" s="2928"/>
      <c r="P1" s="2928"/>
      <c r="Q1" s="2894"/>
      <c r="R1" s="3489" t="s">
        <v>456</v>
      </c>
      <c r="S1" s="3490"/>
      <c r="T1" s="3490"/>
      <c r="U1" s="3490"/>
      <c r="V1" s="3490"/>
      <c r="W1" s="3490"/>
      <c r="X1" s="2894"/>
      <c r="Y1" s="3489" t="s">
        <v>457</v>
      </c>
      <c r="Z1" s="3490"/>
      <c r="AA1" s="3490"/>
      <c r="AB1" s="3490"/>
      <c r="AC1" s="3490"/>
      <c r="AD1" s="3490"/>
    </row>
    <row r="2" spans="1:44" s="2009" customFormat="1" ht="14.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3401</v>
      </c>
      <c r="AG2" t="s">
        <v>673</v>
      </c>
      <c r="AH2" t="s">
        <v>21</v>
      </c>
      <c r="AI2" t="s">
        <v>3402</v>
      </c>
      <c r="AJ2" t="s">
        <v>3</v>
      </c>
      <c r="AK2" t="s">
        <v>3403</v>
      </c>
      <c r="AM2" t="s">
        <v>3401</v>
      </c>
      <c r="AN2" t="s">
        <v>673</v>
      </c>
      <c r="AO2" t="s">
        <v>21</v>
      </c>
      <c r="AP2" t="s">
        <v>3402</v>
      </c>
      <c r="AQ2" t="s">
        <v>3</v>
      </c>
      <c r="AR2" t="s">
        <v>3403</v>
      </c>
    </row>
    <row r="3" spans="1:44" s="2884" customFormat="1" ht="13">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3400</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4" customFormat="1" ht="13">
      <c r="A7" s="2039" t="s">
        <v>3415</v>
      </c>
      <c r="B7" s="2030">
        <v>2025</v>
      </c>
      <c r="C7" s="2041">
        <v>2</v>
      </c>
      <c r="D7" s="2006">
        <v>0.05</v>
      </c>
      <c r="E7" s="2006">
        <v>-0.62</v>
      </c>
      <c r="F7" s="2006">
        <v>-1.05</v>
      </c>
      <c r="G7" s="2006">
        <v>0.09</v>
      </c>
      <c r="H7" s="2006">
        <v>0.17</v>
      </c>
      <c r="I7" s="2007">
        <f t="shared" ref="I7" si="37">F7</f>
        <v>-1.05</v>
      </c>
      <c r="J7" s="2904"/>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4"/>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4"/>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4" customFormat="1" ht="13">
      <c r="A8" s="2039" t="s">
        <v>3406</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4" customFormat="1" ht="13">
      <c r="A9" s="2039" t="s">
        <v>3405</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4" customFormat="1" ht="13">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4" customFormat="1" ht="13">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4" customFormat="1" ht="13">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4" customFormat="1" ht="13">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4" customFormat="1" ht="13">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4" customFormat="1" ht="13">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4" customFormat="1" ht="13">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4" customFormat="1" ht="13">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4" customFormat="1" ht="13">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4" customFormat="1" ht="13">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4" customFormat="1" ht="13">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4" customFormat="1" ht="13">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4" customFormat="1" ht="13">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4" customFormat="1" ht="13">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5" thickTop="1"/>
    <row r="26" spans="1:44">
      <c r="A26" s="3141" t="s">
        <v>3379</v>
      </c>
    </row>
    <row r="27" spans="1:44">
      <c r="I27" s="1405" t="s">
        <v>2825</v>
      </c>
    </row>
    <row r="29" spans="1:44" s="2008" customFormat="1" ht="13">
      <c r="B29" s="2927" t="s">
        <v>3377</v>
      </c>
      <c r="C29" s="2928"/>
      <c r="D29" s="2928"/>
      <c r="E29" s="2928"/>
      <c r="F29" s="2928"/>
      <c r="G29" s="2928"/>
      <c r="H29" s="2928"/>
      <c r="I29" s="2928"/>
      <c r="J29" s="2894"/>
      <c r="K29" s="2928" t="s">
        <v>2826</v>
      </c>
      <c r="L29" s="2928"/>
      <c r="M29" s="2928"/>
      <c r="N29" s="2928"/>
      <c r="O29" s="2928"/>
      <c r="P29" s="2928"/>
      <c r="Q29" s="2894"/>
      <c r="R29" s="3489" t="s">
        <v>2827</v>
      </c>
      <c r="S29" s="3490"/>
      <c r="T29" s="3490"/>
      <c r="U29" s="3490"/>
      <c r="V29" s="3490"/>
      <c r="W29" s="3490"/>
      <c r="X29" s="2894"/>
      <c r="Y29" s="3489" t="s">
        <v>2828</v>
      </c>
      <c r="Z29" s="3490"/>
      <c r="AA29" s="3490"/>
      <c r="AB29" s="3490"/>
      <c r="AC29" s="3490"/>
      <c r="AD29" s="3490"/>
    </row>
    <row r="30" spans="1:44" s="2009" customFormat="1" ht="14.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3402</v>
      </c>
      <c r="AJ30"/>
      <c r="AK30" t="s">
        <v>3403</v>
      </c>
      <c r="AN30" t="s">
        <v>673</v>
      </c>
      <c r="AO30" t="s">
        <v>21</v>
      </c>
      <c r="AP30" t="s">
        <v>3402</v>
      </c>
      <c r="AQ30"/>
      <c r="AR30" t="s">
        <v>3403</v>
      </c>
    </row>
    <row r="31" spans="1:44" s="2884" customFormat="1" ht="13">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8" customFormat="1" ht="13">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3400</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4" customFormat="1" ht="13">
      <c r="A35" s="2039" t="s">
        <v>3415</v>
      </c>
      <c r="B35" s="2030">
        <v>2025</v>
      </c>
      <c r="C35" s="2041">
        <v>2</v>
      </c>
      <c r="D35" s="2006"/>
      <c r="E35" s="2006">
        <v>-0.31</v>
      </c>
      <c r="F35" s="2006">
        <v>-1.03</v>
      </c>
      <c r="G35" s="2006">
        <v>0.03</v>
      </c>
      <c r="H35" s="2006"/>
      <c r="I35" s="2007">
        <f t="shared" ref="I35" si="141">F35</f>
        <v>-1.03</v>
      </c>
      <c r="J35" s="2904"/>
      <c r="K35" s="2042"/>
      <c r="L35" s="2027">
        <f t="shared" ref="L35" si="142">E35/100</f>
        <v>-3.0999999999999999E-3</v>
      </c>
      <c r="M35" s="2027">
        <f t="shared" ref="M35" si="143">F35/100</f>
        <v>-1.03E-2</v>
      </c>
      <c r="N35" s="2027">
        <f t="shared" ref="N35" si="144">G35/100</f>
        <v>2.9999999999999997E-4</v>
      </c>
      <c r="O35" s="2027"/>
      <c r="P35" s="2027">
        <f t="shared" si="123"/>
        <v>-1.03E-2</v>
      </c>
      <c r="Q35" s="2904"/>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4"/>
      <c r="Y35" s="2027"/>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7">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4" customFormat="1" ht="13">
      <c r="A36" s="2039" t="s">
        <v>3404</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4" customFormat="1" ht="13">
      <c r="A37" s="2039" t="s">
        <v>3405</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4" customFormat="1" ht="13">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4" customFormat="1" ht="13">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4" customFormat="1" ht="13">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4" customFormat="1" ht="13">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4" customFormat="1" ht="13">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4" customFormat="1" ht="13">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4" customFormat="1" ht="13">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4" customFormat="1" ht="13">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4" customFormat="1" ht="13">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4" customFormat="1" ht="13">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4" customFormat="1" ht="13">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4" customFormat="1" ht="13">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4" customFormat="1" ht="13">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4" customFormat="1" ht="13">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02" t="s">
        <v>2839</v>
      </c>
      <c r="B1" s="3502"/>
      <c r="C1" s="3502"/>
      <c r="D1" s="3502"/>
      <c r="E1" s="3502"/>
      <c r="F1" s="3502"/>
      <c r="G1" s="350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0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45951</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6">
      <c r="A3" s="3181"/>
      <c r="B3" s="3181"/>
      <c r="C3" s="3181"/>
      <c r="D3" s="801" t="s">
        <v>925</v>
      </c>
      <c r="E3" s="801" t="s">
        <v>931</v>
      </c>
      <c r="F3" s="801" t="s">
        <v>925</v>
      </c>
      <c r="G3" s="801" t="s">
        <v>926</v>
      </c>
      <c r="H3" s="801" t="s">
        <v>925</v>
      </c>
      <c r="I3" s="801" t="s">
        <v>926</v>
      </c>
    </row>
    <row r="4" spans="1:9" ht="15.5">
      <c r="A4" s="1403" t="str">
        <f>项目基本情况!S2</f>
        <v>北京市大兴区西红门镇京开路1号院1号1幢1层全部等[14]套房地产</v>
      </c>
      <c r="B4" s="801">
        <f>项目基本情况!C17</f>
        <v>2833.72</v>
      </c>
      <c r="C4" s="801">
        <f>项目基本情况!C18</f>
        <v>0</v>
      </c>
      <c r="D4" s="801">
        <f>结果表!D118</f>
        <v>0</v>
      </c>
      <c r="E4" s="801">
        <f>结果表!E118</f>
        <v>0</v>
      </c>
      <c r="F4" s="801">
        <f>结果表!F118</f>
        <v>0</v>
      </c>
      <c r="G4" s="801">
        <f>结果表!G118</f>
        <v>0</v>
      </c>
      <c r="H4" s="801">
        <f ca="1">结果表!H118</f>
        <v>1541</v>
      </c>
      <c r="I4" s="801">
        <f ca="1">结果表!I118</f>
        <v>5438</v>
      </c>
    </row>
    <row r="5" spans="1:9" ht="30" customHeight="1">
      <c r="A5" s="3181" t="s">
        <v>927</v>
      </c>
      <c r="B5" s="3181"/>
      <c r="C5" s="3181"/>
      <c r="D5" s="3181" t="str">
        <f>结果表!D119</f>
        <v>零元整</v>
      </c>
      <c r="E5" s="3181"/>
      <c r="F5" s="3181" t="str">
        <f>结果表!F119</f>
        <v>零元整</v>
      </c>
      <c r="G5" s="3181"/>
      <c r="H5" s="3181" t="str">
        <f ca="1">结果表!H119</f>
        <v>壹仟伍佰肆拾壹万元整</v>
      </c>
      <c r="I5" s="3181"/>
    </row>
    <row r="6" spans="1:9" ht="15.5">
      <c r="A6" s="3180" t="str">
        <f>结果表!A120</f>
        <v>估价师知悉的法定优先受偿款</v>
      </c>
      <c r="B6" s="3180"/>
      <c r="C6" s="3180"/>
      <c r="D6" s="3180">
        <f>结果表!D120</f>
        <v>0</v>
      </c>
      <c r="E6" s="3180"/>
      <c r="F6" s="3180"/>
      <c r="G6" s="3180"/>
      <c r="H6" s="3180"/>
      <c r="I6" s="3180"/>
    </row>
    <row r="7" spans="1:9" ht="15.5">
      <c r="A7" s="3181" t="s">
        <v>927</v>
      </c>
      <c r="B7" s="3181"/>
      <c r="C7" s="3181"/>
      <c r="D7" s="3182" t="str">
        <f>结果表!D121</f>
        <v>零元整</v>
      </c>
      <c r="E7" s="3183"/>
      <c r="F7" s="3183"/>
      <c r="G7" s="3183"/>
      <c r="H7" s="3183"/>
      <c r="I7" s="3184"/>
    </row>
    <row r="8" spans="1:9" ht="15.5">
      <c r="A8" s="3180" t="str">
        <f>结果表!A122</f>
        <v>房地产抵押价值</v>
      </c>
      <c r="B8" s="3180"/>
      <c r="C8" s="3180"/>
      <c r="D8" s="3180">
        <f ca="1">结果表!D122</f>
        <v>1541</v>
      </c>
      <c r="E8" s="3180"/>
      <c r="F8" s="3180"/>
      <c r="G8" s="3180"/>
      <c r="H8" s="3180"/>
      <c r="I8" s="3180"/>
    </row>
    <row r="9" spans="1:9" ht="15.5">
      <c r="A9" s="3181" t="s">
        <v>927</v>
      </c>
      <c r="B9" s="3181"/>
      <c r="C9" s="3181"/>
      <c r="D9" s="3181" t="str">
        <f ca="1">结果表!D123</f>
        <v>壹仟伍佰肆拾壹万元整</v>
      </c>
      <c r="E9" s="3181"/>
      <c r="F9" s="3181"/>
      <c r="G9" s="3181"/>
      <c r="H9" s="3181"/>
      <c r="I9" s="3181"/>
    </row>
    <row r="10" spans="1:9" ht="15.5">
      <c r="A10" s="3180" t="str">
        <f>结果表!A124</f>
        <v/>
      </c>
      <c r="B10" s="3180"/>
      <c r="C10" s="3180"/>
      <c r="D10" s="3180" t="str">
        <f>结果表!D124</f>
        <v>——</v>
      </c>
      <c r="E10" s="3180"/>
      <c r="F10" s="3180"/>
      <c r="G10" s="3180"/>
      <c r="H10" s="3180"/>
      <c r="I10" s="3180"/>
    </row>
    <row r="11" spans="1:9" ht="15.5">
      <c r="A11" s="3181" t="s">
        <v>927</v>
      </c>
      <c r="B11" s="3181"/>
      <c r="C11" s="3181"/>
      <c r="D11" s="3181" t="e">
        <f>结果表!D125</f>
        <v>#VALUE!</v>
      </c>
      <c r="E11" s="3181"/>
      <c r="F11" s="3181"/>
      <c r="G11" s="3181"/>
      <c r="H11" s="3181"/>
      <c r="I11" s="3181"/>
    </row>
    <row r="12" spans="1:9" ht="15.5">
      <c r="A12" s="3180" t="str">
        <f>结果表!A126</f>
        <v/>
      </c>
      <c r="B12" s="3180"/>
      <c r="C12" s="3180"/>
      <c r="D12" s="3180" t="str">
        <f>结果表!D126</f>
        <v>——</v>
      </c>
      <c r="E12" s="3180"/>
      <c r="F12" s="3180"/>
      <c r="G12" s="3180"/>
      <c r="H12" s="3180"/>
      <c r="I12" s="3180"/>
    </row>
    <row r="13" spans="1:9" ht="16" thickBot="1">
      <c r="A13" s="3178" t="s">
        <v>927</v>
      </c>
      <c r="B13" s="3178"/>
      <c r="C13" s="3178"/>
      <c r="D13" s="3178" t="e">
        <f>结果表!D127</f>
        <v>#VALUE!</v>
      </c>
      <c r="E13" s="3178"/>
      <c r="F13" s="3178"/>
      <c r="G13" s="3178"/>
      <c r="H13" s="3178"/>
      <c r="I13" s="3178"/>
    </row>
    <row r="14" spans="1:9" ht="14.5" thickTop="1">
      <c r="A14" s="3179" t="s">
        <v>932</v>
      </c>
      <c r="B14" s="3179"/>
      <c r="C14" s="3179"/>
      <c r="D14" s="3179"/>
      <c r="E14" s="3179"/>
      <c r="F14" s="3179"/>
      <c r="G14" s="3179"/>
      <c r="H14" s="3179"/>
      <c r="I14" s="3179"/>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3" t="s">
        <v>949</v>
      </c>
      <c r="B1" s="3193"/>
      <c r="C1" s="3193"/>
      <c r="D1" s="3193"/>
    </row>
    <row r="2" spans="1:4" ht="18">
      <c r="A2" s="3194" t="s">
        <v>933</v>
      </c>
      <c r="B2" s="3194"/>
      <c r="C2" s="3194"/>
      <c r="D2" s="319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5" t="s">
        <v>942</v>
      </c>
      <c r="B11" s="3187"/>
      <c r="C11" s="3187"/>
      <c r="D11" s="3187"/>
    </row>
    <row r="12" spans="1:4" ht="15.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1" t="s">
        <v>956</v>
      </c>
      <c r="B15" s="3196" t="s">
        <v>109</v>
      </c>
      <c r="C15" s="3197"/>
    </row>
    <row r="16" spans="1:7" ht="14">
      <c r="A16" s="3202"/>
      <c r="B16" s="3196" t="s">
        <v>42</v>
      </c>
      <c r="C16" s="3197"/>
    </row>
    <row r="17" spans="1:3" ht="14">
      <c r="A17" s="3202"/>
      <c r="B17" s="3199" t="s">
        <v>957</v>
      </c>
      <c r="C17" s="1429" t="s">
        <v>956</v>
      </c>
    </row>
    <row r="18" spans="1:3" ht="14">
      <c r="A18" s="3202"/>
      <c r="B18" s="3199"/>
      <c r="C18" s="1429" t="s">
        <v>958</v>
      </c>
    </row>
    <row r="19" spans="1:3" ht="14">
      <c r="A19" s="3202"/>
      <c r="B19" s="3199"/>
      <c r="C19" s="1429" t="s">
        <v>959</v>
      </c>
    </row>
    <row r="20" spans="1:3" ht="14">
      <c r="A20" s="3203"/>
      <c r="B20" s="3198" t="s">
        <v>960</v>
      </c>
      <c r="C20" s="3197"/>
    </row>
    <row r="21" spans="1:3" ht="14">
      <c r="A21" s="1430" t="s">
        <v>961</v>
      </c>
      <c r="B21" s="1431"/>
      <c r="C21" s="1432"/>
    </row>
    <row r="22" spans="1:3" ht="14">
      <c r="A22" s="3200" t="s">
        <v>962</v>
      </c>
      <c r="B22" s="3198" t="s">
        <v>963</v>
      </c>
      <c r="C22" s="3197"/>
    </row>
    <row r="23" spans="1:3" ht="14">
      <c r="A23" s="3200"/>
      <c r="B23" s="3198" t="s">
        <v>964</v>
      </c>
      <c r="C23" s="3197"/>
    </row>
    <row r="24" spans="1:3" ht="14">
      <c r="A24" s="3200"/>
      <c r="B24" s="3198" t="s">
        <v>965</v>
      </c>
      <c r="C24" s="3197"/>
    </row>
    <row r="25" spans="1:3" ht="14">
      <c r="A25" s="3200"/>
      <c r="B25" s="3199" t="s">
        <v>966</v>
      </c>
      <c r="C25" s="1429" t="s">
        <v>967</v>
      </c>
    </row>
    <row r="26" spans="1:3" ht="14">
      <c r="A26" s="3200"/>
      <c r="B26" s="3199"/>
      <c r="C26" s="1429" t="s">
        <v>968</v>
      </c>
    </row>
    <row r="27" spans="1:3" ht="14">
      <c r="A27" s="3200"/>
      <c r="B27" s="3199"/>
      <c r="C27" s="1429" t="s">
        <v>969</v>
      </c>
    </row>
    <row r="28" spans="1:3" ht="14">
      <c r="A28" s="3200"/>
      <c r="B28" s="3199"/>
      <c r="C28" s="1429" t="s">
        <v>970</v>
      </c>
    </row>
    <row r="29" spans="1:3" ht="14">
      <c r="A29" s="3200"/>
      <c r="B29" s="3199"/>
      <c r="C29" s="1429" t="s">
        <v>971</v>
      </c>
    </row>
    <row r="30" spans="1:3" ht="14">
      <c r="A30" s="3200"/>
      <c r="B30" s="3199"/>
      <c r="C30" s="1429" t="s">
        <v>972</v>
      </c>
    </row>
    <row r="31" spans="1:3" ht="14">
      <c r="A31" s="3200"/>
      <c r="B31" s="3199"/>
      <c r="C31" s="1429" t="s">
        <v>973</v>
      </c>
    </row>
    <row r="32" spans="1:3" ht="14">
      <c r="A32" s="3200"/>
      <c r="B32" s="3199"/>
      <c r="C32" s="1429" t="s">
        <v>974</v>
      </c>
    </row>
    <row r="33" spans="1:3" ht="14">
      <c r="A33" s="3200"/>
      <c r="B33" s="3199"/>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45951</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t="str">
        <f ca="1">IF(C4&lt;B2,"已过期",1119970066)</f>
        <v>已过期</v>
      </c>
      <c r="C4" s="2161">
        <v>45937</v>
      </c>
      <c r="D4" s="2162" t="str">
        <f ca="1">A4&amp;"（注册号："&amp;B4&amp;"）"</f>
        <v>梁津（注册号：已过期）</v>
      </c>
      <c r="E4" s="2163" t="s">
        <v>2148</v>
      </c>
      <c r="F4" s="1219">
        <f ca="1">IF(G4&lt;B2,"已过期",96010014)</f>
        <v>96010014</v>
      </c>
      <c r="G4" s="2164">
        <v>47118</v>
      </c>
      <c r="H4" s="2165" t="str">
        <f ca="1">E4&amp;"（注册号："&amp;F4&amp;"）"</f>
        <v>梁津（注册号：96010014）</v>
      </c>
    </row>
    <row r="5" spans="1:8" ht="24" customHeight="1">
      <c r="A5" s="1219" t="s">
        <v>2149</v>
      </c>
      <c r="B5" s="1219" t="str">
        <f ca="1">IF(C5&lt;B2,"已过期",1119970111)</f>
        <v>已过期</v>
      </c>
      <c r="C5" s="2161">
        <v>45937</v>
      </c>
      <c r="D5" s="2162" t="str">
        <f t="shared" ref="D5:D15" ca="1" si="0">A5&amp;"（注册号："&amp;B5&amp;"）"</f>
        <v>叶凌（注册号：已过期）</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t="str">
        <f ca="1">IF(C7&lt;B2,"已过期",1120000080)</f>
        <v>已过期</v>
      </c>
      <c r="C7" s="2161">
        <v>45937</v>
      </c>
      <c r="D7" s="2162" t="str">
        <f t="shared" ca="1" si="0"/>
        <v>欧红伟（注册号：已过期）</v>
      </c>
      <c r="E7" s="2163" t="s">
        <v>2151</v>
      </c>
      <c r="F7" s="1219">
        <f ca="1">IF(G7&lt;B2,"已过期",2000110082)</f>
        <v>2000110082</v>
      </c>
      <c r="G7" s="2164">
        <v>46387</v>
      </c>
      <c r="H7" s="2165" t="str">
        <f t="shared" ca="1" si="1"/>
        <v>欧红伟（注册号：2000110082）</v>
      </c>
    </row>
    <row r="8" spans="1:8" ht="24" customHeight="1">
      <c r="A8" s="1219" t="s">
        <v>2152</v>
      </c>
      <c r="B8" s="1219" t="str">
        <f ca="1">IF(C8&lt;B2,"已过期",1419970001)</f>
        <v>已过期</v>
      </c>
      <c r="C8" s="2161">
        <v>45937</v>
      </c>
      <c r="D8" s="2162" t="str">
        <f t="shared" ca="1" si="0"/>
        <v>吴薇（注册号：已过期）</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t="str">
        <f ca="1">IF(C11&lt;B2,"已过期",1120070131)</f>
        <v>已过期</v>
      </c>
      <c r="C11" s="2161">
        <v>45937</v>
      </c>
      <c r="D11" s="2162" t="str">
        <f t="shared" ca="1" si="0"/>
        <v>郑燚（注册号：已过期）</v>
      </c>
      <c r="E11" s="2163" t="s">
        <v>2155</v>
      </c>
      <c r="F11" s="1219">
        <f ca="1">IF(G11&lt;B2,"已过期",2014110011)</f>
        <v>2014110011</v>
      </c>
      <c r="G11" s="2164">
        <v>49302</v>
      </c>
      <c r="H11" s="2165" t="str">
        <f t="shared" ca="1" si="1"/>
        <v>郑燚（注册号：2014110011）</v>
      </c>
    </row>
    <row r="12" spans="1:8" ht="24" customHeight="1">
      <c r="A12" s="1219" t="s">
        <v>2156</v>
      </c>
      <c r="B12" s="1219" t="str">
        <f ca="1">IF(C12&lt;B2,"已过期",1120040230)</f>
        <v>已过期</v>
      </c>
      <c r="C12" s="2166">
        <v>45937</v>
      </c>
      <c r="D12" s="2162" t="str">
        <f t="shared" ca="1" si="0"/>
        <v>苏海（注册号：已过期）</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9"/>
      <c r="E18" s="3206" t="s">
        <v>2162</v>
      </c>
      <c r="F18" s="3205"/>
      <c r="G18" s="320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面积信息</vt:lpstr>
      <vt:lpstr>租金案例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2025-10-21T08:18:18Z</dcterms:modified>
</cp:coreProperties>
</file>